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Screener" sheetId="2" r:id="rId5"/>
    <sheet state="visible" name="Dados ClubeFII" sheetId="3" r:id="rId6"/>
    <sheet state="hidden" name="Ranking Screeners" sheetId="4" r:id="rId7"/>
  </sheets>
  <definedNames>
    <definedName hidden="1" localSheetId="0" name="Z_BEC4E199_EA47_4F7C_B7F2_B67A3BA024A0_.wvu.FilterData">Capa!$A$6:$Z$889</definedName>
    <definedName hidden="1" localSheetId="3" name="Z_BEC4E199_EA47_4F7C_B7F2_B67A3BA024A0_.wvu.FilterData">'Ranking Screeners'!$B$5:$H$443</definedName>
  </definedNames>
  <calcPr/>
  <customWorkbookViews>
    <customWorkbookView activeSheetId="0" maximized="1" windowHeight="0" windowWidth="0" guid="{BEC4E199-EA47-4F7C-B7F2-B67A3BA024A0}" name="Filtro 1"/>
  </customWorkbookViews>
</workbook>
</file>

<file path=xl/sharedStrings.xml><?xml version="1.0" encoding="utf-8"?>
<sst xmlns="http://schemas.openxmlformats.org/spreadsheetml/2006/main" count="7535" uniqueCount="3713">
  <si>
    <t>Atualizado em 22/02/2023</t>
  </si>
  <si>
    <t>IMPORTANTE: clique em "ARQUIVO &gt; FAZER UMA CÓPIA" para poder fazer seus filtros.</t>
  </si>
  <si>
    <t>FIIs</t>
  </si>
  <si>
    <t>ENTENDA OS INDICADORES =&gt;</t>
  </si>
  <si>
    <t>Código Negociação</t>
  </si>
  <si>
    <t>PRECO</t>
  </si>
  <si>
    <t>Cotação Máxima 12 meses</t>
  </si>
  <si>
    <t>Queda do Máximo</t>
  </si>
  <si>
    <t>Nome do Fundo</t>
  </si>
  <si>
    <t>Gestor</t>
  </si>
  <si>
    <t>Categoria</t>
  </si>
  <si>
    <t>Valor de Mercado</t>
  </si>
  <si>
    <t>Valor Patrimonial</t>
  </si>
  <si>
    <t>P/VPA</t>
  </si>
  <si>
    <t>Valor M² de Mercado</t>
  </si>
  <si>
    <t>Valor M² Patrimonial</t>
  </si>
  <si>
    <t>Valor Último Rendimento</t>
  </si>
  <si>
    <t>Renda Por M2 (Última)</t>
  </si>
  <si>
    <t>Área Bruta Locável</t>
  </si>
  <si>
    <t>Data Pagamento Último Provento</t>
  </si>
  <si>
    <t>Yield 12 Meses Bas. no Últ. Rend.</t>
  </si>
  <si>
    <t>Yield de Distribuição 12 Meses</t>
  </si>
  <si>
    <t>Data IPO</t>
  </si>
  <si>
    <t>Valor IPO</t>
  </si>
  <si>
    <t>Variação da Cota no Ano</t>
  </si>
  <si>
    <t>Vacância Física</t>
  </si>
  <si>
    <t>Vacância Física (Data Último Dado)</t>
  </si>
  <si>
    <t>IFIX - Participação Percentual</t>
  </si>
  <si>
    <t>Liquidez Média Diária Mês Passado</t>
  </si>
  <si>
    <t>Qtde de Cotistas</t>
  </si>
  <si>
    <t>Qtde de Cotas</t>
  </si>
  <si>
    <t>VPA por cota</t>
  </si>
  <si>
    <t>URPR11</t>
  </si>
  <si>
    <t>BARI11</t>
  </si>
  <si>
    <t>DEVA11</t>
  </si>
  <si>
    <t>REIT11</t>
  </si>
  <si>
    <t>HCTR11</t>
  </si>
  <si>
    <t>TORD11</t>
  </si>
  <si>
    <t>RECR11</t>
  </si>
  <si>
    <t>BBFI11B</t>
  </si>
  <si>
    <t>KNSC11</t>
  </si>
  <si>
    <t>KNHY11</t>
  </si>
  <si>
    <t>ARRI11</t>
  </si>
  <si>
    <t>CVBI11</t>
  </si>
  <si>
    <t>KNIP11</t>
  </si>
  <si>
    <t>CXCE11B</t>
  </si>
  <si>
    <t>SPTW11</t>
  </si>
  <si>
    <t>HABT11</t>
  </si>
  <si>
    <t>FMOF11</t>
  </si>
  <si>
    <t>XPCM11</t>
  </si>
  <si>
    <t>VGIP11</t>
  </si>
  <si>
    <t>CPFF11</t>
  </si>
  <si>
    <t>BBPO11</t>
  </si>
  <si>
    <t>GCFF11</t>
  </si>
  <si>
    <t>IRDM11</t>
  </si>
  <si>
    <t>NEWL11</t>
  </si>
  <si>
    <t>GESE11B</t>
  </si>
  <si>
    <t>XPCI11</t>
  </si>
  <si>
    <t>HSAF11</t>
  </si>
  <si>
    <t>VCJR11</t>
  </si>
  <si>
    <t>RBVA11</t>
  </si>
  <si>
    <t>PLCR11</t>
  </si>
  <si>
    <t>QAGR11</t>
  </si>
  <si>
    <t>FEXC11</t>
  </si>
  <si>
    <t>VRTA11</t>
  </si>
  <si>
    <t>ABCP11</t>
  </si>
  <si>
    <t>JPPA11</t>
  </si>
  <si>
    <t>MBRF11</t>
  </si>
  <si>
    <t>XPSF11</t>
  </si>
  <si>
    <t>MXRF11</t>
  </si>
  <si>
    <t>BBRC11</t>
  </si>
  <si>
    <t>MGFF11</t>
  </si>
  <si>
    <t>MGCR11</t>
  </si>
  <si>
    <t>FAED11</t>
  </si>
  <si>
    <t>RZTR11</t>
  </si>
  <si>
    <t>RFOF11</t>
  </si>
  <si>
    <t>RECT11</t>
  </si>
  <si>
    <t>GALG11</t>
  </si>
  <si>
    <t>HREC11</t>
  </si>
  <si>
    <t>BPFF11</t>
  </si>
  <si>
    <t>BLCP11</t>
  </si>
  <si>
    <t>RBRY11</t>
  </si>
  <si>
    <t>RVBI11</t>
  </si>
  <si>
    <t>RBCO11</t>
  </si>
  <si>
    <t>VINO11</t>
  </si>
  <si>
    <t>OULG11</t>
  </si>
  <si>
    <t>OUFF11</t>
  </si>
  <si>
    <t>XPPR11</t>
  </si>
  <si>
    <t>MCCI11</t>
  </si>
  <si>
    <t>OURE11</t>
  </si>
  <si>
    <t>OUJP11</t>
  </si>
  <si>
    <t>GGRC11</t>
  </si>
  <si>
    <t>RBED11</t>
  </si>
  <si>
    <t>VTLT11</t>
  </si>
  <si>
    <t>CEOC11</t>
  </si>
  <si>
    <t>RELG11</t>
  </si>
  <si>
    <t>BTCR11</t>
  </si>
  <si>
    <t>MFAI11</t>
  </si>
  <si>
    <t>HBRH11</t>
  </si>
  <si>
    <t>RBRR11</t>
  </si>
  <si>
    <t>TRXF11</t>
  </si>
  <si>
    <t>MGHT11</t>
  </si>
  <si>
    <t>GTWR11</t>
  </si>
  <si>
    <t>VIFI11</t>
  </si>
  <si>
    <t>TRXB11</t>
  </si>
  <si>
    <t>BPRP11</t>
  </si>
  <si>
    <t>HCRI11</t>
  </si>
  <si>
    <t>MAXR11</t>
  </si>
  <si>
    <t>VVPR11</t>
  </si>
  <si>
    <t>BCFF11</t>
  </si>
  <si>
    <t>PATL11</t>
  </si>
  <si>
    <t>FATN11</t>
  </si>
  <si>
    <t>AIEC11</t>
  </si>
  <si>
    <t>EDFO11B</t>
  </si>
  <si>
    <t>BPML11</t>
  </si>
  <si>
    <t>EURO11</t>
  </si>
  <si>
    <t>BMLC11</t>
  </si>
  <si>
    <t>NSLU11</t>
  </si>
  <si>
    <t>HGCR11</t>
  </si>
  <si>
    <t>SDIL11</t>
  </si>
  <si>
    <t>RRCI11</t>
  </si>
  <si>
    <t>MALL11</t>
  </si>
  <si>
    <t>FIIP11B</t>
  </si>
  <si>
    <t>TEPP11</t>
  </si>
  <si>
    <t>HGFF11</t>
  </si>
  <si>
    <t>RNGO11</t>
  </si>
  <si>
    <t>HAAA11</t>
  </si>
  <si>
    <t>RBRL11</t>
  </si>
  <si>
    <t>BRCR11</t>
  </si>
  <si>
    <t>CRFF11</t>
  </si>
  <si>
    <t>SARE11</t>
  </si>
  <si>
    <t>FIIB11</t>
  </si>
  <si>
    <t>XPIN11</t>
  </si>
  <si>
    <t>JSRE11</t>
  </si>
  <si>
    <t>LASC11</t>
  </si>
  <si>
    <t>HLOG11</t>
  </si>
  <si>
    <t>FLRP11</t>
  </si>
  <si>
    <t>RBRP11</t>
  </si>
  <si>
    <t>HFOF11</t>
  </si>
  <si>
    <t>HGRU11</t>
  </si>
  <si>
    <t>RCRB11</t>
  </si>
  <si>
    <t>HSML11</t>
  </si>
  <si>
    <t>VISC11</t>
  </si>
  <si>
    <t>VGIR11</t>
  </si>
  <si>
    <t>HSLG11</t>
  </si>
  <si>
    <t>BTLG11</t>
  </si>
  <si>
    <t>LGCP11</t>
  </si>
  <si>
    <t>FCFL11</t>
  </si>
  <si>
    <t>PVBI11</t>
  </si>
  <si>
    <t>VILG11</t>
  </si>
  <si>
    <t>SHPH11</t>
  </si>
  <si>
    <t>KFOF11</t>
  </si>
  <si>
    <t>BRCO11</t>
  </si>
  <si>
    <t>HUSC11</t>
  </si>
  <si>
    <t>PQAG11</t>
  </si>
  <si>
    <t>IBFF11</t>
  </si>
  <si>
    <t>XPLG11</t>
  </si>
  <si>
    <t>MORE11</t>
  </si>
  <si>
    <t>HGRE11</t>
  </si>
  <si>
    <t>FIGS11</t>
  </si>
  <si>
    <t>EDGA11</t>
  </si>
  <si>
    <t>HGPO11</t>
  </si>
  <si>
    <t>HGLG11</t>
  </si>
  <si>
    <t>KNRI11</t>
  </si>
  <si>
    <t>ONEF11</t>
  </si>
  <si>
    <t>LVBI11</t>
  </si>
  <si>
    <t>VSEC11</t>
  </si>
  <si>
    <t>TRNT11</t>
  </si>
  <si>
    <t>RDPD11</t>
  </si>
  <si>
    <t>ARCT11</t>
  </si>
  <si>
    <t>VLOL11</t>
  </si>
  <si>
    <t>FPAB11</t>
  </si>
  <si>
    <t>HGBS11</t>
  </si>
  <si>
    <t>VOTS11</t>
  </si>
  <si>
    <t>ALZR11</t>
  </si>
  <si>
    <t>PATC11</t>
  </si>
  <si>
    <t>FLMA11</t>
  </si>
  <si>
    <t>JRDM11</t>
  </si>
  <si>
    <t>KNCR11</t>
  </si>
  <si>
    <t>XPML11</t>
  </si>
  <si>
    <t>CNES11</t>
  </si>
  <si>
    <t>PQDP11</t>
  </si>
  <si>
    <t>SADI11</t>
  </si>
  <si>
    <t>HPDP11</t>
  </si>
  <si>
    <t>BREV11</t>
  </si>
  <si>
    <t>WTSP11B</t>
  </si>
  <si>
    <t>BICR11</t>
  </si>
  <si>
    <t>CXTL11</t>
  </si>
  <si>
    <t>VSHO11</t>
  </si>
  <si>
    <t>RBVO11</t>
  </si>
  <si>
    <t>ATSA11</t>
  </si>
  <si>
    <t>BRIM11</t>
  </si>
  <si>
    <t>FAMB11B</t>
  </si>
  <si>
    <t>FPNG11</t>
  </si>
  <si>
    <t>GSFI11</t>
  </si>
  <si>
    <t>HTMX11</t>
  </si>
  <si>
    <t>JPPC11</t>
  </si>
  <si>
    <t>NEWU11</t>
  </si>
  <si>
    <t>PRSV11</t>
  </si>
  <si>
    <t>RZAK11</t>
  </si>
  <si>
    <t>SHDP11B</t>
  </si>
  <si>
    <t>STRX11</t>
  </si>
  <si>
    <t>VERE11</t>
  </si>
  <si>
    <t>VXXV11</t>
  </si>
  <si>
    <t>WPLZ11</t>
  </si>
  <si>
    <t>XPHT11</t>
  </si>
  <si>
    <t>XPHT12</t>
  </si>
  <si>
    <t>CPTS11</t>
  </si>
  <si>
    <t>CACR11</t>
  </si>
  <si>
    <t>AFHI11</t>
  </si>
  <si>
    <t>BCIA11</t>
  </si>
  <si>
    <t>BCRI11</t>
  </si>
  <si>
    <t>BLMR11</t>
  </si>
  <si>
    <t>BLMG11</t>
  </si>
  <si>
    <t>BTAL11</t>
  </si>
  <si>
    <t>BTRA11</t>
  </si>
  <si>
    <t>CARE11</t>
  </si>
  <si>
    <t>KISU11</t>
  </si>
  <si>
    <t>MCHF11</t>
  </si>
  <si>
    <t>MFII11</t>
  </si>
  <si>
    <t>NCHB11</t>
  </si>
  <si>
    <t>PORD11</t>
  </si>
  <si>
    <t>RBRF11</t>
  </si>
  <si>
    <t>RBFF11</t>
  </si>
  <si>
    <t>SNCI11</t>
  </si>
  <si>
    <t>SNFF11</t>
  </si>
  <si>
    <t>TGAR11</t>
  </si>
  <si>
    <t>VGHF11</t>
  </si>
  <si>
    <t>VSLH11</t>
  </si>
  <si>
    <t>VIUR11</t>
  </si>
  <si>
    <t>EQIR11</t>
  </si>
  <si>
    <t>Ranking (inspirado no método do livro "The Litle Book that beats the market")</t>
  </si>
  <si>
    <t>Liquidez Diária</t>
  </si>
  <si>
    <t>TICKER</t>
  </si>
  <si>
    <t>SOMA</t>
  </si>
  <si>
    <t>LIQUIDEZ (selecione acima a liquidez minima)</t>
  </si>
  <si>
    <t>Clique na Seta para gerar os rankings pré programados</t>
  </si>
  <si>
    <t>RBRM11</t>
  </si>
  <si>
    <t>TOUR11</t>
  </si>
  <si>
    <t>Graham</t>
  </si>
  <si>
    <t>Mix</t>
  </si>
  <si>
    <t>Maior</t>
  </si>
  <si>
    <t>Menor</t>
  </si>
  <si>
    <t>DMAC11</t>
  </si>
  <si>
    <t>RBHG11</t>
  </si>
  <si>
    <t>NVIF11B</t>
  </si>
  <si>
    <t xml:space="preserve">Código Negociação
</t>
  </si>
  <si>
    <t xml:space="preserve">Cotação        </t>
  </si>
  <si>
    <t xml:space="preserve">Valor de Mercado
</t>
  </si>
  <si>
    <t xml:space="preserve">Valor Patrimonial        </t>
  </si>
  <si>
    <t xml:space="preserve">P/VPA        
</t>
  </si>
  <si>
    <t xml:space="preserve">Valor M² de Mercado
</t>
  </si>
  <si>
    <t xml:space="preserve">Valor M² Patrimonial
</t>
  </si>
  <si>
    <t xml:space="preserve">Valor Último Rendimento
</t>
  </si>
  <si>
    <t xml:space="preserve">Renda Por M2 (Última)        </t>
  </si>
  <si>
    <t xml:space="preserve">Área Bruta Locável        
</t>
  </si>
  <si>
    <t xml:space="preserve">Data Pagamento Último Provento
</t>
  </si>
  <si>
    <t xml:space="preserve">Yield 12 Meses Bas. no Últ. Rend.
</t>
  </si>
  <si>
    <t xml:space="preserve">Yield de Distribuição 12 Meses
</t>
  </si>
  <si>
    <t xml:space="preserve">Data IPO        </t>
  </si>
  <si>
    <t xml:space="preserve">Valor IPO        
</t>
  </si>
  <si>
    <t xml:space="preserve">Variação da Cota no Ano
</t>
  </si>
  <si>
    <t xml:space="preserve">Vacância Física        
</t>
  </si>
  <si>
    <t>Vacância Financeira</t>
  </si>
  <si>
    <t>R$64,20</t>
  </si>
  <si>
    <t>Grand Plaza Shopping</t>
  </si>
  <si>
    <t>RIO BRAVO</t>
  </si>
  <si>
    <t>Shopping/Varejo</t>
  </si>
  <si>
    <t>R$302.087.610,30</t>
  </si>
  <si>
    <t>R$430.917.128,00</t>
  </si>
  <si>
    <t>R$4.402,97</t>
  </si>
  <si>
    <t>R$6.280,68</t>
  </si>
  <si>
    <t>R$0,50</t>
  </si>
  <si>
    <t>R$34,32</t>
  </si>
  <si>
    <t>68.610,00m²</t>
  </si>
  <si>
    <t>R$18,50</t>
  </si>
  <si>
    <t>N/D</t>
  </si>
  <si>
    <t>R$80.710,60</t>
  </si>
  <si>
    <t>R$94,39</t>
  </si>
  <si>
    <t>AF Invest CRI</t>
  </si>
  <si>
    <t>AF Invest Real Estate</t>
  </si>
  <si>
    <t>Recebíveis Imobiliários</t>
  </si>
  <si>
    <t>R$285.579.864,74</t>
  </si>
  <si>
    <t>R$286.551.061,59</t>
  </si>
  <si>
    <t>R$1,05</t>
  </si>
  <si>
    <t>0,00m²</t>
  </si>
  <si>
    <t>R$100,00</t>
  </si>
  <si>
    <t>R$841.361,77</t>
  </si>
  <si>
    <t>AGRX11</t>
  </si>
  <si>
    <t>R$10,25</t>
  </si>
  <si>
    <t>Exes Araguaia Fiagro</t>
  </si>
  <si>
    <t>EXES GESTORA DE RECURSOS</t>
  </si>
  <si>
    <t>Agronegócio</t>
  </si>
  <si>
    <t>R$57.183.357,00</t>
  </si>
  <si>
    <t>R$56.629.183,36</t>
  </si>
  <si>
    <t>R$0,16</t>
  </si>
  <si>
    <t>R$10,00</t>
  </si>
  <si>
    <t>R$16.867,41</t>
  </si>
  <si>
    <t>R$62,41</t>
  </si>
  <si>
    <t>Autonomy Edifícios Corporativos</t>
  </si>
  <si>
    <t>Autonomy Investimentos</t>
  </si>
  <si>
    <t>Lajes Comerciais</t>
  </si>
  <si>
    <t>R$299.583.442,83</t>
  </si>
  <si>
    <t>R$454.619.127,52</t>
  </si>
  <si>
    <t>R$13.031,60</t>
  </si>
  <si>
    <t>R$19.775,51</t>
  </si>
  <si>
    <t>R$0,18</t>
  </si>
  <si>
    <t>R$37,78</t>
  </si>
  <si>
    <t>22.989,00m²</t>
  </si>
  <si>
    <t>R$382.880,34</t>
  </si>
  <si>
    <t>ALMI11</t>
  </si>
  <si>
    <t>R$922,00</t>
  </si>
  <si>
    <t>Torre Almirante</t>
  </si>
  <si>
    <t>BTG PACTUAL</t>
  </si>
  <si>
    <t>R$102.505.194,00</t>
  </si>
  <si>
    <t>R$224.603.756,71</t>
  </si>
  <si>
    <t>R$6.129,23</t>
  </si>
  <si>
    <t>R$13.430,03</t>
  </si>
  <si>
    <t>R$0,00</t>
  </si>
  <si>
    <t>16.724,00m²</t>
  </si>
  <si>
    <t>R$1.000,00</t>
  </si>
  <si>
    <t>R$25.428,48</t>
  </si>
  <si>
    <t>ALZC11</t>
  </si>
  <si>
    <t>Alianza Crédito Imobiliário</t>
  </si>
  <si>
    <t>ALIANZA GESTÃO</t>
  </si>
  <si>
    <t>ALZM11</t>
  </si>
  <si>
    <t>R$81,69</t>
  </si>
  <si>
    <t>Alianza Multiestratégia</t>
  </si>
  <si>
    <t>Fundo de Fundos</t>
  </si>
  <si>
    <t>R$56.145.526,16</t>
  </si>
  <si>
    <t>R$63.444.001,11</t>
  </si>
  <si>
    <t>R$0,87</t>
  </si>
  <si>
    <t>R$144.105,32</t>
  </si>
  <si>
    <t>R$110,87</t>
  </si>
  <si>
    <t>Alianza Trust Renda Imobiliária</t>
  </si>
  <si>
    <t>Híbrido</t>
  </si>
  <si>
    <t>R$769.411.772,84</t>
  </si>
  <si>
    <t>R$733.923.761,30</t>
  </si>
  <si>
    <t>R$6.388,66</t>
  </si>
  <si>
    <t>R$6.093,99</t>
  </si>
  <si>
    <t>R$0,81</t>
  </si>
  <si>
    <t>R$46,31</t>
  </si>
  <si>
    <t>120.434,00m²</t>
  </si>
  <si>
    <t>R$1.064.026,35</t>
  </si>
  <si>
    <t>ANCR11B</t>
  </si>
  <si>
    <t>R$3.450,00</t>
  </si>
  <si>
    <t>Ancar IC</t>
  </si>
  <si>
    <t>SCAI</t>
  </si>
  <si>
    <t>R$1.556.339.850,00</t>
  </si>
  <si>
    <t>R$1.553.043.909,36</t>
  </si>
  <si>
    <t>R$15.424,73</t>
  </si>
  <si>
    <t>R$15.392,06</t>
  </si>
  <si>
    <t>R$21,04</t>
  </si>
  <si>
    <t>R$94,06</t>
  </si>
  <si>
    <t>100.899,00m²</t>
  </si>
  <si>
    <t>R$600,00</t>
  </si>
  <si>
    <t>APTO11</t>
  </si>
  <si>
    <t>R$8,52</t>
  </si>
  <si>
    <t>Navi Residencial</t>
  </si>
  <si>
    <t>NAVI REAL ESTATE SELECTION</t>
  </si>
  <si>
    <t>R$33.908.641,65</t>
  </si>
  <si>
    <t>R$39.933.777,14</t>
  </si>
  <si>
    <t>R$0,10</t>
  </si>
  <si>
    <t>R$45.209,82</t>
  </si>
  <si>
    <t>AQLL11</t>
  </si>
  <si>
    <t>Áquilla</t>
  </si>
  <si>
    <t>QUELUZ</t>
  </si>
  <si>
    <t>Incorporação</t>
  </si>
  <si>
    <t>R$144.606.605,35</t>
  </si>
  <si>
    <t>R$9,29</t>
  </si>
  <si>
    <t>Átrio Reit Recebíveis Imobiliários</t>
  </si>
  <si>
    <t>OPEN KAPITAL GESTÃO</t>
  </si>
  <si>
    <t>R$113.481.194,56</t>
  </si>
  <si>
    <t>R$108.250.162,27</t>
  </si>
  <si>
    <t>R$0,13</t>
  </si>
  <si>
    <t>R$360.126,88</t>
  </si>
  <si>
    <t>ASMT11</t>
  </si>
  <si>
    <t>R$70,55</t>
  </si>
  <si>
    <t>ASA Metropolis</t>
  </si>
  <si>
    <t>ASA ASSET</t>
  </si>
  <si>
    <t>R$71.771.643,80</t>
  </si>
  <si>
    <t>R$85.655.510,06</t>
  </si>
  <si>
    <t>R$3.896,19</t>
  </si>
  <si>
    <t>R$4.649,88</t>
  </si>
  <si>
    <t>R$0,77</t>
  </si>
  <si>
    <t>R$42,52</t>
  </si>
  <si>
    <t>18.421,00m²</t>
  </si>
  <si>
    <t>R$8.161,37</t>
  </si>
  <si>
    <t>ATCR11</t>
  </si>
  <si>
    <t>HAZ FII</t>
  </si>
  <si>
    <t>GRAPHEN</t>
  </si>
  <si>
    <t>Hoteis</t>
  </si>
  <si>
    <t>R$74.948.728,12</t>
  </si>
  <si>
    <t>R$2.015,13</t>
  </si>
  <si>
    <t>R$0,23</t>
  </si>
  <si>
    <t>R$5,66</t>
  </si>
  <si>
    <t>37.193,00m²</t>
  </si>
  <si>
    <t>R$76,48</t>
  </si>
  <si>
    <t>Hedge Atrium Shopping Santo André</t>
  </si>
  <si>
    <t>HEDGE INVESTMENTS</t>
  </si>
  <si>
    <t>R$133.927.263,68</t>
  </si>
  <si>
    <t>R$142.803.950,32</t>
  </si>
  <si>
    <t>R$4.033,95</t>
  </si>
  <si>
    <t>R$4.301,32</t>
  </si>
  <si>
    <t>R$0,05</t>
  </si>
  <si>
    <t>R$2,64</t>
  </si>
  <si>
    <t>33.200,00m²</t>
  </si>
  <si>
    <t>R$1.126,10</t>
  </si>
  <si>
    <t>ATWN11</t>
  </si>
  <si>
    <t>Airport Town</t>
  </si>
  <si>
    <t>R$93.443.264,46</t>
  </si>
  <si>
    <t>R$1.423,29</t>
  </si>
  <si>
    <t>65.653,00m²</t>
  </si>
  <si>
    <t>R$83,15</t>
  </si>
  <si>
    <t>Barigui Rendimentos</t>
  </si>
  <si>
    <t>BARI ASSET</t>
  </si>
  <si>
    <t>R$386.954.948,50</t>
  </si>
  <si>
    <t>R$441.182.476,84</t>
  </si>
  <si>
    <t>R$0,90</t>
  </si>
  <si>
    <t>R$815.559,04</t>
  </si>
  <si>
    <t>R$2.022,00</t>
  </si>
  <si>
    <t>BB Progressivo</t>
  </si>
  <si>
    <t>CAIXA ECONOMICA FEDERAL</t>
  </si>
  <si>
    <t>Agencias Bancárias</t>
  </si>
  <si>
    <t>R$263.900.000,00</t>
  </si>
  <si>
    <t>R$367.372.921,94</t>
  </si>
  <si>
    <t>R$3.057,51</t>
  </si>
  <si>
    <t>R$4.256,34</t>
  </si>
  <si>
    <t>R$26,89</t>
  </si>
  <si>
    <t>R$40,50</t>
  </si>
  <si>
    <t>86.312,00m²</t>
  </si>
  <si>
    <t>R$318.311,13</t>
  </si>
  <si>
    <t>BBFO11</t>
  </si>
  <si>
    <t>R$65,91</t>
  </si>
  <si>
    <t>BB Fundo de Fundos</t>
  </si>
  <si>
    <t>BB GESTAO DE RECURSOS</t>
  </si>
  <si>
    <t>R$262.255.450,00</t>
  </si>
  <si>
    <t>R$316.997.914,16</t>
  </si>
  <si>
    <t>R$187.165,43</t>
  </si>
  <si>
    <t>BBGO11</t>
  </si>
  <si>
    <t>R$78,35</t>
  </si>
  <si>
    <t>BB Crédito Fiagro</t>
  </si>
  <si>
    <t>R$313.804.599,40</t>
  </si>
  <si>
    <t>R$392.409.748,89</t>
  </si>
  <si>
    <t>R$217.970,99</t>
  </si>
  <si>
    <t>BBIM11</t>
  </si>
  <si>
    <t>BB Recebíveis Imobiliários</t>
  </si>
  <si>
    <t>R$30.913.214,77</t>
  </si>
  <si>
    <t>R$0,15</t>
  </si>
  <si>
    <t>R$83,85</t>
  </si>
  <si>
    <t>BB Progressivo II</t>
  </si>
  <si>
    <t>VOTORANTIM ASSET</t>
  </si>
  <si>
    <t>R$1.327.224.555,30</t>
  </si>
  <si>
    <t>R$1.603.971.546,08</t>
  </si>
  <si>
    <t>R$4.186,60</t>
  </si>
  <si>
    <t>R$5.059,58</t>
  </si>
  <si>
    <t>R$45,20</t>
  </si>
  <si>
    <t>317.017,00m²</t>
  </si>
  <si>
    <t>R$1.396.651,60</t>
  </si>
  <si>
    <t>R$92,82</t>
  </si>
  <si>
    <t>BB Renda Corporativa</t>
  </si>
  <si>
    <t>BV DTVM</t>
  </si>
  <si>
    <t>R$147.583.800,00</t>
  </si>
  <si>
    <t>R$171.457.603,60</t>
  </si>
  <si>
    <t>R$9.842,20</t>
  </si>
  <si>
    <t>R$11.434,32</t>
  </si>
  <si>
    <t>R$0,99</t>
  </si>
  <si>
    <t>R$104,97</t>
  </si>
  <si>
    <t>14.995,00m²</t>
  </si>
  <si>
    <t>R$85.722,00</t>
  </si>
  <si>
    <t>R$62,95</t>
  </si>
  <si>
    <t>BTG Pactual Fundo de Fundos</t>
  </si>
  <si>
    <t>R$1.573.141.169,88</t>
  </si>
  <si>
    <t>R$1.855.471.697,70</t>
  </si>
  <si>
    <t>R$0,56</t>
  </si>
  <si>
    <t>R$2.409.257,36</t>
  </si>
  <si>
    <t>R$82,89</t>
  </si>
  <si>
    <t>Bradesco Carteira Imobiliária Ativa</t>
  </si>
  <si>
    <t>BRAM – Bradesco</t>
  </si>
  <si>
    <t>R$305.742.113,98</t>
  </si>
  <si>
    <t>R$362.632.534,13</t>
  </si>
  <si>
    <t>R$0,76</t>
  </si>
  <si>
    <t>R$281.723,26</t>
  </si>
  <si>
    <t>R$93,72</t>
  </si>
  <si>
    <t>Banestes Recebíveis Imobiliários</t>
  </si>
  <si>
    <t>Banestes DTVM</t>
  </si>
  <si>
    <t>R$583.296.342,33</t>
  </si>
  <si>
    <t>R$628.182.442,20</t>
  </si>
  <si>
    <t>R$1,00</t>
  </si>
  <si>
    <t>R$532.304,01</t>
  </si>
  <si>
    <t>BICE11</t>
  </si>
  <si>
    <t>R$950,00</t>
  </si>
  <si>
    <t>Brio Crédito Estruturado</t>
  </si>
  <si>
    <t>BRIO</t>
  </si>
  <si>
    <t>R$67.714.100,00</t>
  </si>
  <si>
    <t>R$69.228.822,25</t>
  </si>
  <si>
    <t>R$18,40</t>
  </si>
  <si>
    <t>R$340.509,00</t>
  </si>
  <si>
    <t>R$91,51</t>
  </si>
  <si>
    <t>Inter Títulos Imobiliários</t>
  </si>
  <si>
    <t>INTER</t>
  </si>
  <si>
    <t>R$51.685.000,00</t>
  </si>
  <si>
    <t>R$49.690.253,13</t>
  </si>
  <si>
    <t>R$0,80</t>
  </si>
  <si>
    <t>R$725,98</t>
  </si>
  <si>
    <t>BIME11</t>
  </si>
  <si>
    <t>R$7,48</t>
  </si>
  <si>
    <t>Brio Multiestratégia</t>
  </si>
  <si>
    <t>R$44.251.207,14</t>
  </si>
  <si>
    <t>R$52.284.897,57</t>
  </si>
  <si>
    <t>R$0,08</t>
  </si>
  <si>
    <t>R$81.884,21</t>
  </si>
  <si>
    <t>BLCA11</t>
  </si>
  <si>
    <t>R$115,00</t>
  </si>
  <si>
    <t>BlueMacaw Catuaí Triple A</t>
  </si>
  <si>
    <t>BlueMacaw e Catuaí</t>
  </si>
  <si>
    <t>R$184.000.000,00</t>
  </si>
  <si>
    <t>R$228.125.530,48</t>
  </si>
  <si>
    <t>R$19.483,27</t>
  </si>
  <si>
    <t>R$24.155,60</t>
  </si>
  <si>
    <t>R$0,57</t>
  </si>
  <si>
    <t>R$96,57</t>
  </si>
  <si>
    <t>9.444,00m²</t>
  </si>
  <si>
    <t>R$86,00</t>
  </si>
  <si>
    <t>R$180.589,59</t>
  </si>
  <si>
    <t>R$67,25</t>
  </si>
  <si>
    <t>BlueMacaw Logística</t>
  </si>
  <si>
    <t>BlueMacaw</t>
  </si>
  <si>
    <t>Logisticos</t>
  </si>
  <si>
    <t>R$255.347.501,88</t>
  </si>
  <si>
    <t>R$361.649.669,40</t>
  </si>
  <si>
    <t>R$958,08</t>
  </si>
  <si>
    <t>R$1.356,93</t>
  </si>
  <si>
    <t>R$0,79</t>
  </si>
  <si>
    <t>R$11,30</t>
  </si>
  <si>
    <t>266.521,00m²</t>
  </si>
  <si>
    <t>R$542.664,59</t>
  </si>
  <si>
    <t>BLMO11</t>
  </si>
  <si>
    <t>R$21.000,00</t>
  </si>
  <si>
    <t>BlueMacaw Office Fund II</t>
  </si>
  <si>
    <t>R$79.737.000,00</t>
  </si>
  <si>
    <t>R$126.767.015,42</t>
  </si>
  <si>
    <t>R$9.988,35</t>
  </si>
  <si>
    <t>R$15.879,62</t>
  </si>
  <si>
    <t>R$38,00</t>
  </si>
  <si>
    <t>R$18,07</t>
  </si>
  <si>
    <t>7.983,00m²</t>
  </si>
  <si>
    <t>R$25.000,00</t>
  </si>
  <si>
    <t>R$6,22</t>
  </si>
  <si>
    <t>BlueMacaw Renda + FOF</t>
  </si>
  <si>
    <t>R$158.613.522,30</t>
  </si>
  <si>
    <t>R$192.139.436,48</t>
  </si>
  <si>
    <t>R$0,07</t>
  </si>
  <si>
    <t>R$370.154,11</t>
  </si>
  <si>
    <t>BLUR11</t>
  </si>
  <si>
    <t>R$101,50</t>
  </si>
  <si>
    <t>Blue Recebíveis Imobiliários</t>
  </si>
  <si>
    <t>BLUE ASSET</t>
  </si>
  <si>
    <t>R$9.135.000,00</t>
  </si>
  <si>
    <t>R$9.077.966,57</t>
  </si>
  <si>
    <t>R$1,03</t>
  </si>
  <si>
    <t>R$1.079,98</t>
  </si>
  <si>
    <t>BMII11</t>
  </si>
  <si>
    <t>Brasílio Machado</t>
  </si>
  <si>
    <t>R$67.499.157,31</t>
  </si>
  <si>
    <t>R$6.376,83</t>
  </si>
  <si>
    <t>10.585,06m²</t>
  </si>
  <si>
    <t>BM Brascan Lajes Corporativas</t>
  </si>
  <si>
    <t>Argucia Capital Management</t>
  </si>
  <si>
    <t>R$101.338.107,50</t>
  </si>
  <si>
    <t>R$113.282.862,37</t>
  </si>
  <si>
    <t>R$13.859,15</t>
  </si>
  <si>
    <t>R$15.492,73</t>
  </si>
  <si>
    <t>R$0,66</t>
  </si>
  <si>
    <t>R$90,12</t>
  </si>
  <si>
    <t>7.312,00m²</t>
  </si>
  <si>
    <t>R$96.530,84</t>
  </si>
  <si>
    <t>BNFS11</t>
  </si>
  <si>
    <t>R$121,48</t>
  </si>
  <si>
    <t>Banrisul Novas Fronteiras</t>
  </si>
  <si>
    <t>OLIVEIRA TRUST</t>
  </si>
  <si>
    <t>R$85.141.000,00</t>
  </si>
  <si>
    <t>R$63.975.331,10</t>
  </si>
  <si>
    <t>R$8.328,38</t>
  </si>
  <si>
    <t>R$6.257,98</t>
  </si>
  <si>
    <t>R$1,33</t>
  </si>
  <si>
    <t>R$90,98</t>
  </si>
  <si>
    <t>10.223,00m²</t>
  </si>
  <si>
    <t>R$44.923,85</t>
  </si>
  <si>
    <t>R$62,32</t>
  </si>
  <si>
    <t>Brasil Plural Absoluto Fundo de Fundos</t>
  </si>
  <si>
    <t>BRASIL PLURAL</t>
  </si>
  <si>
    <t>R$275.828.816,40</t>
  </si>
  <si>
    <t>R$322.269.846,68</t>
  </si>
  <si>
    <t>R$0,62</t>
  </si>
  <si>
    <t>R$266.079,23</t>
  </si>
  <si>
    <t>R$58,92</t>
  </si>
  <si>
    <t>BTG Pactual Shoppings</t>
  </si>
  <si>
    <t>R$253.655.254,68</t>
  </si>
  <si>
    <t>R$534.355.401,39</t>
  </si>
  <si>
    <t>R$1.801,40</t>
  </si>
  <si>
    <t>R$3.794,87</t>
  </si>
  <si>
    <t>R$0,27</t>
  </si>
  <si>
    <t>R$8,27</t>
  </si>
  <si>
    <t>140.810,00m²</t>
  </si>
  <si>
    <t>R$13.563,55</t>
  </si>
  <si>
    <t>R$91,27</t>
  </si>
  <si>
    <t>BRLPROP</t>
  </si>
  <si>
    <t>R$123.199.622,99</t>
  </si>
  <si>
    <t>R$147.314.892,21</t>
  </si>
  <si>
    <t>R$5.297,31</t>
  </si>
  <si>
    <t>R$6.334,22</t>
  </si>
  <si>
    <t>R$0,92</t>
  </si>
  <si>
    <t>R$53,20</t>
  </si>
  <si>
    <t>23.257,00m²</t>
  </si>
  <si>
    <t>R$1.522,03</t>
  </si>
  <si>
    <t>R$92,81</t>
  </si>
  <si>
    <t>Bresco Logística</t>
  </si>
  <si>
    <t>Bresco</t>
  </si>
  <si>
    <t>R$1.380.485.933,21</t>
  </si>
  <si>
    <t>R$1.794.750.559,87</t>
  </si>
  <si>
    <t>R$3.095,26</t>
  </si>
  <si>
    <t>R$4.024,10</t>
  </si>
  <si>
    <t>R$20,54</t>
  </si>
  <si>
    <t>446.000,00m²</t>
  </si>
  <si>
    <t>R$2.944.645,37</t>
  </si>
  <si>
    <t>R$54,25</t>
  </si>
  <si>
    <t>BTG Pactual Corporate Office Fund</t>
  </si>
  <si>
    <t>R$1.449.917.334,86</t>
  </si>
  <si>
    <t>R$2.653.592.592,99</t>
  </si>
  <si>
    <t>R$6.046,01</t>
  </si>
  <si>
    <t>R$11.065,21</t>
  </si>
  <si>
    <t>R$0,47</t>
  </si>
  <si>
    <t>R$52,21</t>
  </si>
  <si>
    <t>239.814,00m²</t>
  </si>
  <si>
    <t>R$1.581.770,75</t>
  </si>
  <si>
    <t>R$103,00</t>
  </si>
  <si>
    <t>Brazil Real Estate Victory Fund I</t>
  </si>
  <si>
    <t>BR-CAPITAL</t>
  </si>
  <si>
    <t>R$95.278.970,51</t>
  </si>
  <si>
    <t>R$117.322.323,15</t>
  </si>
  <si>
    <t>R$16.179,14</t>
  </si>
  <si>
    <t>R$19.922,28</t>
  </si>
  <si>
    <t>R$0,64</t>
  </si>
  <si>
    <t>R$105,11</t>
  </si>
  <si>
    <t>5.889,00m²</t>
  </si>
  <si>
    <t>R$2.368,27</t>
  </si>
  <si>
    <t>BRHT11B</t>
  </si>
  <si>
    <t>BR Hoteis</t>
  </si>
  <si>
    <t>GRAPHEN INVESTIMENTOS</t>
  </si>
  <si>
    <t>R$146.890.978,94</t>
  </si>
  <si>
    <t>R$8.934,43</t>
  </si>
  <si>
    <t>16.441,00m²</t>
  </si>
  <si>
    <t>R$1.030,22</t>
  </si>
  <si>
    <t>Brio Real Estate II</t>
  </si>
  <si>
    <t>Incorporação Residencial</t>
  </si>
  <si>
    <t>R$127.861.110,00</t>
  </si>
  <si>
    <t>R$136.479.584,88</t>
  </si>
  <si>
    <t>R$10,89</t>
  </si>
  <si>
    <t>BRIP11</t>
  </si>
  <si>
    <t>R$1.100,00</t>
  </si>
  <si>
    <t>Brio Real Estate III</t>
  </si>
  <si>
    <t>R$224.437.238,00</t>
  </si>
  <si>
    <t>R$201.153.616,78</t>
  </si>
  <si>
    <t>R$107,00</t>
  </si>
  <si>
    <t>BRLA11</t>
  </si>
  <si>
    <t>R$142,00</t>
  </si>
  <si>
    <t>BRL Prop II</t>
  </si>
  <si>
    <t>R$401.511.390,00</t>
  </si>
  <si>
    <t>R$446.913.898,67</t>
  </si>
  <si>
    <t>R$11.075,87</t>
  </si>
  <si>
    <t>R$12.328,32</t>
  </si>
  <si>
    <t>R$1,09</t>
  </si>
  <si>
    <t>R$85,25</t>
  </si>
  <si>
    <t>36.251,00m²</t>
  </si>
  <si>
    <t>R$402.390,23</t>
  </si>
  <si>
    <t>R$88,43</t>
  </si>
  <si>
    <t>Btg Pactual Agro Logística</t>
  </si>
  <si>
    <t>R$531.984.885,12</t>
  </si>
  <si>
    <t>R$626.919.387,32</t>
  </si>
  <si>
    <t>R$0,83</t>
  </si>
  <si>
    <t>R$1.150.158,07</t>
  </si>
  <si>
    <t>BTCI11</t>
  </si>
  <si>
    <t>R$8,55</t>
  </si>
  <si>
    <t>BTG Pactual Crédito Imobiliário</t>
  </si>
  <si>
    <t>R$865.834.196,40</t>
  </si>
  <si>
    <t>R$1.001.785.062,11</t>
  </si>
  <si>
    <t>R$0,11</t>
  </si>
  <si>
    <t>R$11,11</t>
  </si>
  <si>
    <t>R$902.904,12</t>
  </si>
  <si>
    <t>R$93,31</t>
  </si>
  <si>
    <t>BTG Pactual Logística</t>
  </si>
  <si>
    <t>R$1.960.695.638,44</t>
  </si>
  <si>
    <t>R$2.078.328.124,28</t>
  </si>
  <si>
    <t>R$2.940,01</t>
  </si>
  <si>
    <t>R$3.116,40</t>
  </si>
  <si>
    <t>R$0,74</t>
  </si>
  <si>
    <t>R$23,38</t>
  </si>
  <si>
    <t>666.900,00m²</t>
  </si>
  <si>
    <t>R$4.707.708,53</t>
  </si>
  <si>
    <t>R$85,31</t>
  </si>
  <si>
    <t>BTG Pactual Terras Agrícolas</t>
  </si>
  <si>
    <t>R$283.430.450,16</t>
  </si>
  <si>
    <t>R$466.641.228,30</t>
  </si>
  <si>
    <t>R$0,95</t>
  </si>
  <si>
    <t>R$565.577,63</t>
  </si>
  <si>
    <t>BTSG11</t>
  </si>
  <si>
    <t>BTSP I</t>
  </si>
  <si>
    <t>R$77.501.500,00</t>
  </si>
  <si>
    <t>R$106.695.683,55</t>
  </si>
  <si>
    <t>R$0,86</t>
  </si>
  <si>
    <t>BTSI11</t>
  </si>
  <si>
    <t>BTSP II</t>
  </si>
  <si>
    <t>R$194.420.815,48</t>
  </si>
  <si>
    <t>R$0,71</t>
  </si>
  <si>
    <t>BTWR11</t>
  </si>
  <si>
    <t>BTowers</t>
  </si>
  <si>
    <t>HGI CAPITAL</t>
  </si>
  <si>
    <t>R$86.591.890,00</t>
  </si>
  <si>
    <t>R$90.269.881,80</t>
  </si>
  <si>
    <t>R$5.282,57</t>
  </si>
  <si>
    <t>R$5.506,95</t>
  </si>
  <si>
    <t>R$0,36</t>
  </si>
  <si>
    <t>R$17,77</t>
  </si>
  <si>
    <t>16.392,00m²</t>
  </si>
  <si>
    <t>R$106,72</t>
  </si>
  <si>
    <t>BVAR11</t>
  </si>
  <si>
    <t>Brasil Varejo</t>
  </si>
  <si>
    <t>R$743.320.271,01</t>
  </si>
  <si>
    <t>R$5.081,29</t>
  </si>
  <si>
    <t>146.285,86m²</t>
  </si>
  <si>
    <t>BZEL11</t>
  </si>
  <si>
    <t>Barzel</t>
  </si>
  <si>
    <t>BARZEL PROPERTIES GESTORA DE RECURSOS LTDA</t>
  </si>
  <si>
    <t>R$382.134.430,16</t>
  </si>
  <si>
    <t>R$1.660,43</t>
  </si>
  <si>
    <t>230.142,00m²</t>
  </si>
  <si>
    <t>BZLI11</t>
  </si>
  <si>
    <t>R$16,51</t>
  </si>
  <si>
    <t>Brazil Realty</t>
  </si>
  <si>
    <t>Iron Capital</t>
  </si>
  <si>
    <t>R$685.623.400,15</t>
  </si>
  <si>
    <t>R$448.456.317,82</t>
  </si>
  <si>
    <t>R$8,11</t>
  </si>
  <si>
    <t>R$382,55</t>
  </si>
  <si>
    <t>R$104,10</t>
  </si>
  <si>
    <t>Cartesia Recebíveis Imobiliários</t>
  </si>
  <si>
    <t>Cartesia Capital</t>
  </si>
  <si>
    <t>R$188.479.217,52</t>
  </si>
  <si>
    <t>R$187.613.166,19</t>
  </si>
  <si>
    <t>R$1,40</t>
  </si>
  <si>
    <t>R$466.072,26</t>
  </si>
  <si>
    <t>R$2,35</t>
  </si>
  <si>
    <t>Brazilian GraveyardDeath Care</t>
  </si>
  <si>
    <t>Zion Gestão</t>
  </si>
  <si>
    <t>Outros</t>
  </si>
  <si>
    <t>R$82.986.212,08</t>
  </si>
  <si>
    <t>R$291.093.995,38</t>
  </si>
  <si>
    <t>R$5,00</t>
  </si>
  <si>
    <t>R$18.070,45</t>
  </si>
  <si>
    <t>CBOP11</t>
  </si>
  <si>
    <t>R$45,11</t>
  </si>
  <si>
    <t>Castello Branco Office Park</t>
  </si>
  <si>
    <t>CREDIT SUISSE</t>
  </si>
  <si>
    <t>R$63.675.000,00</t>
  </si>
  <si>
    <t>R$104.523.734,87</t>
  </si>
  <si>
    <t>R$3.970,51</t>
  </si>
  <si>
    <t>R$6.517,66</t>
  </si>
  <si>
    <t>R$0,12</t>
  </si>
  <si>
    <t>R$10,59</t>
  </si>
  <si>
    <t>16.037,00m²</t>
  </si>
  <si>
    <t>R$33.781,82</t>
  </si>
  <si>
    <t>CCLB11</t>
  </si>
  <si>
    <t>Central Leblon FII</t>
  </si>
  <si>
    <t>Colina Central Gestão de Recursos</t>
  </si>
  <si>
    <t>R$36.952.853,99</t>
  </si>
  <si>
    <t>CCRF11</t>
  </si>
  <si>
    <t>R$81,00</t>
  </si>
  <si>
    <t>RBR CRI</t>
  </si>
  <si>
    <t>RBR GESTÃO</t>
  </si>
  <si>
    <t>R$134.869.020,00</t>
  </si>
  <si>
    <t>R$149.178.347,27</t>
  </si>
  <si>
    <t>R$1,37</t>
  </si>
  <si>
    <t>R$2.384,47</t>
  </si>
  <si>
    <t>R$55,46</t>
  </si>
  <si>
    <t>CEO Cyrela Commercial Properties</t>
  </si>
  <si>
    <t>R$95.414.824,80</t>
  </si>
  <si>
    <t>R$142.951.482,39</t>
  </si>
  <si>
    <t>R$7.989,86</t>
  </si>
  <si>
    <t>R$11.970,49</t>
  </si>
  <si>
    <t>R$0,65</t>
  </si>
  <si>
    <t>R$98,98</t>
  </si>
  <si>
    <t>11.941,99m²</t>
  </si>
  <si>
    <t>R$28.375,25</t>
  </si>
  <si>
    <t>CFHI11</t>
  </si>
  <si>
    <t>CF2 FII</t>
  </si>
  <si>
    <t>CATUAÍ</t>
  </si>
  <si>
    <t>R$91.145.208,00</t>
  </si>
  <si>
    <t>R$63.295.894,29</t>
  </si>
  <si>
    <t>R$30.114,52</t>
  </si>
  <si>
    <t>R$20.913,06</t>
  </si>
  <si>
    <t>3.026,62m²</t>
  </si>
  <si>
    <t>CJCT11</t>
  </si>
  <si>
    <t>R$67,51</t>
  </si>
  <si>
    <t>Cidade Jardim Continental Tower</t>
  </si>
  <si>
    <t>R$211.950.000,00</t>
  </si>
  <si>
    <t>R$206.620.369,41</t>
  </si>
  <si>
    <t>R$11.074,25</t>
  </si>
  <si>
    <t>R$10.795,78</t>
  </si>
  <si>
    <t>19.139,00m²</t>
  </si>
  <si>
    <t>R$63.893,76</t>
  </si>
  <si>
    <t>CJFI11</t>
  </si>
  <si>
    <t>CJ FII</t>
  </si>
  <si>
    <t>R$136.395.487,62</t>
  </si>
  <si>
    <t>R$18.288,48</t>
  </si>
  <si>
    <t>7.458,00m²</t>
  </si>
  <si>
    <t>R$29,81</t>
  </si>
  <si>
    <t>Cenesp</t>
  </si>
  <si>
    <t>R$94.375.936,00</t>
  </si>
  <si>
    <t>R$263.516.534,26</t>
  </si>
  <si>
    <t>R$1.463,65</t>
  </si>
  <si>
    <t>R$4.086,79</t>
  </si>
  <si>
    <t>R$5,93</t>
  </si>
  <si>
    <t>64.480,00m²</t>
  </si>
  <si>
    <t>R$2.393,73</t>
  </si>
  <si>
    <t>R$59,90</t>
  </si>
  <si>
    <t>Capitânia REIT FOF</t>
  </si>
  <si>
    <t>CAPITÂNIA S.A.</t>
  </si>
  <si>
    <t>R$154.563.099,96</t>
  </si>
  <si>
    <t>R$197.712.406,11</t>
  </si>
  <si>
    <t>R$0,37</t>
  </si>
  <si>
    <t>R$273.575,24</t>
  </si>
  <si>
    <t>CPTR11</t>
  </si>
  <si>
    <t>R$97,90</t>
  </si>
  <si>
    <t>Capitânia Agro Strategies Fiagro</t>
  </si>
  <si>
    <t>CAPITANIA INVESTIMENTOS</t>
  </si>
  <si>
    <t>R$404.821.126,98</t>
  </si>
  <si>
    <t>R$409.023.615,09</t>
  </si>
  <si>
    <t>R$1,45</t>
  </si>
  <si>
    <t>R$96,50</t>
  </si>
  <si>
    <t>R$1.456.053,27</t>
  </si>
  <si>
    <t>R$77,21</t>
  </si>
  <si>
    <t>Capitânia Securities II</t>
  </si>
  <si>
    <t>R$2.485.098.226,66</t>
  </si>
  <si>
    <t>R$2.791.085.184,10</t>
  </si>
  <si>
    <t>R$0,75</t>
  </si>
  <si>
    <t>R$6.490.215,97</t>
  </si>
  <si>
    <t>R$64,68</t>
  </si>
  <si>
    <t>Caixa Rio Bravo Fundo de Fundos II</t>
  </si>
  <si>
    <t>CAIXA E RIO BRAVO</t>
  </si>
  <si>
    <t>R$44.631.787,20</t>
  </si>
  <si>
    <t>R$56.441.962,29</t>
  </si>
  <si>
    <t>R$0,61</t>
  </si>
  <si>
    <t>R$9.838,11</t>
  </si>
  <si>
    <t>CTXT11</t>
  </si>
  <si>
    <t>R$11,89</t>
  </si>
  <si>
    <t>Centro Têxtil Internacional</t>
  </si>
  <si>
    <t>R$37.362.173,76</t>
  </si>
  <si>
    <t>R$108.223.523,09</t>
  </si>
  <si>
    <t>R$1.096,08</t>
  </si>
  <si>
    <t>R$3.174,92</t>
  </si>
  <si>
    <t>34.087,00m²</t>
  </si>
  <si>
    <t>R$42,00</t>
  </si>
  <si>
    <t>R$3.691,89</t>
  </si>
  <si>
    <t>R$88,28</t>
  </si>
  <si>
    <t>VBI CRI</t>
  </si>
  <si>
    <t>VBI REAL ESTATE</t>
  </si>
  <si>
    <t>R$978.478.962,36</t>
  </si>
  <si>
    <t>R$1.033.955.309,88</t>
  </si>
  <si>
    <t>R$1,10</t>
  </si>
  <si>
    <t>R$2.880.014,53</t>
  </si>
  <si>
    <t>CXAG11</t>
  </si>
  <si>
    <t>R$77,28</t>
  </si>
  <si>
    <t>Caixa Agencias</t>
  </si>
  <si>
    <t>RB CAPITAL</t>
  </si>
  <si>
    <t>R$161.876.784,03</t>
  </si>
  <si>
    <t>R$239.776.557,58</t>
  </si>
  <si>
    <t>R$2.865,33</t>
  </si>
  <si>
    <t>R$4.244,21</t>
  </si>
  <si>
    <t>R$27,75</t>
  </si>
  <si>
    <t>56.495,00m²</t>
  </si>
  <si>
    <t>R$103,70</t>
  </si>
  <si>
    <t>R$132.453,50</t>
  </si>
  <si>
    <t>R$40,47</t>
  </si>
  <si>
    <t>Caixa Cedae</t>
  </si>
  <si>
    <t>R$69.031.885,00</t>
  </si>
  <si>
    <t>R$112.389.969,30</t>
  </si>
  <si>
    <t>R$3.462,33</t>
  </si>
  <si>
    <t>R$5.636,97</t>
  </si>
  <si>
    <t>R$0,41</t>
  </si>
  <si>
    <t>R$34,96</t>
  </si>
  <si>
    <t>19.938,00m²</t>
  </si>
  <si>
    <t>R$40,00</t>
  </si>
  <si>
    <t>R$16.221,52</t>
  </si>
  <si>
    <t>CXCI11</t>
  </si>
  <si>
    <t>R$75,57</t>
  </si>
  <si>
    <t>Caixa Carteira Imobiliária</t>
  </si>
  <si>
    <t>CAIXA ASSET</t>
  </si>
  <si>
    <t>R$154.329.450,00</t>
  </si>
  <si>
    <t>R$186.974.571,02</t>
  </si>
  <si>
    <t>R$91.818,69</t>
  </si>
  <si>
    <t>CXCO11</t>
  </si>
  <si>
    <t>R$69,50</t>
  </si>
  <si>
    <t>Caixa Imóveis Corporativos</t>
  </si>
  <si>
    <t>R$273.694.630,00</t>
  </si>
  <si>
    <t>R$389.867.445,16</t>
  </si>
  <si>
    <t>R$0,73</t>
  </si>
  <si>
    <t>R$102,89</t>
  </si>
  <si>
    <t>R$123.050,25</t>
  </si>
  <si>
    <t>CXRI11</t>
  </si>
  <si>
    <t>R$62,88</t>
  </si>
  <si>
    <t>Caixa Rio Bravo Fundo de Fundos</t>
  </si>
  <si>
    <t>R$99.272.880,00</t>
  </si>
  <si>
    <t>R$126.744.425,48</t>
  </si>
  <si>
    <t>R$12.768,13</t>
  </si>
  <si>
    <t>R$412,00</t>
  </si>
  <si>
    <t>Caixa Seq Logística Renda</t>
  </si>
  <si>
    <t>R$22.242.755,00</t>
  </si>
  <si>
    <t>R$25.488.675,98</t>
  </si>
  <si>
    <t>R$2.888,67</t>
  </si>
  <si>
    <t>R$3.310,22</t>
  </si>
  <si>
    <t>R$1,51</t>
  </si>
  <si>
    <t>R$10,53</t>
  </si>
  <si>
    <t>7.700,00m²</t>
  </si>
  <si>
    <t>R$14.543,45</t>
  </si>
  <si>
    <t>CYCR11</t>
  </si>
  <si>
    <t>R$8,22</t>
  </si>
  <si>
    <t>Cyrela Crédito</t>
  </si>
  <si>
    <t>CY.CAPITAL</t>
  </si>
  <si>
    <t>R$133.789.888,00</t>
  </si>
  <si>
    <t>R$155.882.056,48</t>
  </si>
  <si>
    <t>R$257.266,73</t>
  </si>
  <si>
    <t>DAMT11B</t>
  </si>
  <si>
    <t>R$14,91</t>
  </si>
  <si>
    <t>Diamante</t>
  </si>
  <si>
    <t>R$108.922.649,22</t>
  </si>
  <si>
    <t>R$96.386.872,04</t>
  </si>
  <si>
    <t>R$20,00</t>
  </si>
  <si>
    <t>R$512,20</t>
  </si>
  <si>
    <t>DCRA11</t>
  </si>
  <si>
    <t>R$9,10</t>
  </si>
  <si>
    <t>Devant Fiagro</t>
  </si>
  <si>
    <t>DEVANT ASSET</t>
  </si>
  <si>
    <t>R$61.501.658,40</t>
  </si>
  <si>
    <t>R$64.835.554,72</t>
  </si>
  <si>
    <t>R$273.954,72</t>
  </si>
  <si>
    <t>R$85,12</t>
  </si>
  <si>
    <t>Devant Recebíveis Imobiliários</t>
  </si>
  <si>
    <t>R$1.191.289.096,56</t>
  </si>
  <si>
    <t>R$1.420.869.973,77</t>
  </si>
  <si>
    <t>R$2.579.674,47</t>
  </si>
  <si>
    <t>DLMT11</t>
  </si>
  <si>
    <t>Del Monte Ajax</t>
  </si>
  <si>
    <t>PLANNER</t>
  </si>
  <si>
    <t>R$8.615.285,97</t>
  </si>
  <si>
    <t>R$7.789,59</t>
  </si>
  <si>
    <t>R$11,29</t>
  </si>
  <si>
    <t>1.106,00m²</t>
  </si>
  <si>
    <t>MAC FII</t>
  </si>
  <si>
    <t>R$778.257,90</t>
  </si>
  <si>
    <t>R$4,89</t>
  </si>
  <si>
    <t>DOVL11B</t>
  </si>
  <si>
    <t>Dovel</t>
  </si>
  <si>
    <t>OPPORTUNITY DTVM</t>
  </si>
  <si>
    <t>R$61.213.714,86</t>
  </si>
  <si>
    <t>R$79.756.366,36</t>
  </si>
  <si>
    <t>R$3.704,98</t>
  </si>
  <si>
    <t>R$4.827,28</t>
  </si>
  <si>
    <t>R$30,21</t>
  </si>
  <si>
    <t>R$121,42</t>
  </si>
  <si>
    <t>16.522,00m²</t>
  </si>
  <si>
    <t>DPRO11</t>
  </si>
  <si>
    <t>R$90,02</t>
  </si>
  <si>
    <t>Devant Properties</t>
  </si>
  <si>
    <t>R$35.868.325,00</t>
  </si>
  <si>
    <t>R$35.679.316,70</t>
  </si>
  <si>
    <t>R$2.206,06</t>
  </si>
  <si>
    <t>R$2.194,43</t>
  </si>
  <si>
    <t>R$20,56</t>
  </si>
  <si>
    <t>16.259,00m²</t>
  </si>
  <si>
    <t>R$1.878,22</t>
  </si>
  <si>
    <t>DRIT11B</t>
  </si>
  <si>
    <t>R$92,88</t>
  </si>
  <si>
    <t>Multigestão Renda Comercial</t>
  </si>
  <si>
    <t>DAYCOVAL</t>
  </si>
  <si>
    <t>R$41.694.930,00</t>
  </si>
  <si>
    <t>R$61.293.830,55</t>
  </si>
  <si>
    <t>R$8.575,67</t>
  </si>
  <si>
    <t>R$12.606,71</t>
  </si>
  <si>
    <t>R$0,54</t>
  </si>
  <si>
    <t>R$51,45</t>
  </si>
  <si>
    <t>4.862,00m²</t>
  </si>
  <si>
    <t>R$494,38</t>
  </si>
  <si>
    <t>DVFF11</t>
  </si>
  <si>
    <t>R$71,85</t>
  </si>
  <si>
    <t>Devant Fundo de Fundos</t>
  </si>
  <si>
    <t>R$76.637.129,50</t>
  </si>
  <si>
    <t>R$97.193.956,72</t>
  </si>
  <si>
    <t>R$0,70</t>
  </si>
  <si>
    <t>R$20.133,24</t>
  </si>
  <si>
    <t>R$199,99</t>
  </si>
  <si>
    <t>Edifício Ourinvest</t>
  </si>
  <si>
    <t>R$47.200.000,00</t>
  </si>
  <si>
    <t>R$42.629.769,94</t>
  </si>
  <si>
    <t>R$11.398,21</t>
  </si>
  <si>
    <t>R$10.294,56</t>
  </si>
  <si>
    <t>R$1,70</t>
  </si>
  <si>
    <t>R$97,05</t>
  </si>
  <si>
    <t>4.141,00m²</t>
  </si>
  <si>
    <t>R$3.087,14</t>
  </si>
  <si>
    <t>R$20,60</t>
  </si>
  <si>
    <t>Edifício Galeria</t>
  </si>
  <si>
    <t>R$79.633.828,95</t>
  </si>
  <si>
    <t>R$233.668.180,11</t>
  </si>
  <si>
    <t>R$3.205,35</t>
  </si>
  <si>
    <t>R$9.405,42</t>
  </si>
  <si>
    <t>R$19,95</t>
  </si>
  <si>
    <t>24.844,00m²</t>
  </si>
  <si>
    <t>R$33.730,27</t>
  </si>
  <si>
    <t>EGAF11</t>
  </si>
  <si>
    <t>R$101,63</t>
  </si>
  <si>
    <t>Ecoagro I Fiagro</t>
  </si>
  <si>
    <t>ECO GESTÃO DE ATIVOS</t>
  </si>
  <si>
    <t>R$94.667.002,92</t>
  </si>
  <si>
    <t>R$91.423.845,48</t>
  </si>
  <si>
    <t>R$1,47</t>
  </si>
  <si>
    <t>R$973.331,61</t>
  </si>
  <si>
    <t>EGYR11</t>
  </si>
  <si>
    <t>R$1,66</t>
  </si>
  <si>
    <t>Energy Resort</t>
  </si>
  <si>
    <t>WNT</t>
  </si>
  <si>
    <t>R$12.189.759,66</t>
  </si>
  <si>
    <t>R$93.276.676,40</t>
  </si>
  <si>
    <t>R$4.114,76</t>
  </si>
  <si>
    <t>ELDO11B</t>
  </si>
  <si>
    <t>Eldorado</t>
  </si>
  <si>
    <t>R$537.979.260,16</t>
  </si>
  <si>
    <t>R$1.132.994.231,53</t>
  </si>
  <si>
    <t>R$7.162,84</t>
  </si>
  <si>
    <t>R$15.085,07</t>
  </si>
  <si>
    <t>R$6,16</t>
  </si>
  <si>
    <t>R$64,57</t>
  </si>
  <si>
    <t>75.107,00m²</t>
  </si>
  <si>
    <t>R$8,61</t>
  </si>
  <si>
    <t>EQI Recebíveis Imobiliários</t>
  </si>
  <si>
    <t>EUQUEROINVESTIR GESTÃO</t>
  </si>
  <si>
    <t>R$44.722.500,00</t>
  </si>
  <si>
    <t>R$48.471.011,55</t>
  </si>
  <si>
    <t>R$33.040,66</t>
  </si>
  <si>
    <t>ERCR11</t>
  </si>
  <si>
    <t>Estoque Residencial e Comercial Rio de Janeiro</t>
  </si>
  <si>
    <t>R$173.427.566,40</t>
  </si>
  <si>
    <t>R$162.673.435,20</t>
  </si>
  <si>
    <t>ERPA11</t>
  </si>
  <si>
    <t>R$120,00</t>
  </si>
  <si>
    <t>Europa 105</t>
  </si>
  <si>
    <t>ANGÁ</t>
  </si>
  <si>
    <t>R$60.110.640,00</t>
  </si>
  <si>
    <t>R$68.656.083,51</t>
  </si>
  <si>
    <t>R$25.193,06</t>
  </si>
  <si>
    <t>R$28.774,55</t>
  </si>
  <si>
    <t>R$0,69</t>
  </si>
  <si>
    <t>R$145,77</t>
  </si>
  <si>
    <t>2.386,00m²</t>
  </si>
  <si>
    <t>R$47.445,60</t>
  </si>
  <si>
    <t>ESTQ11</t>
  </si>
  <si>
    <t>Polo Estoque II</t>
  </si>
  <si>
    <t>POLO CAPITAL</t>
  </si>
  <si>
    <t>R$4.092.289,40</t>
  </si>
  <si>
    <t>R$239,89</t>
  </si>
  <si>
    <t>Europar</t>
  </si>
  <si>
    <t>COINVALORES</t>
  </si>
  <si>
    <t>R$91.760.704,00</t>
  </si>
  <si>
    <t>R$124.835.470,95</t>
  </si>
  <si>
    <t>R$2.492,55</t>
  </si>
  <si>
    <t>R$3.390,98</t>
  </si>
  <si>
    <t>R$1,87</t>
  </si>
  <si>
    <t>R$19,50</t>
  </si>
  <si>
    <t>36.814,00m²</t>
  </si>
  <si>
    <t>R$81.042,17</t>
  </si>
  <si>
    <t>EVBI11</t>
  </si>
  <si>
    <t>R$94,00</t>
  </si>
  <si>
    <t>VBI Consumo Essencial</t>
  </si>
  <si>
    <t>R$157.756.838,40</t>
  </si>
  <si>
    <t>R$167.054.672,37</t>
  </si>
  <si>
    <t>R$3.720,68</t>
  </si>
  <si>
    <t>R$3.939,97</t>
  </si>
  <si>
    <t>R$28,18</t>
  </si>
  <si>
    <t>42.400,00m²</t>
  </si>
  <si>
    <t>R$34.228,68</t>
  </si>
  <si>
    <t>EVHF11</t>
  </si>
  <si>
    <t>Even Hotel Fasano Itaim</t>
  </si>
  <si>
    <t>BRL TRUST</t>
  </si>
  <si>
    <t>EXES11</t>
  </si>
  <si>
    <t>R$103,05</t>
  </si>
  <si>
    <t>Exes</t>
  </si>
  <si>
    <t>R$27.284.445,45</t>
  </si>
  <si>
    <t>R$26.682.150,18</t>
  </si>
  <si>
    <t>R$0,93</t>
  </si>
  <si>
    <t>R$2.679,30</t>
  </si>
  <si>
    <t>R$145,00</t>
  </si>
  <si>
    <t>Anhanguera Educacional</t>
  </si>
  <si>
    <t>Educacional</t>
  </si>
  <si>
    <t>R$93.750.106,32</t>
  </si>
  <si>
    <t>R$139.744.150,04</t>
  </si>
  <si>
    <t>R$2.496,73</t>
  </si>
  <si>
    <t>R$3.721,63</t>
  </si>
  <si>
    <t>R$1,64</t>
  </si>
  <si>
    <t>R$28,03</t>
  </si>
  <si>
    <t>37.549,18m²</t>
  </si>
  <si>
    <t>R$47.163,00</t>
  </si>
  <si>
    <t>R$725,94</t>
  </si>
  <si>
    <t>Edifício Almirante Barroso</t>
  </si>
  <si>
    <t>R$74.843.968,00</t>
  </si>
  <si>
    <t>R$313.538.497,89</t>
  </si>
  <si>
    <t>R$1.326,34</t>
  </si>
  <si>
    <t>R$5.556,34</t>
  </si>
  <si>
    <t>56.429,00m²</t>
  </si>
  <si>
    <t>R$11.070,40</t>
  </si>
  <si>
    <t>FARM11</t>
  </si>
  <si>
    <t>Santa Fé Terra Matter</t>
  </si>
  <si>
    <t>SANTA FÉ</t>
  </si>
  <si>
    <t>Athena I</t>
  </si>
  <si>
    <t>R$114.275.433,16</t>
  </si>
  <si>
    <t>R$120.838.445,94</t>
  </si>
  <si>
    <t>R$9.945,64</t>
  </si>
  <si>
    <t>R$10.516,84</t>
  </si>
  <si>
    <t>R$95,18</t>
  </si>
  <si>
    <t>11.490,00m²</t>
  </si>
  <si>
    <t>R$59.138,78</t>
  </si>
  <si>
    <t>R$111,46</t>
  </si>
  <si>
    <t>Campus Faria Lima</t>
  </si>
  <si>
    <t>R$385.615.110,00</t>
  </si>
  <si>
    <t>R$403.561.990,48</t>
  </si>
  <si>
    <t>R$12.452,05</t>
  </si>
  <si>
    <t>R$13.031,58</t>
  </si>
  <si>
    <t>R$90,18</t>
  </si>
  <si>
    <t>30.968,00m²</t>
  </si>
  <si>
    <t>R$50,00</t>
  </si>
  <si>
    <t>R$235.866,13</t>
  </si>
  <si>
    <t>FGAA11</t>
  </si>
  <si>
    <t>R$9,85</t>
  </si>
  <si>
    <t>FG/Agro Fiagro</t>
  </si>
  <si>
    <t>FG/A GESTORA DE RECURSOS LTDA.</t>
  </si>
  <si>
    <t>R$338.589.158,07</t>
  </si>
  <si>
    <t>R$328.623.397,75</t>
  </si>
  <si>
    <t>R$0,14</t>
  </si>
  <si>
    <t>R$1.118.542,53</t>
  </si>
  <si>
    <t>R$46,76</t>
  </si>
  <si>
    <t>General Shopping Ativo e Renda</t>
  </si>
  <si>
    <t>R$131.955.000,00</t>
  </si>
  <si>
    <t>R$217.509.161,41</t>
  </si>
  <si>
    <t>R$5.909,58</t>
  </si>
  <si>
    <t>R$9.741,11</t>
  </si>
  <si>
    <t>R$0,39</t>
  </si>
  <si>
    <t>R$49,78</t>
  </si>
  <si>
    <t>22.329,00m²</t>
  </si>
  <si>
    <t>R$110.727,48</t>
  </si>
  <si>
    <t>R$448,00</t>
  </si>
  <si>
    <t>Industrial do Brasil</t>
  </si>
  <si>
    <t>R$308.250.000,00</t>
  </si>
  <si>
    <t>R$315.429.737,15</t>
  </si>
  <si>
    <t>R$2.995,36</t>
  </si>
  <si>
    <t>R$3.065,13</t>
  </si>
  <si>
    <t>R$3,25</t>
  </si>
  <si>
    <t>R$21,63</t>
  </si>
  <si>
    <t>102.909,00m²</t>
  </si>
  <si>
    <t>R$300,00</t>
  </si>
  <si>
    <t>R$237.770,19</t>
  </si>
  <si>
    <t>R$143,22</t>
  </si>
  <si>
    <t>RB Capital Renda I</t>
  </si>
  <si>
    <t>null</t>
  </si>
  <si>
    <t>R$133.038.475,38</t>
  </si>
  <si>
    <t>R$172.719.505,49</t>
  </si>
  <si>
    <t>R$1.892,39</t>
  </si>
  <si>
    <t>R$2.456,82</t>
  </si>
  <si>
    <t>R$1,35</t>
  </si>
  <si>
    <t>R$17,80</t>
  </si>
  <si>
    <t>70.302,00m²</t>
  </si>
  <si>
    <t>R$55.698,13</t>
  </si>
  <si>
    <t>FINF11</t>
  </si>
  <si>
    <t>Infra Real Estate</t>
  </si>
  <si>
    <t>INFRA LTDA</t>
  </si>
  <si>
    <t>R$33.252.988,45</t>
  </si>
  <si>
    <t>R$12.153,87</t>
  </si>
  <si>
    <t>R$0,25</t>
  </si>
  <si>
    <t>R$76,29</t>
  </si>
  <si>
    <t>2.736,00m²</t>
  </si>
  <si>
    <t>R$150,00</t>
  </si>
  <si>
    <t>FISD11</t>
  </si>
  <si>
    <t>São Domingos</t>
  </si>
  <si>
    <t>VCM GESTAO DE CAPITAL LTDA</t>
  </si>
  <si>
    <t>R$202.075.579,20</t>
  </si>
  <si>
    <t>R$80.303.690,54</t>
  </si>
  <si>
    <t>FIVN11</t>
  </si>
  <si>
    <t>R$3,47</t>
  </si>
  <si>
    <t>Vida Nova</t>
  </si>
  <si>
    <t>R$32.379.447,20</t>
  </si>
  <si>
    <t>R$72.396.365,96</t>
  </si>
  <si>
    <t>R$17.068,41</t>
  </si>
  <si>
    <t>FLCR11</t>
  </si>
  <si>
    <t>R$95,40</t>
  </si>
  <si>
    <t>Faria Lima Capital Recebíveis Imobiliários I</t>
  </si>
  <si>
    <t>Faria Lima Capital Ltda</t>
  </si>
  <si>
    <t>R$60.445.821,60</t>
  </si>
  <si>
    <t>R$62.261.956,25</t>
  </si>
  <si>
    <t>R$40.860,42</t>
  </si>
  <si>
    <t>R$124,46</t>
  </si>
  <si>
    <t>Continental Square Faria Lima</t>
  </si>
  <si>
    <t>R$172.031.482,00</t>
  </si>
  <si>
    <t>R$221.279.915,81</t>
  </si>
  <si>
    <t>R$8.926,04</t>
  </si>
  <si>
    <t>R$11.481,34</t>
  </si>
  <si>
    <t>R$57,31</t>
  </si>
  <si>
    <t>19.273,00m²</t>
  </si>
  <si>
    <t>R$54.319,81</t>
  </si>
  <si>
    <t>R$1.572,21</t>
  </si>
  <si>
    <t>Hedge Floripa Shopping</t>
  </si>
  <si>
    <t>R$102.544.704,00</t>
  </si>
  <si>
    <t>R$119.166.577,69</t>
  </si>
  <si>
    <t>R$6.039,50</t>
  </si>
  <si>
    <t>R$7.018,47</t>
  </si>
  <si>
    <t>R$13,00</t>
  </si>
  <si>
    <t>R$49,94</t>
  </si>
  <si>
    <t>16.979,00m²</t>
  </si>
  <si>
    <t>R$14.554,75</t>
  </si>
  <si>
    <t>R$56,00</t>
  </si>
  <si>
    <t>Memorial Office</t>
  </si>
  <si>
    <t>R$28.448.448,00</t>
  </si>
  <si>
    <t>R$60.314.340,44</t>
  </si>
  <si>
    <t>R$2.170,97</t>
  </si>
  <si>
    <t>R$4.602,74</t>
  </si>
  <si>
    <t>13.104,00m²</t>
  </si>
  <si>
    <t>R$994,93</t>
  </si>
  <si>
    <t>R$139,94</t>
  </si>
  <si>
    <t>Projeto Água Branca</t>
  </si>
  <si>
    <t>R$102.705.000,00</t>
  </si>
  <si>
    <t>R$281.400.133,14</t>
  </si>
  <si>
    <t>R$2.868,05</t>
  </si>
  <si>
    <t>R$7.858,14</t>
  </si>
  <si>
    <t>R$1,65</t>
  </si>
  <si>
    <t>R$34,56</t>
  </si>
  <si>
    <t>35.810,00m²</t>
  </si>
  <si>
    <t>R$160,00</t>
  </si>
  <si>
    <t>R$14.166,78</t>
  </si>
  <si>
    <t>R$64,35</t>
  </si>
  <si>
    <t>Pedra Negra Renda Imobiliária</t>
  </si>
  <si>
    <t>R$66.431.913,12</t>
  </si>
  <si>
    <t>R$174.442.790,18</t>
  </si>
  <si>
    <t>R$3.831,80</t>
  </si>
  <si>
    <t>R$10.061,88</t>
  </si>
  <si>
    <t>R$38,33</t>
  </si>
  <si>
    <t>17.337,00m²</t>
  </si>
  <si>
    <t>FTCE11B</t>
  </si>
  <si>
    <t>R$2.870,00</t>
  </si>
  <si>
    <t>Opportunity</t>
  </si>
  <si>
    <t>R$2.725.989.140,00</t>
  </si>
  <si>
    <t>R$2.695.032.612,50</t>
  </si>
  <si>
    <t>R$25.476,53</t>
  </si>
  <si>
    <t>R$25.187,22</t>
  </si>
  <si>
    <t>R$86,12</t>
  </si>
  <si>
    <t>R$764,50</t>
  </si>
  <si>
    <t>107.000,00m²</t>
  </si>
  <si>
    <t>R$4.772.810,00</t>
  </si>
  <si>
    <t>FVPQ11</t>
  </si>
  <si>
    <t>R$99,66</t>
  </si>
  <si>
    <t>Via Parque</t>
  </si>
  <si>
    <t>R$279.930.895,53</t>
  </si>
  <si>
    <t>R$536.125.450,99</t>
  </si>
  <si>
    <t>R$4.890,56</t>
  </si>
  <si>
    <t>R$9.366,44</t>
  </si>
  <si>
    <t>R$1,24</t>
  </si>
  <si>
    <t>R$60,66</t>
  </si>
  <si>
    <t>57.239,00m²</t>
  </si>
  <si>
    <t>R$57.506,28</t>
  </si>
  <si>
    <t>FZDA11</t>
  </si>
  <si>
    <t>R$113,00</t>
  </si>
  <si>
    <t>051 Agro Fiagro</t>
  </si>
  <si>
    <t>ZERO CINCO UM CAPITAL</t>
  </si>
  <si>
    <t>R$184.450.000,00</t>
  </si>
  <si>
    <t>R$154.018.558,83</t>
  </si>
  <si>
    <t>R$1.794,53</t>
  </si>
  <si>
    <t>R$8,62</t>
  </si>
  <si>
    <t>Guardian Logística</t>
  </si>
  <si>
    <t>GUARDIAN GESTORA</t>
  </si>
  <si>
    <t>R$493.223.874,00</t>
  </si>
  <si>
    <t>R$535.708.118,61</t>
  </si>
  <si>
    <t>R$2.881,52</t>
  </si>
  <si>
    <t>R$3.129,72</t>
  </si>
  <si>
    <t>R$27,20</t>
  </si>
  <si>
    <t>171.168,00m²</t>
  </si>
  <si>
    <t>R$378.823,61</t>
  </si>
  <si>
    <t>GAME11</t>
  </si>
  <si>
    <t>R$8,76</t>
  </si>
  <si>
    <t>Guardian Multiestratégia Imobiliária I</t>
  </si>
  <si>
    <t>R$189.856.423,75</t>
  </si>
  <si>
    <t>R$212.457.485,59</t>
  </si>
  <si>
    <t>R$102.931,89</t>
  </si>
  <si>
    <t>R$68,87</t>
  </si>
  <si>
    <t>Galapagos Fundo de Fundos</t>
  </si>
  <si>
    <t>GALAPAGOS CAPITAL</t>
  </si>
  <si>
    <t>R$23.122.857,42</t>
  </si>
  <si>
    <t>R$26.903.483,90</t>
  </si>
  <si>
    <t>R$23.629,46</t>
  </si>
  <si>
    <t>GCRA11</t>
  </si>
  <si>
    <t>R$94,91</t>
  </si>
  <si>
    <t>Galapagos Recebíveis do Agronegócio Fiagro</t>
  </si>
  <si>
    <t>R$166.682.348,00</t>
  </si>
  <si>
    <t>R$171.648.099,62</t>
  </si>
  <si>
    <t>R$1,22</t>
  </si>
  <si>
    <t>R$250.632,62</t>
  </si>
  <si>
    <t>GCRI11</t>
  </si>
  <si>
    <t>R$89,99</t>
  </si>
  <si>
    <t>Galapagos Recebíveis Imobiliários</t>
  </si>
  <si>
    <t>R$107.111.560,50</t>
  </si>
  <si>
    <t>R$111.618.540,20</t>
  </si>
  <si>
    <t>R$85.841,99</t>
  </si>
  <si>
    <t>General Severiano</t>
  </si>
  <si>
    <t>R$71.350.240,00</t>
  </si>
  <si>
    <t>R$92.165.204,01</t>
  </si>
  <si>
    <t>R$6.577,27</t>
  </si>
  <si>
    <t>R$8.496,05</t>
  </si>
  <si>
    <t>R$13,90</t>
  </si>
  <si>
    <t>R$66,65</t>
  </si>
  <si>
    <t>10.848,00m²</t>
  </si>
  <si>
    <t>R$100,20</t>
  </si>
  <si>
    <t>GGR Covepi</t>
  </si>
  <si>
    <t>ZAGROS CAPITAL</t>
  </si>
  <si>
    <t>R$823.172.741,60</t>
  </si>
  <si>
    <t>R$1.015.193.319,92</t>
  </si>
  <si>
    <t>R$2.224,79</t>
  </si>
  <si>
    <t>R$2.743,77</t>
  </si>
  <si>
    <t>R$20,88</t>
  </si>
  <si>
    <t>370.000,00m²</t>
  </si>
  <si>
    <t>R$2.087.732,73</t>
  </si>
  <si>
    <t>GLPL11</t>
  </si>
  <si>
    <t>GLP Logística</t>
  </si>
  <si>
    <t>GLP</t>
  </si>
  <si>
    <t>R$5,09</t>
  </si>
  <si>
    <t>General Shopping e Outlets</t>
  </si>
  <si>
    <t>R$382.758.512,24</t>
  </si>
  <si>
    <t>R$1.065.034.856,41</t>
  </si>
  <si>
    <t>R$3.064,62</t>
  </si>
  <si>
    <t>R$8.527,37</t>
  </si>
  <si>
    <t>124.896,00m²</t>
  </si>
  <si>
    <t>R$59.666,23</t>
  </si>
  <si>
    <t>GTLG11</t>
  </si>
  <si>
    <t>R$97,59</t>
  </si>
  <si>
    <t>Gtis Brazil Logistics</t>
  </si>
  <si>
    <t>GTIS PARTNERS BRAZIL</t>
  </si>
  <si>
    <t>R$700.013.070,00</t>
  </si>
  <si>
    <t>R$673.719.858,78</t>
  </si>
  <si>
    <t>R$2.075,34</t>
  </si>
  <si>
    <t>R$1.997,39</t>
  </si>
  <si>
    <t>R$14,89</t>
  </si>
  <si>
    <t>337.300,00m²</t>
  </si>
  <si>
    <t>R$458.709,03</t>
  </si>
  <si>
    <t>R$73,50</t>
  </si>
  <si>
    <t>Green Towers</t>
  </si>
  <si>
    <t>R$888.000.000,00</t>
  </si>
  <si>
    <t>R$1.136.832.641,35</t>
  </si>
  <si>
    <t>R$11.715,04</t>
  </si>
  <si>
    <t>R$14.997,79</t>
  </si>
  <si>
    <t>R$125,07</t>
  </si>
  <si>
    <t>75.800,00m²</t>
  </si>
  <si>
    <t>R$691.770,05</t>
  </si>
  <si>
    <t>R$77,80</t>
  </si>
  <si>
    <t>Hedge AAA</t>
  </si>
  <si>
    <t>R$267.520.650,00</t>
  </si>
  <si>
    <t>R$308.451.867,92</t>
  </si>
  <si>
    <t>R$11.970,68</t>
  </si>
  <si>
    <t>R$13.802,21</t>
  </si>
  <si>
    <t>R$72,66</t>
  </si>
  <si>
    <t>22.348,00m²</t>
  </si>
  <si>
    <t>R$2.022,11</t>
  </si>
  <si>
    <t>Habitat Recebíveis Pulverizados</t>
  </si>
  <si>
    <t>HABITAT CAPITAL PARTNERS</t>
  </si>
  <si>
    <t>R$716.213.385,79</t>
  </si>
  <si>
    <t>R$810.671.378,92</t>
  </si>
  <si>
    <t>R$1,18</t>
  </si>
  <si>
    <t>R$1.348.892,58</t>
  </si>
  <si>
    <t>HBCR11</t>
  </si>
  <si>
    <t>R$110,00</t>
  </si>
  <si>
    <t>HBC Renda Urbana</t>
  </si>
  <si>
    <t>R$121.914.231,03</t>
  </si>
  <si>
    <t>R$108.649.184,33</t>
  </si>
  <si>
    <t>R$6.549,95</t>
  </si>
  <si>
    <t>R$5.837,27</t>
  </si>
  <si>
    <t>R$28,89</t>
  </si>
  <si>
    <t>18.613,00m²</t>
  </si>
  <si>
    <t>R$1.363,90</t>
  </si>
  <si>
    <t>Multi Renda Urbana</t>
  </si>
  <si>
    <t>R$252.270.564,00</t>
  </si>
  <si>
    <t>R$313.796.960,50</t>
  </si>
  <si>
    <t>R$7.694,69</t>
  </si>
  <si>
    <t>R$9.571,36</t>
  </si>
  <si>
    <t>R$0,63</t>
  </si>
  <si>
    <t>R$53,18</t>
  </si>
  <si>
    <t>32.785,00m²</t>
  </si>
  <si>
    <t>R$57.164,93</t>
  </si>
  <si>
    <t>HCHG11</t>
  </si>
  <si>
    <t>R$81,94</t>
  </si>
  <si>
    <t>Hectare Recebíveis High Grade</t>
  </si>
  <si>
    <t>HECTARE CAPITAL</t>
  </si>
  <si>
    <t>R$98.316.000,00</t>
  </si>
  <si>
    <t>R$121.717.495,82</t>
  </si>
  <si>
    <t>R$17.194,11</t>
  </si>
  <si>
    <t>R$232,83</t>
  </si>
  <si>
    <t>Hospital da Criança</t>
  </si>
  <si>
    <t>Hospital</t>
  </si>
  <si>
    <t>R$46.980.000,00</t>
  </si>
  <si>
    <t>R$61.586.036,37</t>
  </si>
  <si>
    <t>R$8.513,65</t>
  </si>
  <si>
    <t>R$11.160,53</t>
  </si>
  <si>
    <t>R$2,51</t>
  </si>
  <si>
    <t>5.518,20m²</t>
  </si>
  <si>
    <t>R$40.009,52</t>
  </si>
  <si>
    <t>R$86,69</t>
  </si>
  <si>
    <t>Hectare CE</t>
  </si>
  <si>
    <t>R$1.985.149.007,67</t>
  </si>
  <si>
    <t>R$2.662.283.878,50</t>
  </si>
  <si>
    <t>R$3.594.320,74</t>
  </si>
  <si>
    <t>HDOF11</t>
  </si>
  <si>
    <t>R$130,00</t>
  </si>
  <si>
    <t>Hedge Paladin Design Offices</t>
  </si>
  <si>
    <t>R$223.427.620,00</t>
  </si>
  <si>
    <t>R$168.560.551,22</t>
  </si>
  <si>
    <t>R$39.000,00</t>
  </si>
  <si>
    <t>R$64,87</t>
  </si>
  <si>
    <t>Hedge TOP FOFII 3</t>
  </si>
  <si>
    <t>R$1.483.123.400,00</t>
  </si>
  <si>
    <t>R$1.829.005.677,09</t>
  </si>
  <si>
    <t>R$1.543.022,57</t>
  </si>
  <si>
    <t>HGAG11</t>
  </si>
  <si>
    <t>R$27,39</t>
  </si>
  <si>
    <t>High Fiagro</t>
  </si>
  <si>
    <t>HIGH GESTAO E INVESTIMENTOS LTDA</t>
  </si>
  <si>
    <t>R$6.896.440,56</t>
  </si>
  <si>
    <t>R$6.072.498,48</t>
  </si>
  <si>
    <t>R$0,45</t>
  </si>
  <si>
    <t>R$231.626,41</t>
  </si>
  <si>
    <t>R$179,28</t>
  </si>
  <si>
    <t>Hedge Brasil Shopping</t>
  </si>
  <si>
    <t>R$1.801.000.000,00</t>
  </si>
  <si>
    <t>R$2.213.923.649,27</t>
  </si>
  <si>
    <t>R$9.863,09</t>
  </si>
  <si>
    <t>R$12.124,44</t>
  </si>
  <si>
    <t>R$76,67</t>
  </si>
  <si>
    <t>182.600,00m²</t>
  </si>
  <si>
    <t>R$1.531.722,07</t>
  </si>
  <si>
    <t>R$100,69</t>
  </si>
  <si>
    <t>CSHG Recebíveis Imobiliários</t>
  </si>
  <si>
    <t>R$1.552.294.912,08</t>
  </si>
  <si>
    <t>R$1.551.733.628,04</t>
  </si>
  <si>
    <t>R$1,20</t>
  </si>
  <si>
    <t>R$4.194.440,42</t>
  </si>
  <si>
    <t>R$68,59</t>
  </si>
  <si>
    <t>CSHG Imobiliário FOF</t>
  </si>
  <si>
    <t>R$196.729.113,90</t>
  </si>
  <si>
    <t>R$242.184.404,12</t>
  </si>
  <si>
    <t>R$505.356,56</t>
  </si>
  <si>
    <t>HGIC11</t>
  </si>
  <si>
    <t>R$99,87</t>
  </si>
  <si>
    <t>HGI Créditos Imobiliários</t>
  </si>
  <si>
    <t>R$44.882.579,00</t>
  </si>
  <si>
    <t>R$53.391.265,10</t>
  </si>
  <si>
    <t>R$104,25</t>
  </si>
  <si>
    <t>R$20.424,12</t>
  </si>
  <si>
    <t>R$159,90</t>
  </si>
  <si>
    <t>CSHG Logística</t>
  </si>
  <si>
    <t>R$3.791.771.513,75</t>
  </si>
  <si>
    <t>R$3.593.946.727,56</t>
  </si>
  <si>
    <t>R$3.791,77</t>
  </si>
  <si>
    <t>R$3.593,95</t>
  </si>
  <si>
    <t>R$25,80</t>
  </si>
  <si>
    <t>1.000.000,00m²</t>
  </si>
  <si>
    <t>R$4.900.320,09</t>
  </si>
  <si>
    <t>R$249,16</t>
  </si>
  <si>
    <t>CSHG Prime Offices</t>
  </si>
  <si>
    <t>R$434.758.136,00</t>
  </si>
  <si>
    <t>R$524.799.753,54</t>
  </si>
  <si>
    <t>R$34.469,05</t>
  </si>
  <si>
    <t>R$41.607,85</t>
  </si>
  <si>
    <t>R$1,60</t>
  </si>
  <si>
    <t>R$222,38</t>
  </si>
  <si>
    <t>12.613,00m²</t>
  </si>
  <si>
    <t>R$602.832,24</t>
  </si>
  <si>
    <t>R$110,48</t>
  </si>
  <si>
    <t>CSHG Real Estate</t>
  </si>
  <si>
    <t>R$1.346.043.661,30</t>
  </si>
  <si>
    <t>R$1.855.205.413,24</t>
  </si>
  <si>
    <t>R$6.261,72</t>
  </si>
  <si>
    <t>R$8.630,31</t>
  </si>
  <si>
    <t>R$0,78</t>
  </si>
  <si>
    <t>R$42,88</t>
  </si>
  <si>
    <t>214.964,00m²</t>
  </si>
  <si>
    <t>R$2.412.980,18</t>
  </si>
  <si>
    <t>R$115,63</t>
  </si>
  <si>
    <t>CSHG Renda Urbana</t>
  </si>
  <si>
    <t>R$2.134.412.869,68</t>
  </si>
  <si>
    <t>R$2.260.007.284,34</t>
  </si>
  <si>
    <t>R$4.895,44</t>
  </si>
  <si>
    <t>R$5.183,50</t>
  </si>
  <si>
    <t>R$0,82</t>
  </si>
  <si>
    <t>R$34,62</t>
  </si>
  <si>
    <t>436.000,00m²</t>
  </si>
  <si>
    <t>R$4.120.724,48</t>
  </si>
  <si>
    <t>R$83,53</t>
  </si>
  <si>
    <t>Hedge Logística</t>
  </si>
  <si>
    <t>R$356.957.500,00</t>
  </si>
  <si>
    <t>R$494.549.459,45</t>
  </si>
  <si>
    <t>R$1.424,41</t>
  </si>
  <si>
    <t>R$1.973,46</t>
  </si>
  <si>
    <t>R$11,02</t>
  </si>
  <si>
    <t>250.600,00m²</t>
  </si>
  <si>
    <t>R$53.390,00</t>
  </si>
  <si>
    <t>HOFC11</t>
  </si>
  <si>
    <t>R$24,00</t>
  </si>
  <si>
    <t>Hedge Office Income</t>
  </si>
  <si>
    <t>R$92.585.524,50</t>
  </si>
  <si>
    <t>R$342.073.942,37</t>
  </si>
  <si>
    <t>R$2.155,26</t>
  </si>
  <si>
    <t>R$7.962,99</t>
  </si>
  <si>
    <t>R$9,68</t>
  </si>
  <si>
    <t>42.958,00m²</t>
  </si>
  <si>
    <t>R$101.665,04</t>
  </si>
  <si>
    <t>R$73,11</t>
  </si>
  <si>
    <t>Hedge Shopping Parque Dom Pedro</t>
  </si>
  <si>
    <t>R$212.663.318,43</t>
  </si>
  <si>
    <t>R$259.220.664,37</t>
  </si>
  <si>
    <t>R$15.914,85</t>
  </si>
  <si>
    <t>R$19.399,01</t>
  </si>
  <si>
    <t>R$97,96</t>
  </si>
  <si>
    <t>13.362,57m²</t>
  </si>
  <si>
    <t>R$1.701,21</t>
  </si>
  <si>
    <t>HRDF11</t>
  </si>
  <si>
    <t>R$0,91</t>
  </si>
  <si>
    <t>Hedge Realty Development</t>
  </si>
  <si>
    <t>R$6.904.283,75</t>
  </si>
  <si>
    <t>R$9.383.092,29</t>
  </si>
  <si>
    <t>R$2,00</t>
  </si>
  <si>
    <t>R$251,66</t>
  </si>
  <si>
    <t>R$75,25</t>
  </si>
  <si>
    <t>Hedge Recebíveis Imobiliários</t>
  </si>
  <si>
    <t>R$386.757.375,00</t>
  </si>
  <si>
    <t>R$455.921.879,22</t>
  </si>
  <si>
    <t>R$131.680,87</t>
  </si>
  <si>
    <t>R$76,01</t>
  </si>
  <si>
    <t>HSI Ativos Financeiros</t>
  </si>
  <si>
    <t>HSI GESTORA DE ATIVOS FINANCEIROS</t>
  </si>
  <si>
    <t>R$193.872.866,40</t>
  </si>
  <si>
    <t>R$230.072.809,20</t>
  </si>
  <si>
    <t>R$327.183,75</t>
  </si>
  <si>
    <t>HSI Logística</t>
  </si>
  <si>
    <t>Hemisfério Sul Investimentos</t>
  </si>
  <si>
    <t>R$976.724.169,05</t>
  </si>
  <si>
    <t>R$1.327.747.793,11</t>
  </si>
  <si>
    <t>R$2.138,19</t>
  </si>
  <si>
    <t>R$2.906,63</t>
  </si>
  <si>
    <t>R$19,40</t>
  </si>
  <si>
    <t>456.800,00m²</t>
  </si>
  <si>
    <t>R$666.843,58</t>
  </si>
  <si>
    <t>R$78,28</t>
  </si>
  <si>
    <t>HSI Malls</t>
  </si>
  <si>
    <t>R$1.249.193.325,08</t>
  </si>
  <si>
    <t>R$1.521.256.135,18</t>
  </si>
  <si>
    <t>R$6.524,94</t>
  </si>
  <si>
    <t>R$7.946,01</t>
  </si>
  <si>
    <t>R$57,70</t>
  </si>
  <si>
    <t>191.449,00m²</t>
  </si>
  <si>
    <t>R$2.476.893,02</t>
  </si>
  <si>
    <t>HSRE11</t>
  </si>
  <si>
    <t>HSI Renda Imobiliária</t>
  </si>
  <si>
    <t>R$877.360.592,00</t>
  </si>
  <si>
    <t>R$821.157.862,30</t>
  </si>
  <si>
    <t>R$8.276,99</t>
  </si>
  <si>
    <t>R$7.746,77</t>
  </si>
  <si>
    <t>R$50,63</t>
  </si>
  <si>
    <t>106.000,00m²</t>
  </si>
  <si>
    <t>R$2.502.879,76</t>
  </si>
  <si>
    <t>R$107,59</t>
  </si>
  <si>
    <t>Hotel Maxinvest</t>
  </si>
  <si>
    <t>BTG Pactual e HotelInvest</t>
  </si>
  <si>
    <t>R$162.468.072,00</t>
  </si>
  <si>
    <t>R$208.729.898,34</t>
  </si>
  <si>
    <t>R$12.727,62</t>
  </si>
  <si>
    <t>R$16.351,74</t>
  </si>
  <si>
    <t>R$87,10</t>
  </si>
  <si>
    <t>12.765,00m²</t>
  </si>
  <si>
    <t>R$280.485,80</t>
  </si>
  <si>
    <t>HUCG11</t>
  </si>
  <si>
    <t>R$74,00</t>
  </si>
  <si>
    <t>Hospital Unimed Campina Grande</t>
  </si>
  <si>
    <t>INVESTCOOP ASSET MANAGEMENT</t>
  </si>
  <si>
    <t>R$83.028.000,00</t>
  </si>
  <si>
    <t>R$113.844.325,58</t>
  </si>
  <si>
    <t>R$8.806,54</t>
  </si>
  <si>
    <t>R$103,99</t>
  </si>
  <si>
    <t>Hospital Unimed Sul Capixaba</t>
  </si>
  <si>
    <t>R$82.639.752,00</t>
  </si>
  <si>
    <t>R$116.621.564,53</t>
  </si>
  <si>
    <t>R$7.138,27</t>
  </si>
  <si>
    <t>R$10.073,56</t>
  </si>
  <si>
    <t>R$59,71</t>
  </si>
  <si>
    <t>11.577,00m²</t>
  </si>
  <si>
    <t>R$6.854,40</t>
  </si>
  <si>
    <t>HUSI11</t>
  </si>
  <si>
    <t>R$1.137,61</t>
  </si>
  <si>
    <t>HUSI</t>
  </si>
  <si>
    <t>R$132.419.956,00</t>
  </si>
  <si>
    <t>R$115.662.727,67</t>
  </si>
  <si>
    <t>R$6.621,00</t>
  </si>
  <si>
    <t>R$5.783,14</t>
  </si>
  <si>
    <t>R$7,39</t>
  </si>
  <si>
    <t>R$42,98</t>
  </si>
  <si>
    <t>20.000,00m²</t>
  </si>
  <si>
    <t>R$6.381,67</t>
  </si>
  <si>
    <t>IAGR11</t>
  </si>
  <si>
    <t>R$98,00</t>
  </si>
  <si>
    <t>SFI Investimentos do Agronegócio Fiagro</t>
  </si>
  <si>
    <t>SFI INVESTIMENTOS</t>
  </si>
  <si>
    <t>R$24.545.447,92</t>
  </si>
  <si>
    <t>R$25.535.106,47</t>
  </si>
  <si>
    <t>IBCR11</t>
  </si>
  <si>
    <t>R$74,87</t>
  </si>
  <si>
    <t>CRI Integral Brei</t>
  </si>
  <si>
    <t>BREI</t>
  </si>
  <si>
    <t>R$72.600.542,25</t>
  </si>
  <si>
    <t>R$90.007.052,95</t>
  </si>
  <si>
    <t>R$126.032,70</t>
  </si>
  <si>
    <t>IDFI11</t>
  </si>
  <si>
    <t>R$54,90</t>
  </si>
  <si>
    <t>Unidades Autônomas</t>
  </si>
  <si>
    <t>ID GESTORA E ADMISTRADORA</t>
  </si>
  <si>
    <t>R$112.836.027,75</t>
  </si>
  <si>
    <t>R$114.073.776,01</t>
  </si>
  <si>
    <t>R$3.676,21</t>
  </si>
  <si>
    <t>IDGR11</t>
  </si>
  <si>
    <t>Unidades Autônomas II</t>
  </si>
  <si>
    <t>R$71.552.079,00</t>
  </si>
  <si>
    <t>R$44.650.903,44</t>
  </si>
  <si>
    <t>R$5.460,67</t>
  </si>
  <si>
    <t>R$89,20</t>
  </si>
  <si>
    <t>Iridium Recebíveis Imobiliários</t>
  </si>
  <si>
    <t>IRIDIUM GESTÃO</t>
  </si>
  <si>
    <t>R$3.258.641.486,88</t>
  </si>
  <si>
    <t>R$3.364.084.224,58</t>
  </si>
  <si>
    <t>R$4.737.112,56</t>
  </si>
  <si>
    <t>IRIM11</t>
  </si>
  <si>
    <t>R$90,00</t>
  </si>
  <si>
    <t>Iridium</t>
  </si>
  <si>
    <t>R$172.800.000,00</t>
  </si>
  <si>
    <t>R$187.541.680,91</t>
  </si>
  <si>
    <t>R$1,02</t>
  </si>
  <si>
    <t>R$59.882,87</t>
  </si>
  <si>
    <t>ITIP11</t>
  </si>
  <si>
    <t>R$77,99</t>
  </si>
  <si>
    <t>Inter Teva Índice de Papel</t>
  </si>
  <si>
    <t>R$57.772.220,22</t>
  </si>
  <si>
    <t>R$59.562.347,51</t>
  </si>
  <si>
    <t>R$0,85</t>
  </si>
  <si>
    <t>R$70.668,30</t>
  </si>
  <si>
    <t>ITIT11</t>
  </si>
  <si>
    <t>R$76,10</t>
  </si>
  <si>
    <t>Inter Teva Índice de Tijolo</t>
  </si>
  <si>
    <t>R$67.951.277,24</t>
  </si>
  <si>
    <t>R$68.493.577,04</t>
  </si>
  <si>
    <t>R$57.620,89</t>
  </si>
  <si>
    <t>JASC11</t>
  </si>
  <si>
    <t>R$101,00</t>
  </si>
  <si>
    <t>Jasc Renda Varejo FII</t>
  </si>
  <si>
    <t>GENESIS CAPITAL</t>
  </si>
  <si>
    <t>R$183.848.987,00</t>
  </si>
  <si>
    <t>R$214.046.825,88</t>
  </si>
  <si>
    <t>R$4.582,36</t>
  </si>
  <si>
    <t>R$5.335,03</t>
  </si>
  <si>
    <t>R$18,60</t>
  </si>
  <si>
    <t>40.121,00m²</t>
  </si>
  <si>
    <t>JBFO11</t>
  </si>
  <si>
    <t>R$92,01</t>
  </si>
  <si>
    <t>JBFO FOF</t>
  </si>
  <si>
    <t>JULIUS BAER FAMILY OFFICE</t>
  </si>
  <si>
    <t>R$117.687.230,70</t>
  </si>
  <si>
    <t>R$103.556.214,50</t>
  </si>
  <si>
    <t>R$0,60</t>
  </si>
  <si>
    <t>JGPX11</t>
  </si>
  <si>
    <t>R$96,70</t>
  </si>
  <si>
    <t>JGP Crédito Fiagro</t>
  </si>
  <si>
    <t>JGP GESTÃO DE CRÉDITO</t>
  </si>
  <si>
    <t>R$82.112.751,54</t>
  </si>
  <si>
    <t>R$81.841.169,78</t>
  </si>
  <si>
    <t>R$1,32</t>
  </si>
  <si>
    <t>R$175.372,17</t>
  </si>
  <si>
    <t>R$101,98</t>
  </si>
  <si>
    <t>JPP Capital Recebíveis Imobiliários</t>
  </si>
  <si>
    <t>JPP GESTÃO</t>
  </si>
  <si>
    <t>R$92.077.492,50</t>
  </si>
  <si>
    <t>R$88.456.979,33</t>
  </si>
  <si>
    <t>R$380.619,00</t>
  </si>
  <si>
    <t>JPP Capital</t>
  </si>
  <si>
    <t>R$7.150.000,00</t>
  </si>
  <si>
    <t>R$20.050.043,64</t>
  </si>
  <si>
    <t>R$483,11</t>
  </si>
  <si>
    <t>R$1.354,73</t>
  </si>
  <si>
    <t>14.800,00m²</t>
  </si>
  <si>
    <t>R$2.693,01</t>
  </si>
  <si>
    <t>R$78,51</t>
  </si>
  <si>
    <t>Shopping Jardim Sul</t>
  </si>
  <si>
    <t>R$202.417.722,64</t>
  </si>
  <si>
    <t>R$226.756.674,27</t>
  </si>
  <si>
    <t>R$17.681,49</t>
  </si>
  <si>
    <t>R$19.807,54</t>
  </si>
  <si>
    <t>R$0,52</t>
  </si>
  <si>
    <t>R$114,81</t>
  </si>
  <si>
    <t>11.448,00m²</t>
  </si>
  <si>
    <t>R$25.533,99</t>
  </si>
  <si>
    <t>JSAF11</t>
  </si>
  <si>
    <t>R$79,08</t>
  </si>
  <si>
    <t>JS Ativos Financeiros</t>
  </si>
  <si>
    <t>SAFRA ASSET</t>
  </si>
  <si>
    <t>R$127.652.764,05</t>
  </si>
  <si>
    <t>R$144.459.067,64</t>
  </si>
  <si>
    <t>R$495.108,24</t>
  </si>
  <si>
    <t>R$62,36</t>
  </si>
  <si>
    <t>JS Real Estate Multigestão</t>
  </si>
  <si>
    <t>R$1.307.303.297,60</t>
  </si>
  <si>
    <t>R$2.342.973.830,47</t>
  </si>
  <si>
    <t>R$10.721,05</t>
  </si>
  <si>
    <t>R$19.214,47</t>
  </si>
  <si>
    <t>R$0,49</t>
  </si>
  <si>
    <t>R$83,45</t>
  </si>
  <si>
    <t>121.938,00m²</t>
  </si>
  <si>
    <t>R$2.598.015,79</t>
  </si>
  <si>
    <t>JTPR11</t>
  </si>
  <si>
    <t>JT PREV Desenvolvimento Habitacional</t>
  </si>
  <si>
    <t>OURO PRETO</t>
  </si>
  <si>
    <t>R$17.585.330,32</t>
  </si>
  <si>
    <t>KCRE11</t>
  </si>
  <si>
    <t>R$91,40</t>
  </si>
  <si>
    <t>Kinea Creditas</t>
  </si>
  <si>
    <t>KINEA</t>
  </si>
  <si>
    <t>R$327.816.000,00</t>
  </si>
  <si>
    <t>R$350.855.789,03</t>
  </si>
  <si>
    <t>R$1,08</t>
  </si>
  <si>
    <t>R$585.635,96</t>
  </si>
  <si>
    <t>KEVE11</t>
  </si>
  <si>
    <t>R$965,11</t>
  </si>
  <si>
    <t>Even II</t>
  </si>
  <si>
    <t>R$142.547.712,11</t>
  </si>
  <si>
    <t>R$137.082.140,88</t>
  </si>
  <si>
    <t>R$3,05</t>
  </si>
  <si>
    <t>R$124.566,37</t>
  </si>
  <si>
    <t>R$75,42</t>
  </si>
  <si>
    <t>Kinea Fundo de Fundos</t>
  </si>
  <si>
    <t>R$345.302.603,55</t>
  </si>
  <si>
    <t>R$399.581.482,68</t>
  </si>
  <si>
    <t>R$0,72</t>
  </si>
  <si>
    <t>R$719.277,69</t>
  </si>
  <si>
    <t>KINP11</t>
  </si>
  <si>
    <t>R$8,80</t>
  </si>
  <si>
    <t>Even Permuta Kinea</t>
  </si>
  <si>
    <t>R$63.616.612,60</t>
  </si>
  <si>
    <t>R$28.595.790,20</t>
  </si>
  <si>
    <t>R$0,28</t>
  </si>
  <si>
    <t>R$51.867,27</t>
  </si>
  <si>
    <t>R$8,00</t>
  </si>
  <si>
    <t>Kilima FoF Suno 30</t>
  </si>
  <si>
    <t>KILIMA</t>
  </si>
  <si>
    <t>R$351.800.558,00</t>
  </si>
  <si>
    <t>R$375.784.403,68</t>
  </si>
  <si>
    <t>R$862.067,53</t>
  </si>
  <si>
    <t>KIVO11</t>
  </si>
  <si>
    <t>R$87,07</t>
  </si>
  <si>
    <t>Kilima Volkano Recebíveis</t>
  </si>
  <si>
    <t>R$107.538.474,00</t>
  </si>
  <si>
    <t>R$117.309.545,06</t>
  </si>
  <si>
    <t>R$1,25</t>
  </si>
  <si>
    <t>R$195.454,88</t>
  </si>
  <si>
    <t>KNCA11</t>
  </si>
  <si>
    <t>Kinea Crédito Agro Fiagro</t>
  </si>
  <si>
    <t>R$1.510.524.322,47</t>
  </si>
  <si>
    <t>R$1.439.269.215,09</t>
  </si>
  <si>
    <t>R$1,30</t>
  </si>
  <si>
    <t>R$2.164.808,51</t>
  </si>
  <si>
    <t>R$99,05</t>
  </si>
  <si>
    <t>Kinea Rendimentos Imobiliários FII</t>
  </si>
  <si>
    <t>R$5.652.611.613,00</t>
  </si>
  <si>
    <t>R$5.752.156.652,13</t>
  </si>
  <si>
    <t>R$11.063.586,71</t>
  </si>
  <si>
    <t>R$96,58</t>
  </si>
  <si>
    <t>Kinea High Yield CRI</t>
  </si>
  <si>
    <t>R$1.786.030.525,37</t>
  </si>
  <si>
    <t>R$1.808.892.646,21</t>
  </si>
  <si>
    <t>R$2.855.871,02</t>
  </si>
  <si>
    <t>R$89,18</t>
  </si>
  <si>
    <t>Kinea Índices de Preços</t>
  </si>
  <si>
    <t>R$7.194.224.230,24</t>
  </si>
  <si>
    <t>R$7.509.519.400,05</t>
  </si>
  <si>
    <t>R$7.340.383,63</t>
  </si>
  <si>
    <t>KNRE11</t>
  </si>
  <si>
    <t>Kinea II Real Estate Equity</t>
  </si>
  <si>
    <t>R$13.168.484,31</t>
  </si>
  <si>
    <t>R$14.036.869,14</t>
  </si>
  <si>
    <t>R$0,04</t>
  </si>
  <si>
    <t>R$7.715,62</t>
  </si>
  <si>
    <t>R$134,50</t>
  </si>
  <si>
    <t>Kinea Renda Imobiliária</t>
  </si>
  <si>
    <t>R$3.327.884.988,96</t>
  </si>
  <si>
    <t>R$3.862.362.439,82</t>
  </si>
  <si>
    <t>R$4.347,02</t>
  </si>
  <si>
    <t>R$5.045,17</t>
  </si>
  <si>
    <t>R$28,72</t>
  </si>
  <si>
    <t>765.556,00m²</t>
  </si>
  <si>
    <t>R$3.147.405,28</t>
  </si>
  <si>
    <t>R$85,75</t>
  </si>
  <si>
    <t>Kinea Securities</t>
  </si>
  <si>
    <t>R$1.131.097.648,80</t>
  </si>
  <si>
    <t>R$1.169.001.887,90</t>
  </si>
  <si>
    <t>R$1,04</t>
  </si>
  <si>
    <t>R$4.112.312,58</t>
  </si>
  <si>
    <t>R$100,02</t>
  </si>
  <si>
    <t>Legatus Shoppings</t>
  </si>
  <si>
    <t>Legatus</t>
  </si>
  <si>
    <t>R$294.294.426,82</t>
  </si>
  <si>
    <t>R$312.550.406,70</t>
  </si>
  <si>
    <t>R$8.927,48</t>
  </si>
  <si>
    <t>R$9.481,28</t>
  </si>
  <si>
    <t>R$70,46</t>
  </si>
  <si>
    <t>32.965,00m²</t>
  </si>
  <si>
    <t>R$6.888,66</t>
  </si>
  <si>
    <t>LATR11B</t>
  </si>
  <si>
    <t>Lateres</t>
  </si>
  <si>
    <t>DYNAMO V. C.</t>
  </si>
  <si>
    <t>R$1.241.040,00</t>
  </si>
  <si>
    <t>R$1.333.900,04</t>
  </si>
  <si>
    <t>LFTT11</t>
  </si>
  <si>
    <t>R$73,44</t>
  </si>
  <si>
    <t>Loft II</t>
  </si>
  <si>
    <t>MODAL</t>
  </si>
  <si>
    <t>R$544.233.910,50</t>
  </si>
  <si>
    <t>R$283.216.343,77</t>
  </si>
  <si>
    <t>R$3,67</t>
  </si>
  <si>
    <t>R$61.119,97</t>
  </si>
  <si>
    <t>R$76,77</t>
  </si>
  <si>
    <t>Log CP Inter</t>
  </si>
  <si>
    <t>INTER ASSET</t>
  </si>
  <si>
    <t>R$208.052.631,80</t>
  </si>
  <si>
    <t>R$280.880.455,41</t>
  </si>
  <si>
    <t>R$2.581,30</t>
  </si>
  <si>
    <t>R$3.484,87</t>
  </si>
  <si>
    <t>R$21,02</t>
  </si>
  <si>
    <t>80.600,00m²</t>
  </si>
  <si>
    <t>R$218.389,61</t>
  </si>
  <si>
    <t>LIFE11</t>
  </si>
  <si>
    <t>R$10,44</t>
  </si>
  <si>
    <t>Life Capital</t>
  </si>
  <si>
    <t>LCP GESTORA DE RECURSOS LTDA</t>
  </si>
  <si>
    <t>R$178.637.253,12</t>
  </si>
  <si>
    <t>R$173.389.173,12</t>
  </si>
  <si>
    <t>R$382.838,10</t>
  </si>
  <si>
    <t>LKDV11</t>
  </si>
  <si>
    <t>R$969,58</t>
  </si>
  <si>
    <t>Development V1</t>
  </si>
  <si>
    <t>Lakewood Gestao de recursos</t>
  </si>
  <si>
    <t>R$64.778.609,38</t>
  </si>
  <si>
    <t>R$66.688.718,24</t>
  </si>
  <si>
    <t>LOBM11</t>
  </si>
  <si>
    <t>LOB Malls</t>
  </si>
  <si>
    <t>LRDI11</t>
  </si>
  <si>
    <t>Leblon Realty</t>
  </si>
  <si>
    <t>R$27.070.712,60</t>
  </si>
  <si>
    <t>LSAG11</t>
  </si>
  <si>
    <t>R$105,65</t>
  </si>
  <si>
    <t>Leste Fiagro</t>
  </si>
  <si>
    <t>LESTE FINANCIAL SERVICES</t>
  </si>
  <si>
    <t>R$84.194.552,00</t>
  </si>
  <si>
    <t>R$81.550.402,67</t>
  </si>
  <si>
    <t>R$1,19</t>
  </si>
  <si>
    <t>R$103,80</t>
  </si>
  <si>
    <t>R$33.390,67</t>
  </si>
  <si>
    <t>LSPA11</t>
  </si>
  <si>
    <t>R$107,33</t>
  </si>
  <si>
    <t>Leste Riva Equity Preferencial I</t>
  </si>
  <si>
    <t>R$43.414.985,00</t>
  </si>
  <si>
    <t>R$46.255.970,72</t>
  </si>
  <si>
    <t>R$92,62</t>
  </si>
  <si>
    <t>VBI Logístico</t>
  </si>
  <si>
    <t>R$1.087.084.340,64</t>
  </si>
  <si>
    <t>R$1.359.913.037,98</t>
  </si>
  <si>
    <t>R$2.270,80</t>
  </si>
  <si>
    <t>R$2.840,71</t>
  </si>
  <si>
    <t>R$18,45</t>
  </si>
  <si>
    <t>478.723,00m²</t>
  </si>
  <si>
    <t>R$2.496.620,45</t>
  </si>
  <si>
    <t>MADS11</t>
  </si>
  <si>
    <t>Mauá Capital Desenvolvimento I</t>
  </si>
  <si>
    <t>MAUA CAPITAL REAL ESTATE</t>
  </si>
  <si>
    <t>R$100,28</t>
  </si>
  <si>
    <t>Malls Brasil Plural</t>
  </si>
  <si>
    <t>GENIAL GESTÃO</t>
  </si>
  <si>
    <t>R$916.389.503,37</t>
  </si>
  <si>
    <t>R$1.099.470.281,15</t>
  </si>
  <si>
    <t>R$8.924,28</t>
  </si>
  <si>
    <t>R$10.707,21</t>
  </si>
  <si>
    <t>R$69,31</t>
  </si>
  <si>
    <t>102.685,00m²</t>
  </si>
  <si>
    <t>R$1.481.843,90</t>
  </si>
  <si>
    <t>MANA11</t>
  </si>
  <si>
    <t>R$9,90</t>
  </si>
  <si>
    <t>Manatí Capital Hedge Fund</t>
  </si>
  <si>
    <t>MANATÍ CAPITAL MANAGEMENT LTDA</t>
  </si>
  <si>
    <t>R$187.503.785,04</t>
  </si>
  <si>
    <t>R$189.175.101,32</t>
  </si>
  <si>
    <t>R$65.433,39</t>
  </si>
  <si>
    <t>MATV11</t>
  </si>
  <si>
    <t>R$80,01</t>
  </si>
  <si>
    <t>More Gestão Ativa de Recebíveis</t>
  </si>
  <si>
    <t>MORE INVEST</t>
  </si>
  <si>
    <t>R$35.483.134,40</t>
  </si>
  <si>
    <t>R$38.728.378,71</t>
  </si>
  <si>
    <t>R$12.458,31</t>
  </si>
  <si>
    <t>R$60,96</t>
  </si>
  <si>
    <t>Max Retail</t>
  </si>
  <si>
    <t>R$69.227.782,50</t>
  </si>
  <si>
    <t>R$139.022.535,82</t>
  </si>
  <si>
    <t>R$1.146,99</t>
  </si>
  <si>
    <t>R$2.303,38</t>
  </si>
  <si>
    <t>R$0,32</t>
  </si>
  <si>
    <t>R$5,90</t>
  </si>
  <si>
    <t>60.356,00m²</t>
  </si>
  <si>
    <t>R$52,63</t>
  </si>
  <si>
    <t>R$245.446,00</t>
  </si>
  <si>
    <t>R$84,45</t>
  </si>
  <si>
    <t>Mauá Capital Recebíveis Imobiliários</t>
  </si>
  <si>
    <t>R$1.431.765.226,08</t>
  </si>
  <si>
    <t>R$1.560.313.254,44</t>
  </si>
  <si>
    <t>R$4.428.370,74</t>
  </si>
  <si>
    <t>R$8,90</t>
  </si>
  <si>
    <t>Mauá Capital Hedge Fund</t>
  </si>
  <si>
    <t>R$289.799.584,62</t>
  </si>
  <si>
    <t>R$304.515.100,86</t>
  </si>
  <si>
    <t>R$1.120.067,37</t>
  </si>
  <si>
    <t>MCHY11</t>
  </si>
  <si>
    <t>R$111,98</t>
  </si>
  <si>
    <t>Mauá High Yield</t>
  </si>
  <si>
    <t>R$394.803.014,58</t>
  </si>
  <si>
    <t>R$359.057.917,00</t>
  </si>
  <si>
    <t>R$100,08</t>
  </si>
  <si>
    <t>R$20.968,20</t>
  </si>
  <si>
    <t>Mérito Fundos e Ações Imobiliárias</t>
  </si>
  <si>
    <t>MÉRITO INVESTIMENTOS</t>
  </si>
  <si>
    <t>R$18.066.789,84</t>
  </si>
  <si>
    <t>R$21.679.671,82</t>
  </si>
  <si>
    <t>R$0,58</t>
  </si>
  <si>
    <t>R$15.774,54</t>
  </si>
  <si>
    <t>MFCR11</t>
  </si>
  <si>
    <t>R$103,90</t>
  </si>
  <si>
    <t>Merito Recebíveis Imobiliários</t>
  </si>
  <si>
    <t>R$10.517.797,00</t>
  </si>
  <si>
    <t>R$10.184.333,79</t>
  </si>
  <si>
    <t>R$2.977,94</t>
  </si>
  <si>
    <t>R$93,73</t>
  </si>
  <si>
    <t>Mérito Desenvolvimento Imobiliário I</t>
  </si>
  <si>
    <t>R$389.808.600,00</t>
  </si>
  <si>
    <t>R$427.711.423,54</t>
  </si>
  <si>
    <t>R$285.904,64</t>
  </si>
  <si>
    <t>R$78,59</t>
  </si>
  <si>
    <t>Mogno CRIs Multiestratégia</t>
  </si>
  <si>
    <t>MOGNO CAPITAL</t>
  </si>
  <si>
    <t>R$111.977.993,92</t>
  </si>
  <si>
    <t>R$127.656.475,61</t>
  </si>
  <si>
    <t>R$74.834,32</t>
  </si>
  <si>
    <t>R$53,44</t>
  </si>
  <si>
    <t>Mogno Fundo de Fundos</t>
  </si>
  <si>
    <t>R$485.927.787,80</t>
  </si>
  <si>
    <t>R$629.917.970,04</t>
  </si>
  <si>
    <t>R$723.215,95</t>
  </si>
  <si>
    <t>R$58,50</t>
  </si>
  <si>
    <t>Mogno Hoteis</t>
  </si>
  <si>
    <t>R$77.644.634,40</t>
  </si>
  <si>
    <t>R$111.293.895,34</t>
  </si>
  <si>
    <t>R$67.817,46</t>
  </si>
  <si>
    <t>MGRI11</t>
  </si>
  <si>
    <t>Mogno Properties</t>
  </si>
  <si>
    <t>R$26.323.506,37</t>
  </si>
  <si>
    <t>R$3.712,77</t>
  </si>
  <si>
    <t>R$49,65</t>
  </si>
  <si>
    <t>7.090,00m²</t>
  </si>
  <si>
    <t>MINT11</t>
  </si>
  <si>
    <t>R$98,86</t>
  </si>
  <si>
    <t>Mint Educacional</t>
  </si>
  <si>
    <t>MINT CAPITAL</t>
  </si>
  <si>
    <t>R$51.407.200,00</t>
  </si>
  <si>
    <t>R$69.325.737,79</t>
  </si>
  <si>
    <t>R$2.250,65</t>
  </si>
  <si>
    <t>R$3.035,14</t>
  </si>
  <si>
    <t>22.841,00m²</t>
  </si>
  <si>
    <t>MMPD11</t>
  </si>
  <si>
    <t>Mauá Capital MPD Desenvolvimento Residencial</t>
  </si>
  <si>
    <t>R$55.257.433,41</t>
  </si>
  <si>
    <t>MMVE11</t>
  </si>
  <si>
    <t>Maresias</t>
  </si>
  <si>
    <t>R$76.194.900,00</t>
  </si>
  <si>
    <t>R$74.018.059,95</t>
  </si>
  <si>
    <t>MOFF11</t>
  </si>
  <si>
    <t>Multioffices 2</t>
  </si>
  <si>
    <t>R$190.453.540,67</t>
  </si>
  <si>
    <t>MORC11</t>
  </si>
  <si>
    <t>R$96,96</t>
  </si>
  <si>
    <t>More Recebíveis Imobiliários</t>
  </si>
  <si>
    <t>R$124.969.549,66</t>
  </si>
  <si>
    <t>R$126.115.677,34</t>
  </si>
  <si>
    <t>R$1,15</t>
  </si>
  <si>
    <t>R$181.758,65</t>
  </si>
  <si>
    <t>R$61,26</t>
  </si>
  <si>
    <t>More Real Estate FOF</t>
  </si>
  <si>
    <t>R$143.553.218,50</t>
  </si>
  <si>
    <t>R$188.535.634,82</t>
  </si>
  <si>
    <t>R$395.549,41</t>
  </si>
  <si>
    <t>MTOF11</t>
  </si>
  <si>
    <t>Alianza Multioffices</t>
  </si>
  <si>
    <t>R$194.412.403,91</t>
  </si>
  <si>
    <t>R$161.171.912,98</t>
  </si>
  <si>
    <t>MTRS11</t>
  </si>
  <si>
    <t>Metropolis</t>
  </si>
  <si>
    <t>MVFI11</t>
  </si>
  <si>
    <t>MV9 FII</t>
  </si>
  <si>
    <t>R$118.213.535,72</t>
  </si>
  <si>
    <t>R$7.790,53</t>
  </si>
  <si>
    <t>15.174,00m²</t>
  </si>
  <si>
    <t>R$10,12</t>
  </si>
  <si>
    <t>Maxi Renda</t>
  </si>
  <si>
    <t>XP Vista</t>
  </si>
  <si>
    <t>R$2.296.562.976,08</t>
  </si>
  <si>
    <t>R$2.286.074.354,00</t>
  </si>
  <si>
    <t>R$5.690.018,16</t>
  </si>
  <si>
    <t>NAVT11</t>
  </si>
  <si>
    <t>R$70,30</t>
  </si>
  <si>
    <t>Navi Imobiliário Total Return</t>
  </si>
  <si>
    <t>R$74.817.271,65</t>
  </si>
  <si>
    <t>R$92.326.825,95</t>
  </si>
  <si>
    <t>R$103.121,47</t>
  </si>
  <si>
    <t>R$84,68</t>
  </si>
  <si>
    <t>NCH Brasil Recebíveis Imobiliários</t>
  </si>
  <si>
    <t>nch brasil</t>
  </si>
  <si>
    <t>R$143.050.771,00</t>
  </si>
  <si>
    <t>R$151.737.387,61</t>
  </si>
  <si>
    <t>R$362.237,62</t>
  </si>
  <si>
    <t>NCRA11</t>
  </si>
  <si>
    <t>R$91,50</t>
  </si>
  <si>
    <t>NCH Recebíveis do Agronegócio Fiagro</t>
  </si>
  <si>
    <t>R$41.561.557,80</t>
  </si>
  <si>
    <t>R$43.343.797,51</t>
  </si>
  <si>
    <t>R$206.874,37</t>
  </si>
  <si>
    <t>R$98,43</t>
  </si>
  <si>
    <t>Newport Logística</t>
  </si>
  <si>
    <t>R$206.237.562,56</t>
  </si>
  <si>
    <t>R$244.177.290,35</t>
  </si>
  <si>
    <t>R$1.800,31</t>
  </si>
  <si>
    <t>R$2.131,49</t>
  </si>
  <si>
    <t>114.557,00m²</t>
  </si>
  <si>
    <t>R$124.369,04</t>
  </si>
  <si>
    <t>R$52,98</t>
  </si>
  <si>
    <t>Newport Renda Urbana</t>
  </si>
  <si>
    <t>BRPP</t>
  </si>
  <si>
    <t>R$39.326.000,00</t>
  </si>
  <si>
    <t>R$51.045.127,14</t>
  </si>
  <si>
    <t>R$3.047,58</t>
  </si>
  <si>
    <t>R$3.955,76</t>
  </si>
  <si>
    <t>R$5,75</t>
  </si>
  <si>
    <t>12.904,00m²</t>
  </si>
  <si>
    <t>R$7.739,76</t>
  </si>
  <si>
    <t>NPAR11</t>
  </si>
  <si>
    <t>Nestpar</t>
  </si>
  <si>
    <t>TC CONSULTORIA E ADMINISTRAÇÃO LTDA</t>
  </si>
  <si>
    <t>R$1.533.143,80</t>
  </si>
  <si>
    <t>R$1.682.250,84</t>
  </si>
  <si>
    <t>R$162,96</t>
  </si>
  <si>
    <t>Hospital Nossa Senhora de Lourdes</t>
  </si>
  <si>
    <t>R$210.805.618,00</t>
  </si>
  <si>
    <t>R$257.396.219,64</t>
  </si>
  <si>
    <t>R$8.961,58</t>
  </si>
  <si>
    <t>R$10.942,20</t>
  </si>
  <si>
    <t>R$1,55</t>
  </si>
  <si>
    <t>R$85,47</t>
  </si>
  <si>
    <t>23.523,27m²</t>
  </si>
  <si>
    <t>R$129.751,64</t>
  </si>
  <si>
    <t>NVHO11</t>
  </si>
  <si>
    <t>R$11,22</t>
  </si>
  <si>
    <t>Novo Horizonte</t>
  </si>
  <si>
    <t>R$452.290.409,70</t>
  </si>
  <si>
    <t>R$579.233.139,26</t>
  </si>
  <si>
    <t>R$14.898,07</t>
  </si>
  <si>
    <t>R$19.079,45</t>
  </si>
  <si>
    <t>R$114,08</t>
  </si>
  <si>
    <t>30.359,00m²</t>
  </si>
  <si>
    <t>R$1.491,61</t>
  </si>
  <si>
    <t>Nova I</t>
  </si>
  <si>
    <t>R$8.178.576,00</t>
  </si>
  <si>
    <t>R$107.134.679,57</t>
  </si>
  <si>
    <t>R$104,99</t>
  </si>
  <si>
    <t>R$1.375,32</t>
  </si>
  <si>
    <t>R$0,44</t>
  </si>
  <si>
    <t>R$1,93</t>
  </si>
  <si>
    <t>77.898,00m²</t>
  </si>
  <si>
    <t>R$1.000.000,00</t>
  </si>
  <si>
    <t>OIAG11</t>
  </si>
  <si>
    <t>R$10,39</t>
  </si>
  <si>
    <t>Ourinvest Innovation Fiagro</t>
  </si>
  <si>
    <t>FATOR ORE ASSET</t>
  </si>
  <si>
    <t>R$43.116.971,85</t>
  </si>
  <si>
    <t>R$41.008.883,28</t>
  </si>
  <si>
    <t>R$0,17</t>
  </si>
  <si>
    <t>R$66.931,71</t>
  </si>
  <si>
    <t>R$174,92</t>
  </si>
  <si>
    <t>The One</t>
  </si>
  <si>
    <t>R$158.996.830,00</t>
  </si>
  <si>
    <t>R$183.555.548,75</t>
  </si>
  <si>
    <t>R$26.431,67</t>
  </si>
  <si>
    <t>R$30.514,32</t>
  </si>
  <si>
    <t>R$0,98</t>
  </si>
  <si>
    <t>R$148,42</t>
  </si>
  <si>
    <t>6.015,39m²</t>
  </si>
  <si>
    <t>R$67.776,38</t>
  </si>
  <si>
    <t>ORPD11</t>
  </si>
  <si>
    <t>R$93,00</t>
  </si>
  <si>
    <t>Ouro Verde Desenvolvimento Imobiliário</t>
  </si>
  <si>
    <t>R$26.970.000,00</t>
  </si>
  <si>
    <t>R$42.900.966,32</t>
  </si>
  <si>
    <t>R$61,39</t>
  </si>
  <si>
    <t>Ourinvest Fundo de Fundos</t>
  </si>
  <si>
    <t>R$111.182.510,08</t>
  </si>
  <si>
    <t>R$133.752.075,39</t>
  </si>
  <si>
    <t>R$186.799,97</t>
  </si>
  <si>
    <t>R$97,14</t>
  </si>
  <si>
    <t>Ourinvest JPP</t>
  </si>
  <si>
    <t>JPP GESTÃO E FATOR ORE</t>
  </si>
  <si>
    <t>R$316.131.724,80</t>
  </si>
  <si>
    <t>R$324.547.926,63</t>
  </si>
  <si>
    <t>R$974.204,95</t>
  </si>
  <si>
    <t>R$39,28</t>
  </si>
  <si>
    <t>Ourinvest Logística</t>
  </si>
  <si>
    <t>R$96.596.386,12</t>
  </si>
  <si>
    <t>R$166.782.420,80</t>
  </si>
  <si>
    <t>R$1.192,50</t>
  </si>
  <si>
    <t>R$2.058,97</t>
  </si>
  <si>
    <t>R$12,56</t>
  </si>
  <si>
    <t>81.003,00m²</t>
  </si>
  <si>
    <t>R$70.828,65</t>
  </si>
  <si>
    <t>R$73,20</t>
  </si>
  <si>
    <t>Ourinvest Renda Estruturada</t>
  </si>
  <si>
    <t>R$77.722.597,92</t>
  </si>
  <si>
    <t>R$97.497.098,76</t>
  </si>
  <si>
    <t>R$123.197,37</t>
  </si>
  <si>
    <t>PABY11</t>
  </si>
  <si>
    <t>R$13,10</t>
  </si>
  <si>
    <t>Panamby</t>
  </si>
  <si>
    <t>BRKB DTVM</t>
  </si>
  <si>
    <t>R$10.048.800,00</t>
  </si>
  <si>
    <t>R$-12.176.856,00</t>
  </si>
  <si>
    <t>R$3.246,01</t>
  </si>
  <si>
    <t>PATB11</t>
  </si>
  <si>
    <t>Pateo Bandeirantes</t>
  </si>
  <si>
    <t>R$568.861.087,36</t>
  </si>
  <si>
    <t>R$117.911,13</t>
  </si>
  <si>
    <t>R$6,47</t>
  </si>
  <si>
    <t>R$5.128,42</t>
  </si>
  <si>
    <t>4.824,49m²</t>
  </si>
  <si>
    <t>R$67,00</t>
  </si>
  <si>
    <t>Pátria Edifícios Corporativos</t>
  </si>
  <si>
    <t>R$232.988.078,00</t>
  </si>
  <si>
    <t>R$266.018.976,86</t>
  </si>
  <si>
    <t>R$19.673,06</t>
  </si>
  <si>
    <t>R$22.462,13</t>
  </si>
  <si>
    <t>R$0,22</t>
  </si>
  <si>
    <t>R$64,60</t>
  </si>
  <si>
    <t>11.843,00m²</t>
  </si>
  <si>
    <t>R$251.825,77</t>
  </si>
  <si>
    <t>R$63,00</t>
  </si>
  <si>
    <t>Pátria Logística</t>
  </si>
  <si>
    <t>R$313.368.567,30</t>
  </si>
  <si>
    <t>R$489.269.975,99</t>
  </si>
  <si>
    <t>R$2.073,50</t>
  </si>
  <si>
    <t>R$3.237,41</t>
  </si>
  <si>
    <t>R$19,16</t>
  </si>
  <si>
    <t>151.130,00m²</t>
  </si>
  <si>
    <t>R$867.273,95</t>
  </si>
  <si>
    <t>PBLV11</t>
  </si>
  <si>
    <t>Prologis Brazil Logistics Venture</t>
  </si>
  <si>
    <t>R$3.350.236.227,14</t>
  </si>
  <si>
    <t>R$5.681.719.103,10</t>
  </si>
  <si>
    <t>R$39,19</t>
  </si>
  <si>
    <t>PCAS11</t>
  </si>
  <si>
    <t>Praia do Castelo</t>
  </si>
  <si>
    <t>EXANTE ASSET</t>
  </si>
  <si>
    <t>R$532.949.145,81</t>
  </si>
  <si>
    <t>PEMA11</t>
  </si>
  <si>
    <t>R$53,99</t>
  </si>
  <si>
    <t>Performa Real Estate</t>
  </si>
  <si>
    <t>R$27.600.000,00</t>
  </si>
  <si>
    <t>R$41.994.236,08</t>
  </si>
  <si>
    <t>R$2.627,77</t>
  </si>
  <si>
    <t>PLCA11</t>
  </si>
  <si>
    <t>R$96,98</t>
  </si>
  <si>
    <t>Plural BRB Crédito Agro</t>
  </si>
  <si>
    <t>PLURAL GESTÃO DE RECURSOS</t>
  </si>
  <si>
    <t>R$54.019.702,62</t>
  </si>
  <si>
    <t>R$53.050.213,40</t>
  </si>
  <si>
    <t>R$31.693,36</t>
  </si>
  <si>
    <t>R$83,97</t>
  </si>
  <si>
    <t>Plural Recebíveis Imobiliários</t>
  </si>
  <si>
    <t>R$177.149.104,31</t>
  </si>
  <si>
    <t>R$190.717.731,42</t>
  </si>
  <si>
    <t>R$373.357,09</t>
  </si>
  <si>
    <t>PLOG11</t>
  </si>
  <si>
    <t>R$71,48</t>
  </si>
  <si>
    <t>Plural Logística</t>
  </si>
  <si>
    <t>R$53.452.500,00</t>
  </si>
  <si>
    <t>R$79.769.186,58</t>
  </si>
  <si>
    <t>R$1.522,39</t>
  </si>
  <si>
    <t>R$2.271,91</t>
  </si>
  <si>
    <t>R$16,02</t>
  </si>
  <si>
    <t>35.111,00m²</t>
  </si>
  <si>
    <t>R$68.080,03</t>
  </si>
  <si>
    <t>PLRI11</t>
  </si>
  <si>
    <t>R$23,10</t>
  </si>
  <si>
    <t>Polo</t>
  </si>
  <si>
    <t>R$22.044.422,40</t>
  </si>
  <si>
    <t>R$30.789.060,58</t>
  </si>
  <si>
    <t>R$4.519,68</t>
  </si>
  <si>
    <t>PNDL11</t>
  </si>
  <si>
    <t>Panorama Desenvolvimento Logístico</t>
  </si>
  <si>
    <t>PANORAMA CAPITAL</t>
  </si>
  <si>
    <t>R$58.712.394,86</t>
  </si>
  <si>
    <t>PNLN11</t>
  </si>
  <si>
    <t>Panorama Last Mile SBC</t>
  </si>
  <si>
    <t>R$758.600,89</t>
  </si>
  <si>
    <t>PNPR11</t>
  </si>
  <si>
    <t>Panorama Properties</t>
  </si>
  <si>
    <t>R$86.396.800,00</t>
  </si>
  <si>
    <t>R$85.591.631,55</t>
  </si>
  <si>
    <t>R$3.756,38</t>
  </si>
  <si>
    <t>R$3.721,38</t>
  </si>
  <si>
    <t>23.000,00m²</t>
  </si>
  <si>
    <t>R$87,56</t>
  </si>
  <si>
    <t>Polo Crédito Imobiliário</t>
  </si>
  <si>
    <t>R$325.934.542,50</t>
  </si>
  <si>
    <t>R$363.550.200,18</t>
  </si>
  <si>
    <t>R$1,12</t>
  </si>
  <si>
    <t>R$519.397,49</t>
  </si>
  <si>
    <t>R$53,88</t>
  </si>
  <si>
    <t>Parque Anhanguera</t>
  </si>
  <si>
    <t>R$735.553.657,30</t>
  </si>
  <si>
    <t>R$800.863.763,13</t>
  </si>
  <si>
    <t>R$11.564,22</t>
  </si>
  <si>
    <t>R$12.591,01</t>
  </si>
  <si>
    <t>R$96,79</t>
  </si>
  <si>
    <t>63.606,00m²</t>
  </si>
  <si>
    <t>R$9.013,69</t>
  </si>
  <si>
    <t>R$2.018,13</t>
  </si>
  <si>
    <t>Parque Dom Pedro Shopping Center</t>
  </si>
  <si>
    <t>R$497.163.825,00</t>
  </si>
  <si>
    <t>R$767.323.452,22</t>
  </si>
  <si>
    <t>R$12.992,99</t>
  </si>
  <si>
    <t>R$20.053,40</t>
  </si>
  <si>
    <t>R$10,38</t>
  </si>
  <si>
    <t>R$66,59</t>
  </si>
  <si>
    <t>38.264,00m²</t>
  </si>
  <si>
    <t>R$85.390,68</t>
  </si>
  <si>
    <t>PRSN11B</t>
  </si>
  <si>
    <t>Personale I</t>
  </si>
  <si>
    <t>ÓRAMA</t>
  </si>
  <si>
    <t>R$6.139.369,30</t>
  </si>
  <si>
    <t>R$15.378.787,72</t>
  </si>
  <si>
    <t>R$3.498,44</t>
  </si>
  <si>
    <t>R$8.763,39</t>
  </si>
  <si>
    <t>R$316,11</t>
  </si>
  <si>
    <t>1.754,89m²</t>
  </si>
  <si>
    <t>R$4,00</t>
  </si>
  <si>
    <t>R$378,50</t>
  </si>
  <si>
    <t>R$131,96</t>
  </si>
  <si>
    <t>Presidente Vargas</t>
  </si>
  <si>
    <t>R$25.732.200,00</t>
  </si>
  <si>
    <t>R$42.731.432,05</t>
  </si>
  <si>
    <t>R$2.552,29</t>
  </si>
  <si>
    <t>R$4.238,39</t>
  </si>
  <si>
    <t>10.082,00m²</t>
  </si>
  <si>
    <t>R$8.693,69</t>
  </si>
  <si>
    <t>PRTS11</t>
  </si>
  <si>
    <t>Multi Properties</t>
  </si>
  <si>
    <t>R$55.727.500,00</t>
  </si>
  <si>
    <t>R$3.111.607,44</t>
  </si>
  <si>
    <t>R$5.553,31</t>
  </si>
  <si>
    <t>R$310,08</t>
  </si>
  <si>
    <t>R$304,71</t>
  </si>
  <si>
    <t>10.035,00m²</t>
  </si>
  <si>
    <t>PRZS11</t>
  </si>
  <si>
    <t>Prazo</t>
  </si>
  <si>
    <t>CVPAR</t>
  </si>
  <si>
    <t>R$103.559.710,99</t>
  </si>
  <si>
    <t>PURB11</t>
  </si>
  <si>
    <t>R$95,10</t>
  </si>
  <si>
    <t>Plural Renda Urbana</t>
  </si>
  <si>
    <t>R$38.598.522,30</t>
  </si>
  <si>
    <t>R$32.682.411,62</t>
  </si>
  <si>
    <t>R$7.090,10</t>
  </si>
  <si>
    <t>R$6.003,38</t>
  </si>
  <si>
    <t>R$104,38</t>
  </si>
  <si>
    <t>5.444,00m²</t>
  </si>
  <si>
    <t>R$95,00</t>
  </si>
  <si>
    <t>R$85,83</t>
  </si>
  <si>
    <t>VBI Prime Properties</t>
  </si>
  <si>
    <t>R$867.111.010,41</t>
  </si>
  <si>
    <t>R$1.032.454.038,52</t>
  </si>
  <si>
    <t>R$19.462,90</t>
  </si>
  <si>
    <t>R$23.174,13</t>
  </si>
  <si>
    <t>R$137,46</t>
  </si>
  <si>
    <t>44.552,00m²</t>
  </si>
  <si>
    <t>R$2.973.327,17</t>
  </si>
  <si>
    <t>R$41,44</t>
  </si>
  <si>
    <t>Quasar Agro</t>
  </si>
  <si>
    <t>QUASAR ASSET MANAGEMENT</t>
  </si>
  <si>
    <t>R$208.000.800,00</t>
  </si>
  <si>
    <t>R$281.368.849,24</t>
  </si>
  <si>
    <t>R$0,42</t>
  </si>
  <si>
    <t>R$299.963,40</t>
  </si>
  <si>
    <t>QAMI11</t>
  </si>
  <si>
    <t>R$79,95</t>
  </si>
  <si>
    <t>Quasar Crédito</t>
  </si>
  <si>
    <t>R$64.135.881,94</t>
  </si>
  <si>
    <t>R$73.317.528,67</t>
  </si>
  <si>
    <t>R$45.066,25</t>
  </si>
  <si>
    <t>QREC11</t>
  </si>
  <si>
    <t>Quasar Crédito Imobiliário</t>
  </si>
  <si>
    <t>RBDS11</t>
  </si>
  <si>
    <t>R$3,80</t>
  </si>
  <si>
    <t>RB Capital Desenvolvimento Residencial II</t>
  </si>
  <si>
    <t>R$480.787,40</t>
  </si>
  <si>
    <t>R$2.543.063,78</t>
  </si>
  <si>
    <t>R$964,46</t>
  </si>
  <si>
    <t>R$117,30</t>
  </si>
  <si>
    <t>Rio Bravo Renda Educacional</t>
  </si>
  <si>
    <t>R$271.399.855,00</t>
  </si>
  <si>
    <t>R$333.340.143,36</t>
  </si>
  <si>
    <t>R$2.328,69</t>
  </si>
  <si>
    <t>R$2.860,16</t>
  </si>
  <si>
    <t>R$1,26</t>
  </si>
  <si>
    <t>R$24,97</t>
  </si>
  <si>
    <t>116.546,00m²</t>
  </si>
  <si>
    <t>R$175.593,47</t>
  </si>
  <si>
    <t>R$49,47</t>
  </si>
  <si>
    <t>Rio Bravo Fundo de Fundos</t>
  </si>
  <si>
    <t>R$184.611.346,60</t>
  </si>
  <si>
    <t>R$234.029.872,24</t>
  </si>
  <si>
    <t>R$247.572,99</t>
  </si>
  <si>
    <t>R$82,77</t>
  </si>
  <si>
    <t>Rio Bravo Crédito Imobiliário High Grade</t>
  </si>
  <si>
    <t>R$143.354.754,36</t>
  </si>
  <si>
    <t>R$159.833.690,61</t>
  </si>
  <si>
    <t>R$278.262,08</t>
  </si>
  <si>
    <t>RBHY11</t>
  </si>
  <si>
    <t>R$95,67</t>
  </si>
  <si>
    <t>Rio Bravo Crédito Imobiliário High Yield</t>
  </si>
  <si>
    <t>R$181.946.895,45</t>
  </si>
  <si>
    <t>R$179.305.483,98</t>
  </si>
  <si>
    <t>R$111.867,43</t>
  </si>
  <si>
    <t>RBIR11</t>
  </si>
  <si>
    <t>R$60,18</t>
  </si>
  <si>
    <t>RB Capital Desenvolvimento Residencial IV</t>
  </si>
  <si>
    <t>R$91.793.330,75</t>
  </si>
  <si>
    <t>R$145.499.599,99</t>
  </si>
  <si>
    <t>R$0,24</t>
  </si>
  <si>
    <t>R$43.032,42</t>
  </si>
  <si>
    <t>RBLG11</t>
  </si>
  <si>
    <t>R$94,11</t>
  </si>
  <si>
    <t>RB Capital Logístico</t>
  </si>
  <si>
    <t>R$60.249.127,89</t>
  </si>
  <si>
    <t>R$63.604.334,23</t>
  </si>
  <si>
    <t>R$3.797,61</t>
  </si>
  <si>
    <t>R$4.009,10</t>
  </si>
  <si>
    <t>R$0,33</t>
  </si>
  <si>
    <t>R$35,51</t>
  </si>
  <si>
    <t>15.865,00m²</t>
  </si>
  <si>
    <t>R$728,78</t>
  </si>
  <si>
    <t>RBOP11</t>
  </si>
  <si>
    <t>R$519,90</t>
  </si>
  <si>
    <t>Rio Bravo Oportunidades Imobiliárias</t>
  </si>
  <si>
    <t>R$52.762.599,36</t>
  </si>
  <si>
    <t>R$78.384.711,06</t>
  </si>
  <si>
    <t>R$3.064,74</t>
  </si>
  <si>
    <t>R$4.553,02</t>
  </si>
  <si>
    <t>R$8,25</t>
  </si>
  <si>
    <t>R$48,72</t>
  </si>
  <si>
    <t>17.216,00m²</t>
  </si>
  <si>
    <t>R$66.032,15</t>
  </si>
  <si>
    <t>RBRD11</t>
  </si>
  <si>
    <t>R$33,30</t>
  </si>
  <si>
    <t>RB Capital Renda II</t>
  </si>
  <si>
    <t>R$62.849.616,84</t>
  </si>
  <si>
    <t>R$122.769.482,89</t>
  </si>
  <si>
    <t>R$2.648,64</t>
  </si>
  <si>
    <t>R$5.173,82</t>
  </si>
  <si>
    <t>23.729,00m²</t>
  </si>
  <si>
    <t>R$34.011,71</t>
  </si>
  <si>
    <t>R$64,71</t>
  </si>
  <si>
    <t>RBR Alpha Multiestratégia Real Estate</t>
  </si>
  <si>
    <t>R$888.566.011,50</t>
  </si>
  <si>
    <t>R$1.094.140.071,99</t>
  </si>
  <si>
    <t>R$2.374.923,59</t>
  </si>
  <si>
    <t>RBRI11</t>
  </si>
  <si>
    <t>R$999,89</t>
  </si>
  <si>
    <t>RBR Desenvolvimento III</t>
  </si>
  <si>
    <t>RBR Private Equity</t>
  </si>
  <si>
    <t>R$129.936.705,39</t>
  </si>
  <si>
    <t>R$158.341.951,92</t>
  </si>
  <si>
    <t>RBR Log</t>
  </si>
  <si>
    <t>R$498.852.811,00</t>
  </si>
  <si>
    <t>R$709.284.653,49</t>
  </si>
  <si>
    <t>R$2.129,17</t>
  </si>
  <si>
    <t>R$3.027,33</t>
  </si>
  <si>
    <t>R$18,55</t>
  </si>
  <si>
    <t>234.294,00m²</t>
  </si>
  <si>
    <t>R$595.377,07</t>
  </si>
  <si>
    <t>RBR Desenvolvimento</t>
  </si>
  <si>
    <t>R$8.928.540,39</t>
  </si>
  <si>
    <t>R$25.334.690,59</t>
  </si>
  <si>
    <t>R$2.076,24</t>
  </si>
  <si>
    <t>R$44,83</t>
  </si>
  <si>
    <t>RBR Properties FII</t>
  </si>
  <si>
    <t>R$545.505.785,73</t>
  </si>
  <si>
    <t>R$951.532.894,45</t>
  </si>
  <si>
    <t>R$10.604,08</t>
  </si>
  <si>
    <t>R$18.496,84</t>
  </si>
  <si>
    <t>R$63,92</t>
  </si>
  <si>
    <t>51.443,00m²</t>
  </si>
  <si>
    <t>R$80,00</t>
  </si>
  <si>
    <t>R$1.027.133,71</t>
  </si>
  <si>
    <t>R$83,17</t>
  </si>
  <si>
    <t>RBR Rendimentos High Grade</t>
  </si>
  <si>
    <t>R$1.140.291.343,80</t>
  </si>
  <si>
    <t>R$1.269.607.818,89</t>
  </si>
  <si>
    <t>R$4.204.460,86</t>
  </si>
  <si>
    <t>RBRU11</t>
  </si>
  <si>
    <t>RB Capital Renda Urbana</t>
  </si>
  <si>
    <t>RBRX11</t>
  </si>
  <si>
    <t>R$81,51</t>
  </si>
  <si>
    <t>RBR Plus Multiestratégia Real Estate</t>
  </si>
  <si>
    <t>R$154.761.815,52</t>
  </si>
  <si>
    <t>R$176.246.204,73</t>
  </si>
  <si>
    <t>R$529.378,49</t>
  </si>
  <si>
    <t>R$95,47</t>
  </si>
  <si>
    <t>RBR Crédito Imobiliário Estruturado</t>
  </si>
  <si>
    <t>R$521.510.512,08</t>
  </si>
  <si>
    <t>R$553.436.918,69</t>
  </si>
  <si>
    <t>R$1.229.171,61</t>
  </si>
  <si>
    <t>RBTS11</t>
  </si>
  <si>
    <t>R$1.121,00</t>
  </si>
  <si>
    <t>RB Capital TFO Situs</t>
  </si>
  <si>
    <t>R$63.364.525,00</t>
  </si>
  <si>
    <t>R$61.943.113,63</t>
  </si>
  <si>
    <t>R$22.420,00</t>
  </si>
  <si>
    <t>R$91,95</t>
  </si>
  <si>
    <t>Rio Bravo Renda Varejo</t>
  </si>
  <si>
    <t>R$1.070.749.587,60</t>
  </si>
  <si>
    <t>R$1.235.324.531,19</t>
  </si>
  <si>
    <t>R$5.397,36</t>
  </si>
  <si>
    <t>R$6.226,94</t>
  </si>
  <si>
    <t>R$55,49</t>
  </si>
  <si>
    <t>198.384,00m²</t>
  </si>
  <si>
    <t>R$848.917,32</t>
  </si>
  <si>
    <t>R$9,66</t>
  </si>
  <si>
    <t>Rio Bravo Crédito Imobiliário II</t>
  </si>
  <si>
    <t>R$4.988.018,08</t>
  </si>
  <si>
    <t>R$8.828.054,19</t>
  </si>
  <si>
    <t>R$0,01</t>
  </si>
  <si>
    <t>R$3.125,78</t>
  </si>
  <si>
    <t>RCFA11</t>
  </si>
  <si>
    <t>R$2,70</t>
  </si>
  <si>
    <t>Grupo RCFA</t>
  </si>
  <si>
    <t>Fram Capital</t>
  </si>
  <si>
    <t>R$1.576.600,20</t>
  </si>
  <si>
    <t>R$10.186.497,36</t>
  </si>
  <si>
    <t>R$8.568,48</t>
  </si>
  <si>
    <t>R$55.361,40</t>
  </si>
  <si>
    <t>184,00m²</t>
  </si>
  <si>
    <t>R$1.463,26</t>
  </si>
  <si>
    <t>RCFF11</t>
  </si>
  <si>
    <t>R$89,00</t>
  </si>
  <si>
    <t>RBR Desenvolvimento Comercial Feeder FOF</t>
  </si>
  <si>
    <t>R$28.764.800,00</t>
  </si>
  <si>
    <t>R$28.704.832,95</t>
  </si>
  <si>
    <t>R$297,03</t>
  </si>
  <si>
    <t>R$113,50</t>
  </si>
  <si>
    <t>Rio Bravo Renda Corporativa</t>
  </si>
  <si>
    <t>R$426.644.342,00</t>
  </si>
  <si>
    <t>R$769.415.100,83</t>
  </si>
  <si>
    <t>R$9.985,12</t>
  </si>
  <si>
    <t>R$18.007,28</t>
  </si>
  <si>
    <t>R$63,05</t>
  </si>
  <si>
    <t>42.728,00m²</t>
  </si>
  <si>
    <t>R$458.063,05</t>
  </si>
  <si>
    <t>RCRI11B</t>
  </si>
  <si>
    <t>RB Capital Rendimentos</t>
  </si>
  <si>
    <t>R$18.639.596,10</t>
  </si>
  <si>
    <t>R$12,48</t>
  </si>
  <si>
    <t>R$26,70</t>
  </si>
  <si>
    <t>Fundo BB Renda de Papéis II</t>
  </si>
  <si>
    <t>R$28.783.721,40</t>
  </si>
  <si>
    <t>R$30.458.260,17</t>
  </si>
  <si>
    <t>R$0,34</t>
  </si>
  <si>
    <t>R$22.343,49</t>
  </si>
  <si>
    <t>RECH11</t>
  </si>
  <si>
    <t>REC Hotelaria</t>
  </si>
  <si>
    <t>R$83,70</t>
  </si>
  <si>
    <t>REC Recebíveis Imobiliários</t>
  </si>
  <si>
    <t>R$2.207.877.775,00</t>
  </si>
  <si>
    <t>R$2.520.797.688,65</t>
  </si>
  <si>
    <t>R$3.627.521,51</t>
  </si>
  <si>
    <t>R$51,15</t>
  </si>
  <si>
    <t>REC Renda Imobiliária</t>
  </si>
  <si>
    <t>R$431.446.396,50</t>
  </si>
  <si>
    <t>R$798.131.351,87</t>
  </si>
  <si>
    <t>R$4.639,36</t>
  </si>
  <si>
    <t>R$8.582,33</t>
  </si>
  <si>
    <t>R$49,61</t>
  </si>
  <si>
    <t>92.997,00m²</t>
  </si>
  <si>
    <t>R$487.339,57</t>
  </si>
  <si>
    <t>RECX11</t>
  </si>
  <si>
    <t>R$62,64</t>
  </si>
  <si>
    <t>REC Fundo de Fundos</t>
  </si>
  <si>
    <t>REC</t>
  </si>
  <si>
    <t>R$13.624.914,33</t>
  </si>
  <si>
    <t>R$16.785.344,48</t>
  </si>
  <si>
    <t>R$10.496,65</t>
  </si>
  <si>
    <t>R$200,01</t>
  </si>
  <si>
    <t>Singulare FII</t>
  </si>
  <si>
    <t>SINGULARE</t>
  </si>
  <si>
    <t>R$5.258.462,91</t>
  </si>
  <si>
    <t>R$7.487.655,25</t>
  </si>
  <si>
    <t>R$2,78</t>
  </si>
  <si>
    <t>R$936,25</t>
  </si>
  <si>
    <t>R$70,99</t>
  </si>
  <si>
    <t>REC Logística</t>
  </si>
  <si>
    <t>R$94.486.989,60</t>
  </si>
  <si>
    <t>R$162.678.938,67</t>
  </si>
  <si>
    <t>R$971,11</t>
  </si>
  <si>
    <t>R$1.671,97</t>
  </si>
  <si>
    <t>R$9,60</t>
  </si>
  <si>
    <t>97.298,00m²</t>
  </si>
  <si>
    <t>R$82.613,67</t>
  </si>
  <si>
    <t>R$65,93</t>
  </si>
  <si>
    <t>RB Capital I Fundo de Fundos</t>
  </si>
  <si>
    <t>R$71.072.570,88</t>
  </si>
  <si>
    <t>R$83.550.737,06</t>
  </si>
  <si>
    <t>R$80.490,88</t>
  </si>
  <si>
    <t>RMAI11</t>
  </si>
  <si>
    <t>R$49,83</t>
  </si>
  <si>
    <t>REAG Multi Ativos Imobiliários</t>
  </si>
  <si>
    <t>REAG ASSET MANAGEMENT</t>
  </si>
  <si>
    <t>R$93.573.102,00</t>
  </si>
  <si>
    <t>R$263.485.516,14</t>
  </si>
  <si>
    <t>R$2.230,85</t>
  </si>
  <si>
    <t>R$6.281,69</t>
  </si>
  <si>
    <t>R$0,26</t>
  </si>
  <si>
    <t>R$15,15</t>
  </si>
  <si>
    <t>41.945,00m²</t>
  </si>
  <si>
    <t>R$7.979,14</t>
  </si>
  <si>
    <t>RNDP11</t>
  </si>
  <si>
    <t>R$156,00</t>
  </si>
  <si>
    <t>Fundo BB Renda de Papéis</t>
  </si>
  <si>
    <t>R$16.767.036,00</t>
  </si>
  <si>
    <t>R$20.713.235,06</t>
  </si>
  <si>
    <t>R$10.220,71</t>
  </si>
  <si>
    <t>R$46,65</t>
  </si>
  <si>
    <t>Rio Negro</t>
  </si>
  <si>
    <t>R$124.835.400,00</t>
  </si>
  <si>
    <t>R$231.716.213,79</t>
  </si>
  <si>
    <t>R$3.246,86</t>
  </si>
  <si>
    <t>R$6.026,74</t>
  </si>
  <si>
    <t>R$0,43</t>
  </si>
  <si>
    <t>R$29,93</t>
  </si>
  <si>
    <t>38.448,00m²</t>
  </si>
  <si>
    <t>R$72.474,70</t>
  </si>
  <si>
    <t>ROOF11</t>
  </si>
  <si>
    <t>R$770,00</t>
  </si>
  <si>
    <t>Rooftop I</t>
  </si>
  <si>
    <t>R$59.671.150,00</t>
  </si>
  <si>
    <t>R$53.423.763,21</t>
  </si>
  <si>
    <t>R$1.545,33</t>
  </si>
  <si>
    <t>RPRI11</t>
  </si>
  <si>
    <t>RBR Premium Recebíveis Imobiliários</t>
  </si>
  <si>
    <t>R$206.734.646,10</t>
  </si>
  <si>
    <t>R$226.521.650,69</t>
  </si>
  <si>
    <t>R$101,30</t>
  </si>
  <si>
    <t>R$181.557,57</t>
  </si>
  <si>
    <t>R$83,30</t>
  </si>
  <si>
    <t>RB Capital Recebíveis Imobiliários</t>
  </si>
  <si>
    <t>R$40.212.256,79</t>
  </si>
  <si>
    <t>R$43.697.787,94</t>
  </si>
  <si>
    <t>R$66.264,70</t>
  </si>
  <si>
    <t>RSPD11</t>
  </si>
  <si>
    <t>R$1.125,00</t>
  </si>
  <si>
    <t>RB Capital Desenvolvimento Residencial III</t>
  </si>
  <si>
    <t>R$167.637.375,00</t>
  </si>
  <si>
    <t>R$171.070.236,81</t>
  </si>
  <si>
    <t>R$35,03</t>
  </si>
  <si>
    <t>RURA11</t>
  </si>
  <si>
    <t>R$10,33</t>
  </si>
  <si>
    <t>Itaú Asset Rural Fiagro</t>
  </si>
  <si>
    <t>ITAÚ UNIBANCO</t>
  </si>
  <si>
    <t>R$1.019.914.869,05</t>
  </si>
  <si>
    <t>R$980.451.202,99</t>
  </si>
  <si>
    <t>R$736.073,07</t>
  </si>
  <si>
    <t>R$70,20</t>
  </si>
  <si>
    <t>VBI Reits FOF</t>
  </si>
  <si>
    <t>R$101.505.600,00</t>
  </si>
  <si>
    <t>R$118.775.061,25</t>
  </si>
  <si>
    <t>R$187.943,84</t>
  </si>
  <si>
    <t>RZAG11</t>
  </si>
  <si>
    <t>R$9,64</t>
  </si>
  <si>
    <t>Riza Agro Fiagro</t>
  </si>
  <si>
    <t>RIZA</t>
  </si>
  <si>
    <t>R$662.033.335,25</t>
  </si>
  <si>
    <t>R$659.870.781,44</t>
  </si>
  <si>
    <t>R$2.334.429,24</t>
  </si>
  <si>
    <t>R$98,50</t>
  </si>
  <si>
    <t>Riza Akin</t>
  </si>
  <si>
    <t>R$549.145.603,91</t>
  </si>
  <si>
    <t>R$521.840.168,96</t>
  </si>
  <si>
    <t>R$3.801.451,33</t>
  </si>
  <si>
    <t>RZAT11</t>
  </si>
  <si>
    <t>R$84,33</t>
  </si>
  <si>
    <t>Riza Arctium Real Estate</t>
  </si>
  <si>
    <t>R$314.341.401,36</t>
  </si>
  <si>
    <t>R$371.583.955,47</t>
  </si>
  <si>
    <t>R$1.849,07</t>
  </si>
  <si>
    <t>R$2.185,79</t>
  </si>
  <si>
    <t>R$0,96</t>
  </si>
  <si>
    <t>R$20,94</t>
  </si>
  <si>
    <t>170.000,00m²</t>
  </si>
  <si>
    <t>R$1.212.016,02</t>
  </si>
  <si>
    <t>R$84,99</t>
  </si>
  <si>
    <t>Riza Terrax</t>
  </si>
  <si>
    <t>R$941.070.173,24</t>
  </si>
  <si>
    <t>R$1.066.113.876,24</t>
  </si>
  <si>
    <t>R$3.134.663,99</t>
  </si>
  <si>
    <t>R$89,60</t>
  </si>
  <si>
    <t>Santander Papéis Imobiliários CDI</t>
  </si>
  <si>
    <t>Santander Brasil</t>
  </si>
  <si>
    <t>R$284.533.120,29</t>
  </si>
  <si>
    <t>R$313.671.106,73</t>
  </si>
  <si>
    <t>R$1,07</t>
  </si>
  <si>
    <t>R$832.448,31</t>
  </si>
  <si>
    <t>SAIC11B</t>
  </si>
  <si>
    <t>R$37,88</t>
  </si>
  <si>
    <t>SIA Corporate</t>
  </si>
  <si>
    <t>BRB DTVM</t>
  </si>
  <si>
    <t>R$54.158.551,20</t>
  </si>
  <si>
    <t>R$79.705.087,59</t>
  </si>
  <si>
    <t>R$4.822,85</t>
  </si>
  <si>
    <t>R$7.097,78</t>
  </si>
  <si>
    <t>11.229,58m²</t>
  </si>
  <si>
    <t>SALI11</t>
  </si>
  <si>
    <t>Vênus</t>
  </si>
  <si>
    <t>R$8.068.136,19</t>
  </si>
  <si>
    <t>R$56,25</t>
  </si>
  <si>
    <t>Santander Renda de Aluguéis</t>
  </si>
  <si>
    <t>R$530.512.201,05</t>
  </si>
  <si>
    <t>R$869.065.060,53</t>
  </si>
  <si>
    <t>R$5.487,53</t>
  </si>
  <si>
    <t>R$8.989,46</t>
  </si>
  <si>
    <t>R$61,13</t>
  </si>
  <si>
    <t>96.676,00m²</t>
  </si>
  <si>
    <t>R$1.385.200,12</t>
  </si>
  <si>
    <t>SBCL11</t>
  </si>
  <si>
    <t>FRAM Capital SBCLog</t>
  </si>
  <si>
    <t>R$28.698.440,86</t>
  </si>
  <si>
    <t>SCPF11</t>
  </si>
  <si>
    <t>R$5,30</t>
  </si>
  <si>
    <t>SCP</t>
  </si>
  <si>
    <t>R$22.176.000,00</t>
  </si>
  <si>
    <t>R$49.080.141,51</t>
  </si>
  <si>
    <t>R$4.668,63</t>
  </si>
  <si>
    <t>R$10.332,66</t>
  </si>
  <si>
    <t>R$41,56</t>
  </si>
  <si>
    <t>4.750,00m²</t>
  </si>
  <si>
    <t>R$3.395,64</t>
  </si>
  <si>
    <t>R$87,52</t>
  </si>
  <si>
    <t>SDI Rio Bravo Renda Logística</t>
  </si>
  <si>
    <t>Rio Bravo e Tellus</t>
  </si>
  <si>
    <t>R$561.037.736,50</t>
  </si>
  <si>
    <t>R$623.975.372,70</t>
  </si>
  <si>
    <t>R$1.756,54</t>
  </si>
  <si>
    <t>R$1.953,59</t>
  </si>
  <si>
    <t>R$16,62</t>
  </si>
  <si>
    <t>319.400,00m²</t>
  </si>
  <si>
    <t>R$773.804,93</t>
  </si>
  <si>
    <t>SEED11</t>
  </si>
  <si>
    <t>Hedge Seed</t>
  </si>
  <si>
    <t>R$164.000.000,00</t>
  </si>
  <si>
    <t>R$137.759.520,72</t>
  </si>
  <si>
    <t>R$247.500,00</t>
  </si>
  <si>
    <t>SEQR11</t>
  </si>
  <si>
    <t>R$60,05</t>
  </si>
  <si>
    <t>Sequóia III Renda Imobiliária</t>
  </si>
  <si>
    <t>SEQUÓIA</t>
  </si>
  <si>
    <t>R$96.673.975,20</t>
  </si>
  <si>
    <t>R$150.393.845,51</t>
  </si>
  <si>
    <t>R$2.310,18</t>
  </si>
  <si>
    <t>R$3.593,90</t>
  </si>
  <si>
    <t>R$26,54</t>
  </si>
  <si>
    <t>41.847,00m²</t>
  </si>
  <si>
    <t>R$150.710,80</t>
  </si>
  <si>
    <t>SFND11</t>
  </si>
  <si>
    <t>São Fernando</t>
  </si>
  <si>
    <t>R$9.158.163,07</t>
  </si>
  <si>
    <t>R$813,48</t>
  </si>
  <si>
    <t>11.258,00m²</t>
  </si>
  <si>
    <t>SFRO11</t>
  </si>
  <si>
    <t>São Francisco 34</t>
  </si>
  <si>
    <t>CULTINVEST ASSET</t>
  </si>
  <si>
    <t>R$5.191.438,53</t>
  </si>
  <si>
    <t>Shopping Parque Dom Pedro</t>
  </si>
  <si>
    <t>R$1.605.765.542,00</t>
  </si>
  <si>
    <t>R$1.895.624.368,33</t>
  </si>
  <si>
    <t>R$16.935,61</t>
  </si>
  <si>
    <t>R$19.992,67</t>
  </si>
  <si>
    <t>R$10,77</t>
  </si>
  <si>
    <t>R$166,75</t>
  </si>
  <si>
    <t>94.815,95m²</t>
  </si>
  <si>
    <t>R$747,50</t>
  </si>
  <si>
    <t>SHOP11</t>
  </si>
  <si>
    <t>Multi Shoppings</t>
  </si>
  <si>
    <t>CAPITANIA CAPITAL S.A.</t>
  </si>
  <si>
    <t>R$131.832.674,00</t>
  </si>
  <si>
    <t>R$68.065.089,14</t>
  </si>
  <si>
    <t>R$7.207,52</t>
  </si>
  <si>
    <t>R$3.721,23</t>
  </si>
  <si>
    <t>18.291,00m²</t>
  </si>
  <si>
    <t>R$980,21</t>
  </si>
  <si>
    <t>R$694,98</t>
  </si>
  <si>
    <t>Shopping Pátio Higienópolis</t>
  </si>
  <si>
    <t>R$415.340.437,00</t>
  </si>
  <si>
    <t>R$544.656.433,68</t>
  </si>
  <si>
    <t>R$47.397,06</t>
  </si>
  <si>
    <t>R$62.154,11</t>
  </si>
  <si>
    <t>R$3,40</t>
  </si>
  <si>
    <t>R$236,27</t>
  </si>
  <si>
    <t>8.763,00m²</t>
  </si>
  <si>
    <t>R$124.945,87</t>
  </si>
  <si>
    <t>SHSO11</t>
  </si>
  <si>
    <t>SH Special Opps</t>
  </si>
  <si>
    <t>R$8.429.184,28</t>
  </si>
  <si>
    <t>R$0,89</t>
  </si>
  <si>
    <t>SIGR11</t>
  </si>
  <si>
    <t>SIG Capital Recebíveis Pulverizados</t>
  </si>
  <si>
    <t>SIG Capital</t>
  </si>
  <si>
    <t>R$38.939.500,00</t>
  </si>
  <si>
    <t>R$37.656.928,90</t>
  </si>
  <si>
    <t>SJAU11</t>
  </si>
  <si>
    <t>R$90,01</t>
  </si>
  <si>
    <t>SJ AU Logística</t>
  </si>
  <si>
    <t>R$713.902.320,00</t>
  </si>
  <si>
    <t>R$812.534.495,67</t>
  </si>
  <si>
    <t>R$64.639,37</t>
  </si>
  <si>
    <t>SNAG11</t>
  </si>
  <si>
    <t>R$100,50</t>
  </si>
  <si>
    <t>Suno Agro Fiagro</t>
  </si>
  <si>
    <t>Suno Gestora de Recursos LTDA.</t>
  </si>
  <si>
    <t>R$301.440.000,00</t>
  </si>
  <si>
    <t>R$302.916.557,87</t>
  </si>
  <si>
    <t>R$2.059.836,17</t>
  </si>
  <si>
    <t>Suno Recebíveis</t>
  </si>
  <si>
    <t>R$400.302.000,00</t>
  </si>
  <si>
    <t>R$409.072.527,24</t>
  </si>
  <si>
    <t>R$877.768,33</t>
  </si>
  <si>
    <t>R$85,50</t>
  </si>
  <si>
    <t>Suno Fundo de Fundos</t>
  </si>
  <si>
    <t>R$243.804.500,00</t>
  </si>
  <si>
    <t>R$244.578.976,26</t>
  </si>
  <si>
    <t>R$489.455,80</t>
  </si>
  <si>
    <t>SNLG11</t>
  </si>
  <si>
    <t>R$38,55</t>
  </si>
  <si>
    <t>Suno Log FII</t>
  </si>
  <si>
    <t>R$73.619.904,26</t>
  </si>
  <si>
    <t>R$116.088.485,68</t>
  </si>
  <si>
    <t>R$1.309,61</t>
  </si>
  <si>
    <t>R$2.065,08</t>
  </si>
  <si>
    <t>R$0,35</t>
  </si>
  <si>
    <t>R$11,76</t>
  </si>
  <si>
    <t>56.215,00m²</t>
  </si>
  <si>
    <t>R$66.699,08</t>
  </si>
  <si>
    <t>SOLR11</t>
  </si>
  <si>
    <t>R$1.128,06</t>
  </si>
  <si>
    <t>Solarium</t>
  </si>
  <si>
    <t>TAG INVESTIMENTOS</t>
  </si>
  <si>
    <t>R$70.935.796,98</t>
  </si>
  <si>
    <t>R$57.612.475,10</t>
  </si>
  <si>
    <t>R$8,75</t>
  </si>
  <si>
    <t>SPAF11</t>
  </si>
  <si>
    <t>Spa</t>
  </si>
  <si>
    <t>GENIAL INVESTIMENTOS</t>
  </si>
  <si>
    <t>R$11.203.886,46</t>
  </si>
  <si>
    <t>R$2,41</t>
  </si>
  <si>
    <t>R$38,97</t>
  </si>
  <si>
    <t>SP Downtown</t>
  </si>
  <si>
    <t>R$70.157.960,00</t>
  </si>
  <si>
    <t>R$100.300.542,07</t>
  </si>
  <si>
    <t>R$5.221,25</t>
  </si>
  <si>
    <t>R$7.464,50</t>
  </si>
  <si>
    <t>R$56,20</t>
  </si>
  <si>
    <t>13.437,00m²</t>
  </si>
  <si>
    <t>R$113.150,21</t>
  </si>
  <si>
    <t>SPVJ11</t>
  </si>
  <si>
    <t>Sucesspar Varejo</t>
  </si>
  <si>
    <t>R$733.831.751,00</t>
  </si>
  <si>
    <t>R$4.675,13</t>
  </si>
  <si>
    <t>R$0,68</t>
  </si>
  <si>
    <t>R$27,35</t>
  </si>
  <si>
    <t>156.965,00m²</t>
  </si>
  <si>
    <t>SPXS11</t>
  </si>
  <si>
    <t>R$80,99</t>
  </si>
  <si>
    <t>SPX SYN Multiestratégia</t>
  </si>
  <si>
    <t>SPX SYN GESTAO DE RECURSOS LTDA.</t>
  </si>
  <si>
    <t>R$100.293.876,00</t>
  </si>
  <si>
    <t>R$116.763.290,52</t>
  </si>
  <si>
    <t>R$252.776,74</t>
  </si>
  <si>
    <t>SRVD11</t>
  </si>
  <si>
    <t>R$7,00</t>
  </si>
  <si>
    <t>Serra Verde</t>
  </si>
  <si>
    <t>R CAPITAL ASSET</t>
  </si>
  <si>
    <t>R$674.002.147,00</t>
  </si>
  <si>
    <t>R$71.282.243,86</t>
  </si>
  <si>
    <t>R$8,19</t>
  </si>
  <si>
    <t>R$33,45</t>
  </si>
  <si>
    <t>StarX</t>
  </si>
  <si>
    <t>INTER DTVM</t>
  </si>
  <si>
    <t>R$234.708.292,14</t>
  </si>
  <si>
    <t>R$239.304.872,87</t>
  </si>
  <si>
    <t>R$3.618,41</t>
  </si>
  <si>
    <t>R$3.689,28</t>
  </si>
  <si>
    <t>R$0,88</t>
  </si>
  <si>
    <t>R$21,89</t>
  </si>
  <si>
    <t>64.865,00m²</t>
  </si>
  <si>
    <t>R$10.000,00</t>
  </si>
  <si>
    <t>TCIN11</t>
  </si>
  <si>
    <t>R$129,23</t>
  </si>
  <si>
    <t>G5 Cidade Nova</t>
  </si>
  <si>
    <t>G5</t>
  </si>
  <si>
    <t>R$107.415.588,31</t>
  </si>
  <si>
    <t>R$104.783.844,73</t>
  </si>
  <si>
    <t>R$387,69</t>
  </si>
  <si>
    <t>TCIN12</t>
  </si>
  <si>
    <t>G5 Cidade Nova (Cota Ordinária)</t>
  </si>
  <si>
    <t>TCPF11</t>
  </si>
  <si>
    <t>Treecorp Real Estate I</t>
  </si>
  <si>
    <t>TREECORP PARTNERS</t>
  </si>
  <si>
    <t>R$23.381.795,28</t>
  </si>
  <si>
    <t>R$38.509.524,76</t>
  </si>
  <si>
    <t>R$1,56</t>
  </si>
  <si>
    <t>TELD11</t>
  </si>
  <si>
    <t>Tellus Desenvolvimento Logístico</t>
  </si>
  <si>
    <t>Tellus Investimentos</t>
  </si>
  <si>
    <t>R$47.286.186,22</t>
  </si>
  <si>
    <t>TELF11</t>
  </si>
  <si>
    <t>Tellus Fundo de Fundos</t>
  </si>
  <si>
    <t>Tellus Properties</t>
  </si>
  <si>
    <t>R$278.058.746,62</t>
  </si>
  <si>
    <t>R$403.454.125,82</t>
  </si>
  <si>
    <t>R$7.331,42</t>
  </si>
  <si>
    <t>R$10.637,65</t>
  </si>
  <si>
    <t>R$54,55</t>
  </si>
  <si>
    <t>37.927,00m²</t>
  </si>
  <si>
    <t>R$451.577,65</t>
  </si>
  <si>
    <t>R$114,71</t>
  </si>
  <si>
    <t>TG Ativo Real</t>
  </si>
  <si>
    <t>TG Core Asset</t>
  </si>
  <si>
    <t>R$1.593.488.200,00</t>
  </si>
  <si>
    <t>R$1.821.734.452,51</t>
  </si>
  <si>
    <t>R$6.889,03</t>
  </si>
  <si>
    <t>R$7.875,80</t>
  </si>
  <si>
    <t>R$77,47</t>
  </si>
  <si>
    <t>231.308,00m²</t>
  </si>
  <si>
    <t>R$3.824.791,46</t>
  </si>
  <si>
    <t>TJKB11</t>
  </si>
  <si>
    <t>Tjk Renda Imobiliária</t>
  </si>
  <si>
    <t>R$189.243.500,00</t>
  </si>
  <si>
    <t>R$202.188.180,59</t>
  </si>
  <si>
    <t>R$7.584,30</t>
  </si>
  <si>
    <t>R$8.103,09</t>
  </si>
  <si>
    <t>R$2,53</t>
  </si>
  <si>
    <t>R$76,75</t>
  </si>
  <si>
    <t>24.952,00m²</t>
  </si>
  <si>
    <t>R$5,35</t>
  </si>
  <si>
    <t>Tordesilhas EI</t>
  </si>
  <si>
    <t>R$192.431.938,95</t>
  </si>
  <si>
    <t>R$490.440.876,72</t>
  </si>
  <si>
    <t>R$582.581,92</t>
  </si>
  <si>
    <t>TORM11</t>
  </si>
  <si>
    <t>Tourmalet I</t>
  </si>
  <si>
    <t>R$12,00</t>
  </si>
  <si>
    <t>Tourmalet II</t>
  </si>
  <si>
    <t>R$122,00</t>
  </si>
  <si>
    <t>Torre Norte</t>
  </si>
  <si>
    <t>R$480.138.564,00</t>
  </si>
  <si>
    <t>R$773.950.568,58</t>
  </si>
  <si>
    <t>R$7.675,46</t>
  </si>
  <si>
    <t>R$12.372,32</t>
  </si>
  <si>
    <t>R$0,40</t>
  </si>
  <si>
    <t>R$25,17</t>
  </si>
  <si>
    <t>62.555,00m²</t>
  </si>
  <si>
    <t>R$3.396,41</t>
  </si>
  <si>
    <t>R$130,87</t>
  </si>
  <si>
    <t>TRX Real Estate II</t>
  </si>
  <si>
    <t>TRX</t>
  </si>
  <si>
    <t>R$357.341.974,57</t>
  </si>
  <si>
    <t>R$314.564.299,30</t>
  </si>
  <si>
    <t>R$2.053.026,62</t>
  </si>
  <si>
    <t>TRX Real Estate</t>
  </si>
  <si>
    <t>R$1.247.119.521,13</t>
  </si>
  <si>
    <t>R$1.250.647.871,60</t>
  </si>
  <si>
    <t>R$2.521,86</t>
  </si>
  <si>
    <t>R$2.529,00</t>
  </si>
  <si>
    <t>R$20,61</t>
  </si>
  <si>
    <t>494.523,00m²</t>
  </si>
  <si>
    <t>R$2.728.302,31</t>
  </si>
  <si>
    <t>TSER11</t>
  </si>
  <si>
    <t>R$101,24</t>
  </si>
  <si>
    <t>Tishman Speyer Renda Corporativa</t>
  </si>
  <si>
    <t>TISHMAN SPEYER</t>
  </si>
  <si>
    <t>R$121.994.200,00</t>
  </si>
  <si>
    <t>R$119.509.235,79</t>
  </si>
  <si>
    <t>R$6.217,53</t>
  </si>
  <si>
    <t>R$6.090,88</t>
  </si>
  <si>
    <t>R$1,01</t>
  </si>
  <si>
    <t>R$62,03</t>
  </si>
  <si>
    <t>19.621,00m²</t>
  </si>
  <si>
    <t>R$13.112.452,51</t>
  </si>
  <si>
    <t>URBN11</t>
  </si>
  <si>
    <t>Urbaniza</t>
  </si>
  <si>
    <t>R$26.980.277,84</t>
  </si>
  <si>
    <t>R$98,85</t>
  </si>
  <si>
    <t>Urca Prime Renda</t>
  </si>
  <si>
    <t>URCA GESTÃO</t>
  </si>
  <si>
    <t>R$1.159.235.373,92</t>
  </si>
  <si>
    <t>R$1.156.551.277,20</t>
  </si>
  <si>
    <t>R$2.248.141,78</t>
  </si>
  <si>
    <t>R$88,03</t>
  </si>
  <si>
    <t>Vectis Juros Real</t>
  </si>
  <si>
    <t>Vectis Gestão de Recursos</t>
  </si>
  <si>
    <t>R$1.291.733.888,10</t>
  </si>
  <si>
    <t>R$1.389.190.344,58</t>
  </si>
  <si>
    <t>R$1.063.086,31</t>
  </si>
  <si>
    <t>VCRA11</t>
  </si>
  <si>
    <t>R$106,13</t>
  </si>
  <si>
    <t>Vectis Datagro Crédito Agronegócio Fiagro</t>
  </si>
  <si>
    <t>R$486.955.414,00</t>
  </si>
  <si>
    <t>R$470.457.020,01</t>
  </si>
  <si>
    <t>R$1,50</t>
  </si>
  <si>
    <t>R$270.459,21</t>
  </si>
  <si>
    <t>VCRI11</t>
  </si>
  <si>
    <t>R$8,63</t>
  </si>
  <si>
    <t>Vinci Credit Securities</t>
  </si>
  <si>
    <t>VINCI REAL ESTATE</t>
  </si>
  <si>
    <t>R$153.028.087,17</t>
  </si>
  <si>
    <t>R$168.271.942,79</t>
  </si>
  <si>
    <t>R$317.315,17</t>
  </si>
  <si>
    <t>Vereda</t>
  </si>
  <si>
    <t>VOTORANTIM</t>
  </si>
  <si>
    <t>R$122.750.543,44</t>
  </si>
  <si>
    <t>R$191.065.487,16</t>
  </si>
  <si>
    <t>R$1.599,90</t>
  </si>
  <si>
    <t>R$2.490,30</t>
  </si>
  <si>
    <t>R$2,07</t>
  </si>
  <si>
    <t>R$15,41</t>
  </si>
  <si>
    <t>76.724,00m²</t>
  </si>
  <si>
    <t>R$9,05</t>
  </si>
  <si>
    <t>Valora Hedge Fund</t>
  </si>
  <si>
    <t>VALORA GESTÃO</t>
  </si>
  <si>
    <t>R$660.376.577,82</t>
  </si>
  <si>
    <t>R$664.534.710,90</t>
  </si>
  <si>
    <t>R$1.991.947,09</t>
  </si>
  <si>
    <t>VGIA11</t>
  </si>
  <si>
    <t>R$9,83</t>
  </si>
  <si>
    <t>Valora CRA Fiagro</t>
  </si>
  <si>
    <t>R$715.481.434,36</t>
  </si>
  <si>
    <t>R$697.119.624,26</t>
  </si>
  <si>
    <t>R$3.647.210,45</t>
  </si>
  <si>
    <t>VGIF11</t>
  </si>
  <si>
    <t>Valora Instrumentos Financeiros</t>
  </si>
  <si>
    <t>R$81,50</t>
  </si>
  <si>
    <t>Valora CRI Índice de Preço</t>
  </si>
  <si>
    <t>R$967.497.233,76</t>
  </si>
  <si>
    <t>R$1.064.809.460,78</t>
  </si>
  <si>
    <t>R$1.821.328,46</t>
  </si>
  <si>
    <t>R$9,70</t>
  </si>
  <si>
    <t>Valora CRI CDI</t>
  </si>
  <si>
    <t>R$1.000.208.650,83</t>
  </si>
  <si>
    <t>R$994.290.044,44</t>
  </si>
  <si>
    <t>R$4.040.957,93</t>
  </si>
  <si>
    <t>VIDS11</t>
  </si>
  <si>
    <t>Vic Desenvolvimento - Vintage 20/21</t>
  </si>
  <si>
    <t>JULIUS BAER FAMILY OFFICE LTDA</t>
  </si>
  <si>
    <t>R$70.940.416,95</t>
  </si>
  <si>
    <t>R$6,72</t>
  </si>
  <si>
    <t>Vinci Instrumentos Financeiros</t>
  </si>
  <si>
    <t>R$54.521.140,60</t>
  </si>
  <si>
    <t>R$69.794.791,27</t>
  </si>
  <si>
    <t>R$86.646,39</t>
  </si>
  <si>
    <t>R$87,60</t>
  </si>
  <si>
    <t>Vinci Logística</t>
  </si>
  <si>
    <t>R$1.324.270.066,80</t>
  </si>
  <si>
    <t>R$1.680.476.898,92</t>
  </si>
  <si>
    <t>R$2.179,05</t>
  </si>
  <si>
    <t>R$2.765,18</t>
  </si>
  <si>
    <t>R$0,67</t>
  </si>
  <si>
    <t>R$16,53</t>
  </si>
  <si>
    <t>607.728,00m²</t>
  </si>
  <si>
    <t>R$2.271.334,66</t>
  </si>
  <si>
    <t>R$40,92</t>
  </si>
  <si>
    <t>Vinci Offices</t>
  </si>
  <si>
    <t>R$680.666.492,31</t>
  </si>
  <si>
    <t>R$907.780.630,41</t>
  </si>
  <si>
    <t>R$7.914,73</t>
  </si>
  <si>
    <t>R$10.555,59</t>
  </si>
  <si>
    <t>R$0,31</t>
  </si>
  <si>
    <t>86.000,00m²</t>
  </si>
  <si>
    <t>R$63,50</t>
  </si>
  <si>
    <t>R$1.058.557,65</t>
  </si>
  <si>
    <t>R$103,64</t>
  </si>
  <si>
    <t>Vinci Shopping Centers</t>
  </si>
  <si>
    <t>R$1.933.469.408,00</t>
  </si>
  <si>
    <t>R$2.311.553.641,72</t>
  </si>
  <si>
    <t>R$7.954,18</t>
  </si>
  <si>
    <t>R$9.509,59</t>
  </si>
  <si>
    <t>R$62,72</t>
  </si>
  <si>
    <t>243.076,00m²</t>
  </si>
  <si>
    <t>R$2.638.628,71</t>
  </si>
  <si>
    <t>R$6,69</t>
  </si>
  <si>
    <t>Vinci Imóveis Urbanos</t>
  </si>
  <si>
    <t>R$181.617.522,80</t>
  </si>
  <si>
    <t>R$247.505.992,49</t>
  </si>
  <si>
    <t>R$1.870,42</t>
  </si>
  <si>
    <t>R$2.548,98</t>
  </si>
  <si>
    <t>R$19,98</t>
  </si>
  <si>
    <t>97.100,00m²</t>
  </si>
  <si>
    <t>R$280.597,45</t>
  </si>
  <si>
    <t>VJFD11</t>
  </si>
  <si>
    <t>JFDCAM</t>
  </si>
  <si>
    <t>R$663.648.757,82</t>
  </si>
  <si>
    <t>VLJS11</t>
  </si>
  <si>
    <t>Vector Queluz Lajes Corporativas</t>
  </si>
  <si>
    <t>QUELUZ GESTÃO</t>
  </si>
  <si>
    <t>R$26.770.292,70</t>
  </si>
  <si>
    <t>R$80.256,30</t>
  </si>
  <si>
    <t>333,56m²</t>
  </si>
  <si>
    <t>R$96,22</t>
  </si>
  <si>
    <t>Vila Olímpia Corporate</t>
  </si>
  <si>
    <t>R$170.165.501,52</t>
  </si>
  <si>
    <t>R$198.706.747,67</t>
  </si>
  <si>
    <t>R$16.412,57</t>
  </si>
  <si>
    <t>R$19.165,39</t>
  </si>
  <si>
    <t>R$105,01</t>
  </si>
  <si>
    <t>10.368,00m²</t>
  </si>
  <si>
    <t>R$79.961,11</t>
  </si>
  <si>
    <t>R$85,00</t>
  </si>
  <si>
    <t>Votorantim Securities Master</t>
  </si>
  <si>
    <t>R$70.289.813,70</t>
  </si>
  <si>
    <t>R$77.081.125,01</t>
  </si>
  <si>
    <t>R$5.129,79</t>
  </si>
  <si>
    <t>VPSI11</t>
  </si>
  <si>
    <t>Polo Shopping Indaiatuba</t>
  </si>
  <si>
    <t>R$172.974.133,15</t>
  </si>
  <si>
    <t>R$5.765,80</t>
  </si>
  <si>
    <t>R$70,44</t>
  </si>
  <si>
    <t>30.000,00m²</t>
  </si>
  <si>
    <t>R$87,81</t>
  </si>
  <si>
    <t>Fator Verità</t>
  </si>
  <si>
    <t>FATOR ADMINISTRAÇÃO DE RECURSOS</t>
  </si>
  <si>
    <t>R$1.363.713.403,04</t>
  </si>
  <si>
    <t>R$1.415.905.408,76</t>
  </si>
  <si>
    <t>R$2.106.000,28</t>
  </si>
  <si>
    <t>R$44,00</t>
  </si>
  <si>
    <t>Votorantim Securities</t>
  </si>
  <si>
    <t>R$2.760.340,00</t>
  </si>
  <si>
    <t>R$6.337.679,19</t>
  </si>
  <si>
    <t>R$63,48</t>
  </si>
  <si>
    <t>Votorantim Shopping</t>
  </si>
  <si>
    <t>R$133.483.680,00</t>
  </si>
  <si>
    <t>R$208.675.763,86</t>
  </si>
  <si>
    <t>R$2.911,44</t>
  </si>
  <si>
    <t>R$4.551,47</t>
  </si>
  <si>
    <t>R$29,76</t>
  </si>
  <si>
    <t>45.848,00m²</t>
  </si>
  <si>
    <t>R$39.458,79</t>
  </si>
  <si>
    <t>R$7,74</t>
  </si>
  <si>
    <t>Versalhes Recebíveis Imobiliários</t>
  </si>
  <si>
    <t>R$238.912.728,00</t>
  </si>
  <si>
    <t>R$313.054.506,69</t>
  </si>
  <si>
    <t>R$915.725,76</t>
  </si>
  <si>
    <t>R$87,91</t>
  </si>
  <si>
    <t>Votorantim Logística</t>
  </si>
  <si>
    <t>R$187.537.050,00</t>
  </si>
  <si>
    <t>R$213.026.240,91</t>
  </si>
  <si>
    <t>R$2.799,06</t>
  </si>
  <si>
    <t>R$3.179,50</t>
  </si>
  <si>
    <t>R$27,78</t>
  </si>
  <si>
    <t>67.000,00m²</t>
  </si>
  <si>
    <t>R$189.976,51</t>
  </si>
  <si>
    <t>VTPA11</t>
  </si>
  <si>
    <t>Votorantim Patrimonial V</t>
  </si>
  <si>
    <t>R$65.626.755,76</t>
  </si>
  <si>
    <t>R$7.809,92</t>
  </si>
  <si>
    <t>8.403,00m²</t>
  </si>
  <si>
    <t>VTPL11</t>
  </si>
  <si>
    <t>FII Plus</t>
  </si>
  <si>
    <t>R$106.765.790,39</t>
  </si>
  <si>
    <t>VTVI11</t>
  </si>
  <si>
    <t>Parking Partners</t>
  </si>
  <si>
    <t>R$64.045.720,30</t>
  </si>
  <si>
    <t>R$2.019,67</t>
  </si>
  <si>
    <t>31.711,00m²</t>
  </si>
  <si>
    <t>VTXI11</t>
  </si>
  <si>
    <t>Votorantim Patrimonial XII</t>
  </si>
  <si>
    <t>R$1.217.611,13</t>
  </si>
  <si>
    <t>VVCO11</t>
  </si>
  <si>
    <t>R$8,65</t>
  </si>
  <si>
    <t>V2 Edifícios Corporativos</t>
  </si>
  <si>
    <t>V2 INVESTIMENTOS</t>
  </si>
  <si>
    <t>R$43.375.909,40</t>
  </si>
  <si>
    <t>R$68.886.074,23</t>
  </si>
  <si>
    <t>R$5.811,57</t>
  </si>
  <si>
    <t>R$9.229,47</t>
  </si>
  <si>
    <t>7.463,71m²</t>
  </si>
  <si>
    <t>R$23.620,96</t>
  </si>
  <si>
    <t>R$973,00</t>
  </si>
  <si>
    <t>Genesis Multiestratégia</t>
  </si>
  <si>
    <t>R$258.119.386,00</t>
  </si>
  <si>
    <t>R$249.711.450,21</t>
  </si>
  <si>
    <t>R$2.508.251,00</t>
  </si>
  <si>
    <t>WHGR11</t>
  </si>
  <si>
    <t>R$8,57</t>
  </si>
  <si>
    <t>WHG Real Estate</t>
  </si>
  <si>
    <t>WHG</t>
  </si>
  <si>
    <t>R$215.017.280,67</t>
  </si>
  <si>
    <t>R$249.780.753,10</t>
  </si>
  <si>
    <t>R$487.178,70</t>
  </si>
  <si>
    <t>R$70,10</t>
  </si>
  <si>
    <t>West Plaza</t>
  </si>
  <si>
    <t>R$71.544.157,23</t>
  </si>
  <si>
    <t>R$89.651.439,97</t>
  </si>
  <si>
    <t>R$6.483,97</t>
  </si>
  <si>
    <t>R$8.125,02</t>
  </si>
  <si>
    <t>R$41,63</t>
  </si>
  <si>
    <t>11.034,00m²</t>
  </si>
  <si>
    <t>R$6.072,36</t>
  </si>
  <si>
    <t>WSEC11</t>
  </si>
  <si>
    <t>R$93,46</t>
  </si>
  <si>
    <t>Warren Securities</t>
  </si>
  <si>
    <t>WARREN</t>
  </si>
  <si>
    <t>R$22.985.564,07</t>
  </si>
  <si>
    <t>R$25.011.914,64</t>
  </si>
  <si>
    <t>R$16.707,68</t>
  </si>
  <si>
    <t>R$30,06</t>
  </si>
  <si>
    <t>Ourinvest RE I</t>
  </si>
  <si>
    <t>R$29.836.503,90</t>
  </si>
  <si>
    <t>R$71.930.941,49</t>
  </si>
  <si>
    <t>R$2.429,09</t>
  </si>
  <si>
    <t>R$5.856,14</t>
  </si>
  <si>
    <t>R$0,20</t>
  </si>
  <si>
    <t>R$16,16</t>
  </si>
  <si>
    <t>12.283,00m²</t>
  </si>
  <si>
    <t>R$75,00</t>
  </si>
  <si>
    <t>R$84.342,16</t>
  </si>
  <si>
    <t>XBXO11</t>
  </si>
  <si>
    <t>R Cap 1810 Fundo de Fundos</t>
  </si>
  <si>
    <t>R$291.693.087,24</t>
  </si>
  <si>
    <t>XPCA11</t>
  </si>
  <si>
    <t>R$9,89</t>
  </si>
  <si>
    <t>XP Crédito Agrícola Fiagro</t>
  </si>
  <si>
    <t>R$310.449.572,50</t>
  </si>
  <si>
    <t>R$298.095.351,30</t>
  </si>
  <si>
    <t>R$1.519.166,93</t>
  </si>
  <si>
    <t>R$78,86</t>
  </si>
  <si>
    <t>XP Crédito</t>
  </si>
  <si>
    <t>R$685.682.297,60</t>
  </si>
  <si>
    <t>R$789.309.106,50</t>
  </si>
  <si>
    <t>R$2.335.808,64</t>
  </si>
  <si>
    <t>R$14,79</t>
  </si>
  <si>
    <t>XP Corporate Macaé</t>
  </si>
  <si>
    <t>XP GESTÃO</t>
  </si>
  <si>
    <t>R$36.315.132,80</t>
  </si>
  <si>
    <t>R$105.773.099,94</t>
  </si>
  <si>
    <t>R$1.846,78</t>
  </si>
  <si>
    <t>R$5.379,02</t>
  </si>
  <si>
    <t>R$14,73</t>
  </si>
  <si>
    <t>19.664,00m²</t>
  </si>
  <si>
    <t>R$74.223,38</t>
  </si>
  <si>
    <t>XPEX11</t>
  </si>
  <si>
    <t>XP Exeter Desenvolvimento Logístico</t>
  </si>
  <si>
    <t>R$101.295.716,27</t>
  </si>
  <si>
    <t>XP Hotéis (Cota Sênior)</t>
  </si>
  <si>
    <t>R$399.487.410,00</t>
  </si>
  <si>
    <t>R$358.896.011,03</t>
  </si>
  <si>
    <t>R$12.059,63</t>
  </si>
  <si>
    <t>R$10.834,27</t>
  </si>
  <si>
    <t>R$143,57</t>
  </si>
  <si>
    <t>33.126,00m²</t>
  </si>
  <si>
    <t>R$13.497,57</t>
  </si>
  <si>
    <t>R$29,00</t>
  </si>
  <si>
    <t>XP Hotéis (Cota Ordinária)</t>
  </si>
  <si>
    <t>R$265,50</t>
  </si>
  <si>
    <t>33.126,19m²</t>
  </si>
  <si>
    <t>R$21.613,97</t>
  </si>
  <si>
    <t>R$70,67</t>
  </si>
  <si>
    <t>XP Industrial</t>
  </si>
  <si>
    <t>R$507.679.962,00</t>
  </si>
  <si>
    <t>R$740.047.972,60</t>
  </si>
  <si>
    <t>R$1.713,20</t>
  </si>
  <si>
    <t>R$2.497,34</t>
  </si>
  <si>
    <t>R$15,68</t>
  </si>
  <si>
    <t>296.335,00m²</t>
  </si>
  <si>
    <t>R$479.542,34</t>
  </si>
  <si>
    <t>R$91,63</t>
  </si>
  <si>
    <t>XP Log</t>
  </si>
  <si>
    <t>R$2.526.631.917,03</t>
  </si>
  <si>
    <t>R$3.098.182.791,95</t>
  </si>
  <si>
    <t>R$2.646,31</t>
  </si>
  <si>
    <t>R$3.244,94</t>
  </si>
  <si>
    <t>R$21,00</t>
  </si>
  <si>
    <t>954.774,00m²</t>
  </si>
  <si>
    <t>R$4.691.271,61</t>
  </si>
  <si>
    <t>R$97,31</t>
  </si>
  <si>
    <t>XP Malls</t>
  </si>
  <si>
    <t>XP VISTA</t>
  </si>
  <si>
    <t>R$2.085.371.446,16</t>
  </si>
  <si>
    <t>R$2.151.430.403,56</t>
  </si>
  <si>
    <t>R$13.818,37</t>
  </si>
  <si>
    <t>R$14.256,10</t>
  </si>
  <si>
    <t>R$108,75</t>
  </si>
  <si>
    <t>150.913,00m²</t>
  </si>
  <si>
    <t>R$4.220.057,77</t>
  </si>
  <si>
    <t>R$31,27</t>
  </si>
  <si>
    <t>XP Properties</t>
  </si>
  <si>
    <t>R$229.508.284,27</t>
  </si>
  <si>
    <t>R$545.397.975,50</t>
  </si>
  <si>
    <t>R$3.032,57</t>
  </si>
  <si>
    <t>R$7.206,54</t>
  </si>
  <si>
    <t>R$0,30</t>
  </si>
  <si>
    <t>75.681,00m²</t>
  </si>
  <si>
    <t>R$420.585,05</t>
  </si>
  <si>
    <t>R$7,19</t>
  </si>
  <si>
    <t>XP Selection</t>
  </si>
  <si>
    <t>R$311.775.408,00</t>
  </si>
  <si>
    <t>R$352.455.905,77</t>
  </si>
  <si>
    <t>R$483.523,63</t>
  </si>
  <si>
    <t>ZIFI11</t>
  </si>
  <si>
    <t>R$1.135,97</t>
  </si>
  <si>
    <t>Zion Capital</t>
  </si>
  <si>
    <t>R$53.942.960,00</t>
  </si>
  <si>
    <t>R$56.130.632,83</t>
  </si>
  <si>
    <t>R$25.494,98</t>
  </si>
  <si>
    <t>s</t>
  </si>
  <si>
    <t>Maior que:</t>
  </si>
  <si>
    <t>É Boa empresa</t>
  </si>
  <si>
    <t>Está Barato?</t>
  </si>
  <si>
    <t>Papel</t>
  </si>
  <si>
    <t>Liquidez</t>
  </si>
  <si>
    <t>ROIC</t>
  </si>
  <si>
    <t>Rank</t>
  </si>
  <si>
    <t>Ebit/EV</t>
  </si>
  <si>
    <t>Soma</t>
  </si>
  <si>
    <t>Ranking</t>
  </si>
  <si>
    <t>ROE</t>
  </si>
  <si>
    <t>L/P</t>
  </si>
  <si>
    <t>PETR4</t>
  </si>
  <si>
    <t>VALE3</t>
  </si>
  <si>
    <t>ITUB4</t>
  </si>
  <si>
    <t>PETR3</t>
  </si>
  <si>
    <t>BBDC4</t>
  </si>
  <si>
    <t>B3SA3</t>
  </si>
  <si>
    <t>BBAS3</t>
  </si>
  <si>
    <t>MGLU3</t>
  </si>
  <si>
    <t>VVAR3</t>
  </si>
  <si>
    <t>IRBR3</t>
  </si>
  <si>
    <t>ABEV3</t>
  </si>
  <si>
    <t>JBSS3</t>
  </si>
  <si>
    <t>LREN3</t>
  </si>
  <si>
    <t>ITSA4</t>
  </si>
  <si>
    <t>RENT3</t>
  </si>
  <si>
    <t>WEGE3</t>
  </si>
  <si>
    <t>NTCO3</t>
  </si>
  <si>
    <t>SUZB3</t>
  </si>
  <si>
    <t>GNDI3</t>
  </si>
  <si>
    <t>RAIL3</t>
  </si>
  <si>
    <t>GGBR4</t>
  </si>
  <si>
    <t>COGN3</t>
  </si>
  <si>
    <t>RADL3</t>
  </si>
  <si>
    <t>AZUL4</t>
  </si>
  <si>
    <t>SULA11</t>
  </si>
  <si>
    <t>BPAC11</t>
  </si>
  <si>
    <t>BTOW3</t>
  </si>
  <si>
    <t>EQTL3</t>
  </si>
  <si>
    <t>BRFS3</t>
  </si>
  <si>
    <t>LAME4</t>
  </si>
  <si>
    <t>BRML3</t>
  </si>
  <si>
    <t>UGPA3</t>
  </si>
  <si>
    <t>BBSE3</t>
  </si>
  <si>
    <t>SBSP3</t>
  </si>
  <si>
    <t>BRDT3</t>
  </si>
  <si>
    <t>MRFG3</t>
  </si>
  <si>
    <t>ELET3</t>
  </si>
  <si>
    <t>HAPV3</t>
  </si>
  <si>
    <t>QUAL3</t>
  </si>
  <si>
    <t>TOTS3</t>
  </si>
  <si>
    <t>YDUQ3</t>
  </si>
  <si>
    <t>GOLL4</t>
  </si>
  <si>
    <t>VIVT4</t>
  </si>
  <si>
    <t>HYPE3</t>
  </si>
  <si>
    <t>CSAN3</t>
  </si>
  <si>
    <t>MULT3</t>
  </si>
  <si>
    <t>CYRE3</t>
  </si>
  <si>
    <t>CMIG4</t>
  </si>
  <si>
    <t>TIMP3</t>
  </si>
  <si>
    <t>CSNA3</t>
  </si>
  <si>
    <t>OIBR3</t>
  </si>
  <si>
    <t>CCRO3</t>
  </si>
  <si>
    <t>KLBN11</t>
  </si>
  <si>
    <t>USIM5</t>
  </si>
  <si>
    <t>PRIO3</t>
  </si>
  <si>
    <t>PCAR4</t>
  </si>
  <si>
    <t>CVCB3</t>
  </si>
  <si>
    <t>BBDC3</t>
  </si>
  <si>
    <t>EZTC3</t>
  </si>
  <si>
    <t>ELET6</t>
  </si>
  <si>
    <t>GOAU4</t>
  </si>
  <si>
    <t>MRVE3</t>
  </si>
  <si>
    <t>CIEL3</t>
  </si>
  <si>
    <t>CPFE3</t>
  </si>
  <si>
    <t>EGIE3</t>
  </si>
  <si>
    <t>BRKM5</t>
  </si>
  <si>
    <t>SANB11</t>
  </si>
  <si>
    <t>CRFB3</t>
  </si>
  <si>
    <t>PCAR3</t>
  </si>
  <si>
    <t>CESP6</t>
  </si>
  <si>
    <t>TAEE11</t>
  </si>
  <si>
    <t>LCAM3</t>
  </si>
  <si>
    <t>CNTO3</t>
  </si>
  <si>
    <t>ENEV3</t>
  </si>
  <si>
    <t>BEEF3</t>
  </si>
  <si>
    <t>ENGI11</t>
  </si>
  <si>
    <t>FLRY3</t>
  </si>
  <si>
    <t>NEOE3</t>
  </si>
  <si>
    <t>EMBR3</t>
  </si>
  <si>
    <t>BRAP4</t>
  </si>
  <si>
    <t>CPLE6</t>
  </si>
  <si>
    <t>ENBR3</t>
  </si>
  <si>
    <t>IGTA3</t>
  </si>
  <si>
    <t>SAPR11</t>
  </si>
  <si>
    <t>ALPA4</t>
  </si>
  <si>
    <t>ALSO3</t>
  </si>
  <si>
    <t>LIGT3</t>
  </si>
  <si>
    <t>DTEX3</t>
  </si>
  <si>
    <t>HGTX3</t>
  </si>
  <si>
    <t>MDIA3</t>
  </si>
  <si>
    <t>ECOR3</t>
  </si>
  <si>
    <t>VIVA3</t>
  </si>
  <si>
    <t>TRPL4</t>
  </si>
  <si>
    <t>TEND3</t>
  </si>
  <si>
    <t>PSSA3</t>
  </si>
  <si>
    <t>MOVI3</t>
  </si>
  <si>
    <t>TCSA3</t>
  </si>
  <si>
    <t>JHSF3</t>
  </si>
  <si>
    <t>LINX3</t>
  </si>
  <si>
    <t>ITUB3</t>
  </si>
  <si>
    <t>TIET11</t>
  </si>
  <si>
    <t>BPAN4</t>
  </si>
  <si>
    <t>RAPT4</t>
  </si>
  <si>
    <t>CSMG3</t>
  </si>
  <si>
    <t>SMTO3</t>
  </si>
  <si>
    <t>MYPK3</t>
  </si>
  <si>
    <t>AMAR3</t>
  </si>
  <si>
    <t>BRSR6</t>
  </si>
  <si>
    <t>SMLS3</t>
  </si>
  <si>
    <t>LWSA3</t>
  </si>
  <si>
    <t>POMO4</t>
  </si>
  <si>
    <t>ARZZ3</t>
  </si>
  <si>
    <t>JSLG3</t>
  </si>
  <si>
    <t>GFSA3</t>
  </si>
  <si>
    <t>LAME3</t>
  </si>
  <si>
    <t>BIDI11</t>
  </si>
  <si>
    <t>BRPR3</t>
  </si>
  <si>
    <t>EVEN3</t>
  </si>
  <si>
    <t>ODPV3</t>
  </si>
  <si>
    <t>HBOR3</t>
  </si>
  <si>
    <t>ANIM3</t>
  </si>
  <si>
    <t>LOGN3</t>
  </si>
  <si>
    <t>TRIS3</t>
  </si>
  <si>
    <t>MTRE3</t>
  </si>
  <si>
    <t>GUAR3</t>
  </si>
  <si>
    <t>SLCE3</t>
  </si>
  <si>
    <t>CMIG3</t>
  </si>
  <si>
    <t>BIDI4</t>
  </si>
  <si>
    <t>CEAB3</t>
  </si>
  <si>
    <t>BKBR3</t>
  </si>
  <si>
    <t>SEER3</t>
  </si>
  <si>
    <t>STBP3</t>
  </si>
  <si>
    <t>SQIA3</t>
  </si>
  <si>
    <t>ALUP11</t>
  </si>
  <si>
    <t>POSI3</t>
  </si>
  <si>
    <t>OMGE3</t>
  </si>
  <si>
    <t>ENAT3</t>
  </si>
  <si>
    <t>BMGB4</t>
  </si>
  <si>
    <t>DIRR3</t>
  </si>
  <si>
    <t>GRND3</t>
  </si>
  <si>
    <t>RLOG3</t>
  </si>
  <si>
    <t>TUPY3</t>
  </si>
  <si>
    <t>ABCB4</t>
  </si>
  <si>
    <t>SAPR4</t>
  </si>
  <si>
    <t>CAML3</t>
  </si>
  <si>
    <t>CPLE3</t>
  </si>
  <si>
    <t>LOGG3</t>
  </si>
  <si>
    <t>MEAL3</t>
  </si>
  <si>
    <t>WIZS3</t>
  </si>
  <si>
    <t>PARD3</t>
  </si>
  <si>
    <t>TGMA3</t>
  </si>
  <si>
    <t>MILS3</t>
  </si>
  <si>
    <t>VLID3</t>
  </si>
  <si>
    <t>LEVE3</t>
  </si>
  <si>
    <t>DMMO3</t>
  </si>
  <si>
    <t>JPSA3</t>
  </si>
  <si>
    <t>CCPR3</t>
  </si>
  <si>
    <t>UNIP6</t>
  </si>
  <si>
    <t>PRNR3</t>
  </si>
  <si>
    <t>AALR3</t>
  </si>
  <si>
    <t>KLBN4</t>
  </si>
  <si>
    <t>LPSB3</t>
  </si>
  <si>
    <t>PTBL3</t>
  </si>
  <si>
    <t>SHUL4</t>
  </si>
  <si>
    <t>FESA4</t>
  </si>
  <si>
    <t>VULC3</t>
  </si>
  <si>
    <t>VIVT3</t>
  </si>
  <si>
    <t>BIDI3</t>
  </si>
  <si>
    <t>KEPL3</t>
  </si>
  <si>
    <t>CARD3</t>
  </si>
  <si>
    <t>TASA4</t>
  </si>
  <si>
    <t>ITSA3</t>
  </si>
  <si>
    <t>PMAM3</t>
  </si>
  <si>
    <t>ROMI3</t>
  </si>
  <si>
    <t>OIBR4</t>
  </si>
  <si>
    <t>PFRM3</t>
  </si>
  <si>
    <t>RCSL4</t>
  </si>
  <si>
    <t>WSON33</t>
  </si>
  <si>
    <t>ETER3</t>
  </si>
  <si>
    <t>TIET4</t>
  </si>
  <si>
    <t>COCE5</t>
  </si>
  <si>
    <t>GPIV33</t>
  </si>
  <si>
    <t>AGRO3</t>
  </si>
  <si>
    <t>RSID3</t>
  </si>
  <si>
    <t>TESA3</t>
  </si>
  <si>
    <t>GBIO33</t>
  </si>
  <si>
    <t>LLIS3</t>
  </si>
  <si>
    <t>PNVL3</t>
  </si>
  <si>
    <t>KLBN3</t>
  </si>
  <si>
    <t>UCAS3</t>
  </si>
  <si>
    <t>CESP3</t>
  </si>
  <si>
    <t>VIVR3</t>
  </si>
  <si>
    <t>APER3</t>
  </si>
  <si>
    <t>JFEN3</t>
  </si>
  <si>
    <t>SHOW3</t>
  </si>
  <si>
    <t>SGPS3</t>
  </si>
  <si>
    <t>BRAP3</t>
  </si>
  <si>
    <t>FRAS3</t>
  </si>
  <si>
    <t>SANB4</t>
  </si>
  <si>
    <t>GGBR3</t>
  </si>
  <si>
    <t>CGAS5</t>
  </si>
  <si>
    <t>BSEV3</t>
  </si>
  <si>
    <t>SAPR3</t>
  </si>
  <si>
    <t>TIET3</t>
  </si>
  <si>
    <t>CLSC4</t>
  </si>
  <si>
    <t>BBRK3</t>
  </si>
  <si>
    <t>USIM3</t>
  </si>
  <si>
    <t>RANI3</t>
  </si>
  <si>
    <t>LUPA3</t>
  </si>
  <si>
    <t>PINE4</t>
  </si>
  <si>
    <t>GOAU3</t>
  </si>
  <si>
    <t>FHER3</t>
  </si>
  <si>
    <t>OFSA3</t>
  </si>
  <si>
    <t>POMO3</t>
  </si>
  <si>
    <t>TAEE4</t>
  </si>
  <si>
    <t>SANB3</t>
  </si>
  <si>
    <t>RDNI3</t>
  </si>
  <si>
    <t>TECN3</t>
  </si>
  <si>
    <t>CTNM4</t>
  </si>
  <si>
    <t>SCAR3</t>
  </si>
  <si>
    <t>BRKM3</t>
  </si>
  <si>
    <t>PPLA11</t>
  </si>
  <si>
    <t>PDGR3</t>
  </si>
  <si>
    <t>TASA3</t>
  </si>
  <si>
    <t>ALUP3</t>
  </si>
  <si>
    <t>EUCA4</t>
  </si>
  <si>
    <t>BIOM3</t>
  </si>
  <si>
    <t>UNIP3</t>
  </si>
  <si>
    <t>CGRA4</t>
  </si>
  <si>
    <t>TAEE3</t>
  </si>
  <si>
    <t>IDNT3</t>
  </si>
  <si>
    <t>PNVL4</t>
  </si>
  <si>
    <t>RANI4</t>
  </si>
  <si>
    <t>CRPG5</t>
  </si>
  <si>
    <t>PTNT4</t>
  </si>
  <si>
    <t>BEES3</t>
  </si>
  <si>
    <t>EMAE4</t>
  </si>
  <si>
    <t>BMEB4</t>
  </si>
  <si>
    <t>BOBR4</t>
  </si>
  <si>
    <t>EUCA3</t>
  </si>
  <si>
    <t>WHRL4</t>
  </si>
  <si>
    <t>EQPA3</t>
  </si>
  <si>
    <t>RCSL3</t>
  </si>
  <si>
    <t>TELB4</t>
  </si>
  <si>
    <t>MGEL4</t>
  </si>
  <si>
    <t>EALT4</t>
  </si>
  <si>
    <t>FRTA3</t>
  </si>
  <si>
    <t>GSHP3</t>
  </si>
  <si>
    <t>TRPL3</t>
  </si>
  <si>
    <t>CEBR3</t>
  </si>
  <si>
    <t>AZEV4</t>
  </si>
  <si>
    <t>MERC4</t>
  </si>
  <si>
    <t>ADHM3</t>
  </si>
  <si>
    <t>MTSA4</t>
  </si>
  <si>
    <t>SLED4</t>
  </si>
  <si>
    <t>RAPT3</t>
  </si>
  <si>
    <t>ALUP4</t>
  </si>
  <si>
    <t>BNBR3</t>
  </si>
  <si>
    <t>CEBR6</t>
  </si>
  <si>
    <t>BAUH4</t>
  </si>
  <si>
    <t>TCNO4</t>
  </si>
  <si>
    <t>ALPA3</t>
  </si>
  <si>
    <t>GEPA4</t>
  </si>
  <si>
    <t>IDVL3</t>
  </si>
  <si>
    <t>INEP4</t>
  </si>
  <si>
    <t>BAZA3</t>
  </si>
  <si>
    <t>EEEL3</t>
  </si>
  <si>
    <t>ATOM3</t>
  </si>
  <si>
    <t>BAHI3</t>
  </si>
  <si>
    <t>RPMG3</t>
  </si>
  <si>
    <t>UNIP5</t>
  </si>
  <si>
    <t>ENGI3</t>
  </si>
  <si>
    <t>PATI3</t>
  </si>
  <si>
    <t>ENGI4</t>
  </si>
  <si>
    <t>IGBR3</t>
  </si>
  <si>
    <t>FRIO3</t>
  </si>
  <si>
    <t>OSXB3</t>
  </si>
  <si>
    <t>MOAR3</t>
  </si>
  <si>
    <t>BRSR3</t>
  </si>
  <si>
    <t>HAGA4</t>
  </si>
  <si>
    <t>JBDU4</t>
  </si>
  <si>
    <t>CGRA3</t>
  </si>
  <si>
    <t>TCNO3</t>
  </si>
  <si>
    <t>REDE3</t>
  </si>
  <si>
    <t>SLED3</t>
  </si>
  <si>
    <t>BMIN3</t>
  </si>
  <si>
    <t>IDVL4</t>
  </si>
  <si>
    <t>EEEL4</t>
  </si>
  <si>
    <t>INEP3</t>
  </si>
  <si>
    <t>BMEB3</t>
  </si>
  <si>
    <t>SULA4</t>
  </si>
  <si>
    <t>BGIP4</t>
  </si>
  <si>
    <t>CESP5</t>
  </si>
  <si>
    <t>BEES4</t>
  </si>
  <si>
    <t>SNSY5</t>
  </si>
  <si>
    <t>TXRX4</t>
  </si>
  <si>
    <t>CRDE3</t>
  </si>
  <si>
    <t>RNEW11</t>
  </si>
  <si>
    <t>LIPR3</t>
  </si>
  <si>
    <t>SULA3</t>
  </si>
  <si>
    <t>EKTR4</t>
  </si>
  <si>
    <t>CGAS3</t>
  </si>
  <si>
    <t>DASA3</t>
  </si>
  <si>
    <t>WLMM4</t>
  </si>
  <si>
    <t>CBEE3</t>
  </si>
  <si>
    <t>BDLL4</t>
  </si>
  <si>
    <t>TEKA4</t>
  </si>
  <si>
    <t>PEAB4</t>
  </si>
  <si>
    <t>MMXM3</t>
  </si>
  <si>
    <t>BALM3</t>
  </si>
  <si>
    <t>BPAC3</t>
  </si>
  <si>
    <t>CLSC3</t>
  </si>
  <si>
    <t>ESTR4</t>
  </si>
  <si>
    <t>AFLT3</t>
  </si>
  <si>
    <t>MNDL3</t>
  </si>
  <si>
    <t>BALM4</t>
  </si>
  <si>
    <t>CRPG6</t>
  </si>
  <si>
    <t>BRGE5</t>
  </si>
  <si>
    <t>CRIV4</t>
  </si>
  <si>
    <t>BPAC5</t>
  </si>
  <si>
    <t>RNEW4</t>
  </si>
  <si>
    <t>PLAS3</t>
  </si>
  <si>
    <t>TELB3</t>
  </si>
  <si>
    <t>NAFG4</t>
  </si>
  <si>
    <t>SOND6</t>
  </si>
  <si>
    <t>CALI4</t>
  </si>
  <si>
    <t>CTKA4</t>
  </si>
  <si>
    <t>RSUL4</t>
  </si>
  <si>
    <t>CTSA3</t>
  </si>
  <si>
    <t>BMIN4</t>
  </si>
  <si>
    <t>MTSA3</t>
  </si>
  <si>
    <t>MSPA3</t>
  </si>
  <si>
    <t>ENMT3</t>
  </si>
  <si>
    <t>ELEK4</t>
  </si>
  <si>
    <t>AHEB3</t>
  </si>
  <si>
    <t>RNEW3</t>
  </si>
  <si>
    <t>CEBR5</t>
  </si>
  <si>
    <t>WHRL3</t>
  </si>
  <si>
    <t>AZEV3</t>
  </si>
  <si>
    <t>BTTL3</t>
  </si>
  <si>
    <t>HOOT4</t>
  </si>
  <si>
    <t>BRIV4</t>
  </si>
  <si>
    <t>MWET4</t>
  </si>
  <si>
    <t>EQPA5</t>
  </si>
  <si>
    <t>EQPA7</t>
  </si>
  <si>
    <t>MAPT4</t>
  </si>
  <si>
    <t>GEPA3</t>
  </si>
  <si>
    <t>PEAB3</t>
  </si>
  <si>
    <t>CTKA3</t>
  </si>
  <si>
    <t>BRSR5</t>
  </si>
  <si>
    <t>CRIV3</t>
  </si>
  <si>
    <t>CEPE5</t>
  </si>
  <si>
    <t>HBTS5</t>
  </si>
  <si>
    <t>SOND5</t>
  </si>
  <si>
    <t>BRIV3</t>
  </si>
  <si>
    <t>ENMT4</t>
  </si>
  <si>
    <t>BMKS3</t>
  </si>
  <si>
    <t>CEEB5</t>
  </si>
  <si>
    <t>HETA4</t>
  </si>
  <si>
    <t>JOPA3</t>
  </si>
  <si>
    <t>ECPR4</t>
  </si>
  <si>
    <t>MNPR3</t>
  </si>
  <si>
    <t>JBDU3</t>
  </si>
  <si>
    <t>DOHL4</t>
  </si>
  <si>
    <t>CEPE6</t>
  </si>
  <si>
    <t>CEED4</t>
  </si>
  <si>
    <t>CEDO3</t>
  </si>
  <si>
    <t>CORR4</t>
  </si>
  <si>
    <t>SPRI3</t>
  </si>
  <si>
    <t>BRGE12</t>
  </si>
  <si>
    <t>MTIG4</t>
  </si>
  <si>
    <t>CTNM3</t>
  </si>
  <si>
    <t>EQPA6</t>
  </si>
  <si>
    <t>CSAB3</t>
  </si>
  <si>
    <t>COCE3</t>
  </si>
  <si>
    <t>BRKM6</t>
  </si>
  <si>
    <t>LUXM4</t>
  </si>
  <si>
    <t>RPAD3</t>
  </si>
  <si>
    <t>CEDO4</t>
  </si>
  <si>
    <t>CEED3</t>
  </si>
  <si>
    <t>CSRN3</t>
  </si>
  <si>
    <t>NAFG3</t>
  </si>
  <si>
    <t>BRGE3</t>
  </si>
  <si>
    <t>NORD3</t>
  </si>
  <si>
    <t>CEEB3</t>
  </si>
  <si>
    <t>ELEK3</t>
  </si>
  <si>
    <t>ECPR3</t>
  </si>
  <si>
    <t>FESA3</t>
  </si>
  <si>
    <t>PATI4</t>
  </si>
  <si>
    <t>USIM6</t>
  </si>
  <si>
    <t>CEGR3</t>
  </si>
  <si>
    <t>GPAR3</t>
  </si>
  <si>
    <t>ELET5</t>
  </si>
  <si>
    <t>AHEB5</t>
  </si>
  <si>
    <t>EALT3</t>
  </si>
  <si>
    <t>MWET3</t>
  </si>
  <si>
    <t>CSAB4</t>
  </si>
  <si>
    <t>BGIP3</t>
  </si>
  <si>
    <t>RPAD5</t>
  </si>
  <si>
    <t>BSLI3</t>
  </si>
  <si>
    <t>CPRE3</t>
  </si>
  <si>
    <t>WLMM3</t>
  </si>
  <si>
    <t>CTSA4</t>
  </si>
  <si>
    <t>EKTR3</t>
  </si>
  <si>
    <t>BSLI4</t>
  </si>
  <si>
    <t>CRPG3</t>
  </si>
  <si>
    <t>TKNO4</t>
  </si>
  <si>
    <t>RPAD6</t>
  </si>
  <si>
    <t>TEKA3</t>
  </si>
  <si>
    <t>CSRN6</t>
  </si>
  <si>
    <t>DTCY3</t>
  </si>
  <si>
    <t>BRGE11</t>
  </si>
  <si>
    <t>JOPA4</t>
  </si>
  <si>
    <t>BDLL3</t>
  </si>
  <si>
    <t>BRGE6</t>
  </si>
  <si>
    <t>CSRN5</t>
  </si>
  <si>
    <t>MRSA3B</t>
  </si>
  <si>
    <t>TXRX3</t>
  </si>
  <si>
    <t>SPRI5</t>
  </si>
  <si>
    <t>HAGA3</t>
  </si>
  <si>
    <t>PTNT3</t>
  </si>
  <si>
    <t>SPRI6</t>
  </si>
  <si>
    <t>CASN4</t>
  </si>
  <si>
    <t>DOHL3</t>
  </si>
  <si>
    <t>BRGE8</t>
  </si>
  <si>
    <t>SOND3</t>
  </si>
  <si>
    <t>MRSA5B</t>
  </si>
  <si>
    <t>BRGE7</t>
  </si>
  <si>
    <t>MRSA6B</t>
  </si>
  <si>
    <t>EMAE3</t>
  </si>
  <si>
    <t>BPAR3</t>
  </si>
  <si>
    <t>MERC3</t>
  </si>
  <si>
    <t>MSPA4</t>
  </si>
  <si>
    <t>CALI3</t>
  </si>
  <si>
    <t>MAPT3</t>
  </si>
  <si>
    <t>ESTR3</t>
  </si>
  <si>
    <t>CASN3</t>
  </si>
  <si>
    <t>HETA3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</si>
</sst>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R$ -416]#,##0.00"/>
    <numFmt numFmtId="165" formatCode="dd/MM/yyyy"/>
    <numFmt numFmtId="166" formatCode="dd/mm/yyyy hh:mm:ss"/>
    <numFmt numFmtId="167" formatCode="d/m/yyyy hh:mm:ss"/>
    <numFmt numFmtId="168" formatCode="dd/mm/yyyy"/>
    <numFmt numFmtId="169" formatCode="d/m/yyyy"/>
  </numFmts>
  <fonts count="31">
    <font>
      <sz val="10.0"/>
      <color rgb="FF000000"/>
      <name val="Arial"/>
      <scheme val="minor"/>
    </font>
    <font>
      <b/>
      <color theme="1"/>
      <name val="Arial"/>
    </font>
    <font>
      <color rgb="FFFFFFFF"/>
      <name val="Arial"/>
    </font>
    <font>
      <color theme="1"/>
      <name val="Arial"/>
    </font>
    <font>
      <b/>
      <color rgb="FFFFFFFF"/>
      <name val="Arial"/>
    </font>
    <font>
      <b/>
      <color theme="1"/>
      <name val="Arial"/>
      <scheme val="minor"/>
    </font>
    <font>
      <sz val="9.0"/>
      <color theme="1"/>
      <name val="Arial"/>
      <scheme val="minor"/>
    </font>
    <font>
      <color theme="1"/>
      <name val="Arial"/>
      <scheme val="minor"/>
    </font>
    <font>
      <b/>
      <sz val="9.0"/>
      <color theme="1"/>
      <name val="Arial"/>
    </font>
    <font>
      <b/>
      <sz val="24.0"/>
      <color rgb="FF4040F4"/>
      <name val="Proxima Nova"/>
    </font>
    <font>
      <sz val="12.0"/>
      <color rgb="FF000000"/>
      <name val="Arial"/>
      <scheme val="minor"/>
    </font>
    <font>
      <sz val="8.0"/>
      <color theme="1"/>
      <name val="Arial"/>
      <scheme val="minor"/>
    </font>
    <font>
      <sz val="11.0"/>
      <color rgb="FF000000"/>
      <name val="Inconsolata"/>
    </font>
    <font>
      <b/>
      <color rgb="FFEBE4D5"/>
      <name val="Arial"/>
      <scheme val="minor"/>
    </font>
    <font>
      <b/>
      <sz val="9.0"/>
      <color theme="1"/>
      <name val="Arial"/>
      <scheme val="minor"/>
    </font>
    <font>
      <b/>
      <color rgb="FFFFFFFF"/>
      <name val="Arial"/>
      <scheme val="minor"/>
    </font>
    <font>
      <color rgb="FFFFFFFF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u/>
      <sz val="11.0"/>
      <color rgb="FF000000"/>
      <name val="Inconsolata"/>
    </font>
    <font>
      <b/>
      <sz val="11.0"/>
      <color rgb="FF000000"/>
      <name val="Calibri"/>
    </font>
    <font>
      <b/>
      <u/>
      <sz val="11.0"/>
      <color rgb="FF000000"/>
      <name val="Calibri"/>
    </font>
    <font>
      <sz val="8.0"/>
      <color rgb="FF000000"/>
      <name val="Inconsolata"/>
    </font>
    <font>
      <sz val="11.0"/>
      <color rgb="FF000000"/>
      <name val="Arial"/>
    </font>
    <font/>
    <font>
      <b/>
      <sz val="12.0"/>
      <color theme="1"/>
      <name val="Arial"/>
      <scheme val="minor"/>
    </font>
    <font>
      <sz val="11.0"/>
      <color theme="1"/>
      <name val="Inconsolata"/>
    </font>
    <font>
      <u/>
      <color theme="1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F85631"/>
        <bgColor rgb="FFF85631"/>
      </patternFill>
    </fill>
    <fill>
      <patternFill patternType="solid">
        <fgColor rgb="FF4040F4"/>
        <bgColor rgb="FF4040F4"/>
      </patternFill>
    </fill>
    <fill>
      <patternFill patternType="solid">
        <fgColor rgb="FFFFFFFF"/>
        <bgColor rgb="FFFFFFFF"/>
      </patternFill>
    </fill>
    <fill>
      <patternFill patternType="solid">
        <fgColor rgb="FFEBE4D5"/>
        <bgColor rgb="FFEBE4D5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</fills>
  <borders count="17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dotted">
        <color rgb="FF000000"/>
      </left>
      <right style="dotted">
        <color rgb="FF000000"/>
      </right>
      <top style="thin">
        <color rgb="FF000000"/>
      </top>
    </border>
    <border>
      <left style="dotted">
        <color rgb="FF000000"/>
      </left>
      <right style="dotted">
        <color rgb="FF000000"/>
      </right>
    </border>
    <border>
      <left style="thin">
        <color rgb="FF000000"/>
      </left>
      <bottom style="thin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2" numFmtId="0" xfId="0" applyAlignment="1" applyBorder="1" applyFont="1">
      <alignment readingOrder="0" shrinkToFit="0" wrapText="0"/>
    </xf>
    <xf borderId="0" fillId="2" fontId="3" numFmtId="0" xfId="0" applyFont="1"/>
    <xf borderId="0" fillId="2" fontId="4" numFmtId="164" xfId="0" applyAlignment="1" applyFont="1" applyNumberFormat="1">
      <alignment shrinkToFit="0" wrapText="1"/>
    </xf>
    <xf borderId="0" fillId="2" fontId="3" numFmtId="0" xfId="0" applyFont="1"/>
    <xf borderId="0" fillId="2" fontId="3" numFmtId="164" xfId="0" applyFont="1" applyNumberFormat="1"/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7" numFmtId="4" xfId="0" applyAlignment="1" applyFont="1" applyNumberForma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7" numFmtId="9" xfId="0" applyAlignment="1" applyFont="1" applyNumberFormat="1">
      <alignment horizontal="center" readingOrder="0" vertical="center"/>
    </xf>
    <xf borderId="0" fillId="0" fontId="7" numFmtId="10" xfId="0" applyAlignment="1" applyFont="1" applyNumberFormat="1">
      <alignment horizontal="center" vertical="center"/>
    </xf>
    <xf borderId="0" fillId="0" fontId="7" numFmtId="4" xfId="0" applyAlignment="1" applyFont="1" applyNumberFormat="1">
      <alignment horizontal="center" vertical="center"/>
    </xf>
    <xf borderId="0" fillId="0" fontId="7" numFmtId="164" xfId="0" applyAlignment="1" applyFont="1" applyNumberFormat="1">
      <alignment horizontal="center" vertical="center"/>
    </xf>
    <xf borderId="0" fillId="3" fontId="8" numFmtId="0" xfId="0" applyAlignment="1" applyFill="1" applyFont="1">
      <alignment horizontal="center"/>
    </xf>
    <xf borderId="0" fillId="0" fontId="9" numFmtId="164" xfId="0" applyAlignment="1" applyFont="1" applyNumberFormat="1">
      <alignment horizontal="center" readingOrder="0" shrinkToFit="0" vertical="center" wrapText="1"/>
    </xf>
    <xf borderId="0" fillId="0" fontId="10" numFmtId="164" xfId="0" applyAlignment="1" applyFont="1" applyNumberFormat="1">
      <alignment readingOrder="0" shrinkToFit="0" vertical="bottom" wrapText="1"/>
    </xf>
    <xf borderId="0" fillId="0" fontId="11" numFmtId="0" xfId="0" applyAlignment="1" applyFont="1">
      <alignment horizontal="center" readingOrder="0" shrinkToFit="0" vertical="bottom" wrapText="1"/>
    </xf>
    <xf borderId="0" fillId="4" fontId="12" numFmtId="4" xfId="0" applyAlignment="1" applyFill="1" applyFont="1" applyNumberFormat="1">
      <alignment readingOrder="0"/>
    </xf>
    <xf borderId="0" fillId="0" fontId="11" numFmtId="4" xfId="0" applyAlignment="1" applyFont="1" applyNumberFormat="1">
      <alignment horizontal="center" readingOrder="0" shrinkToFit="0" vertical="bottom" wrapText="1"/>
    </xf>
    <xf borderId="0" fillId="5" fontId="13" numFmtId="0" xfId="0" applyAlignment="1" applyFill="1" applyFont="1">
      <alignment horizontal="center" readingOrder="0" shrinkToFit="0" vertical="center" wrapText="1"/>
    </xf>
    <xf borderId="0" fillId="5" fontId="14" numFmtId="0" xfId="0" applyAlignment="1" applyFont="1">
      <alignment horizontal="center" readingOrder="0" shrinkToFit="0" vertical="center" wrapText="1"/>
    </xf>
    <xf borderId="0" fillId="5" fontId="5" numFmtId="0" xfId="0" applyAlignment="1" applyFont="1">
      <alignment horizontal="center" readingOrder="0" shrinkToFit="0" vertical="center" wrapText="1"/>
    </xf>
    <xf borderId="0" fillId="5" fontId="7" numFmtId="0" xfId="0" applyAlignment="1" applyFont="1">
      <alignment horizontal="center" readingOrder="0" shrinkToFit="0" vertical="center" wrapText="1"/>
    </xf>
    <xf borderId="0" fillId="5" fontId="7" numFmtId="4" xfId="0" applyAlignment="1" applyFont="1" applyNumberFormat="1">
      <alignment horizontal="center" readingOrder="0" shrinkToFit="0" vertical="center" wrapText="1"/>
    </xf>
    <xf borderId="0" fillId="5" fontId="7" numFmtId="164" xfId="0" applyAlignment="1" applyFont="1" applyNumberFormat="1">
      <alignment horizontal="center" vertical="center"/>
    </xf>
    <xf borderId="0" fillId="3" fontId="15" numFmtId="0" xfId="0" applyAlignment="1" applyFont="1">
      <alignment horizontal="left" readingOrder="0" shrinkToFit="0" vertical="center" wrapText="1"/>
    </xf>
    <xf borderId="0" fillId="3" fontId="4" numFmtId="0" xfId="0" applyAlignment="1" applyFont="1">
      <alignment horizontal="left" shrinkToFit="0" vertical="center" wrapText="1"/>
    </xf>
    <xf borderId="0" fillId="3" fontId="4" numFmtId="164" xfId="0" applyAlignment="1" applyFont="1" applyNumberFormat="1">
      <alignment horizontal="left" shrinkToFit="0" vertical="center" wrapText="1"/>
    </xf>
    <xf borderId="0" fillId="3" fontId="16" numFmtId="0" xfId="0" applyAlignment="1" applyFont="1">
      <alignment horizontal="left" readingOrder="0" shrinkToFit="0" vertical="center" wrapText="1"/>
    </xf>
    <xf borderId="0" fillId="3" fontId="16" numFmtId="164" xfId="0" applyAlignment="1" applyFont="1" applyNumberFormat="1">
      <alignment horizontal="left" readingOrder="0" shrinkToFit="0" vertical="center" wrapText="1"/>
    </xf>
    <xf borderId="0" fillId="3" fontId="16" numFmtId="4" xfId="0" applyAlignment="1" applyFont="1" applyNumberFormat="1">
      <alignment horizontal="left" readingOrder="0" shrinkToFit="0" vertical="center" wrapText="1"/>
    </xf>
    <xf borderId="0" fillId="3" fontId="16" numFmtId="164" xfId="0" applyAlignment="1" applyFont="1" applyNumberFormat="1">
      <alignment horizontal="left" vertical="center"/>
    </xf>
    <xf borderId="0" fillId="0" fontId="5" numFmtId="0" xfId="0" applyAlignment="1" applyFont="1">
      <alignment readingOrder="0"/>
    </xf>
    <xf borderId="0" fillId="0" fontId="17" numFmtId="164" xfId="0" applyAlignment="1" applyFont="1" applyNumberFormat="1">
      <alignment horizontal="center" vertical="center"/>
    </xf>
    <xf borderId="0" fillId="0" fontId="17" numFmtId="10" xfId="0" applyAlignment="1" applyFont="1" applyNumberFormat="1">
      <alignment horizontal="center" vertical="center"/>
    </xf>
    <xf borderId="0" fillId="4" fontId="18" numFmtId="0" xfId="0" applyAlignment="1" applyFont="1">
      <alignment readingOrder="0"/>
    </xf>
    <xf borderId="0" fillId="4" fontId="18" numFmtId="164" xfId="0" applyAlignment="1" applyFont="1" applyNumberFormat="1">
      <alignment readingOrder="0"/>
    </xf>
    <xf borderId="0" fillId="6" fontId="18" numFmtId="4" xfId="0" applyAlignment="1" applyFill="1" applyFont="1" applyNumberFormat="1">
      <alignment readingOrder="0"/>
    </xf>
    <xf borderId="0" fillId="4" fontId="18" numFmtId="165" xfId="0" applyAlignment="1" applyFont="1" applyNumberFormat="1">
      <alignment readingOrder="0"/>
    </xf>
    <xf borderId="0" fillId="6" fontId="18" numFmtId="10" xfId="0" applyAlignment="1" applyFont="1" applyNumberFormat="1">
      <alignment readingOrder="0"/>
    </xf>
    <xf borderId="0" fillId="4" fontId="18" numFmtId="10" xfId="0" applyAlignment="1" applyFont="1" applyNumberFormat="1">
      <alignment readingOrder="0"/>
    </xf>
    <xf borderId="0" fillId="4" fontId="18" numFmtId="3" xfId="0" applyAlignment="1" applyFont="1" applyNumberFormat="1">
      <alignment readingOrder="0"/>
    </xf>
    <xf borderId="0" fillId="4" fontId="12" numFmtId="3" xfId="0" applyAlignment="1" applyFont="1" applyNumberFormat="1">
      <alignment readingOrder="0"/>
    </xf>
    <xf borderId="0" fillId="4" fontId="12" numFmtId="164" xfId="0" applyAlignment="1" applyFont="1" applyNumberFormat="1">
      <alignment readingOrder="0"/>
    </xf>
    <xf borderId="0" fillId="0" fontId="5" numFmtId="166" xfId="0" applyAlignment="1" applyFont="1" applyNumberFormat="1">
      <alignment readingOrder="0"/>
    </xf>
    <xf borderId="0" fillId="7" fontId="5" numFmtId="0" xfId="0" applyAlignment="1" applyFill="1" applyFont="1">
      <alignment readingOrder="0"/>
    </xf>
    <xf borderId="0" fillId="4" fontId="5" numFmtId="0" xfId="0" applyAlignment="1" applyFont="1">
      <alignment readingOrder="0"/>
    </xf>
    <xf borderId="0" fillId="0" fontId="17" numFmtId="0" xfId="0" applyAlignment="1" applyFont="1">
      <alignment horizontal="center" readingOrder="0" vertical="center"/>
    </xf>
    <xf borderId="0" fillId="7" fontId="5" numFmtId="166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67" xfId="0" applyAlignment="1" applyFont="1" applyNumberFormat="1">
      <alignment readingOrder="0"/>
    </xf>
    <xf borderId="0" fillId="4" fontId="19" numFmtId="164" xfId="0" applyAlignment="1" applyFont="1" applyNumberFormat="1">
      <alignment readingOrder="0"/>
    </xf>
    <xf borderId="0" fillId="0" fontId="20" numFmtId="0" xfId="0" applyAlignment="1" applyFont="1">
      <alignment readingOrder="0" shrinkToFit="0" vertical="bottom" wrapText="0"/>
    </xf>
    <xf borderId="0" fillId="0" fontId="6" numFmtId="164" xfId="0" applyAlignment="1" applyFont="1" applyNumberFormat="1">
      <alignment horizontal="center" vertical="center"/>
    </xf>
    <xf borderId="0" fillId="6" fontId="7" numFmtId="10" xfId="0" applyAlignment="1" applyFont="1" applyNumberFormat="1">
      <alignment horizontal="center"/>
    </xf>
    <xf borderId="0" fillId="6" fontId="7" numFmtId="4" xfId="0" applyAlignment="1" applyFont="1" applyNumberFormat="1">
      <alignment horizontal="center"/>
    </xf>
    <xf borderId="0" fillId="0" fontId="7" numFmtId="4" xfId="0" applyAlignment="1" applyFont="1" applyNumberFormat="1">
      <alignment horizontal="center"/>
    </xf>
    <xf borderId="0" fillId="4" fontId="12" numFmtId="10" xfId="0" applyAlignment="1" applyFont="1" applyNumberFormat="1">
      <alignment readingOrder="0"/>
    </xf>
    <xf borderId="0" fillId="4" fontId="12" numFmtId="0" xfId="0" applyAlignment="1" applyFont="1">
      <alignment readingOrder="0"/>
    </xf>
    <xf borderId="0" fillId="6" fontId="12" numFmtId="4" xfId="0" applyAlignment="1" applyFont="1" applyNumberFormat="1">
      <alignment readingOrder="0"/>
    </xf>
    <xf borderId="0" fillId="6" fontId="12" numFmtId="0" xfId="0" applyAlignment="1" applyFont="1">
      <alignment readingOrder="0"/>
    </xf>
    <xf borderId="0" fillId="4" fontId="12" numFmtId="10" xfId="0" applyAlignment="1" applyFont="1" applyNumberFormat="1">
      <alignment horizontal="center" readingOrder="0"/>
    </xf>
    <xf borderId="0" fillId="4" fontId="12" numFmtId="0" xfId="0" applyAlignment="1" applyFont="1">
      <alignment horizontal="center" readingOrder="0"/>
    </xf>
    <xf borderId="0" fillId="6" fontId="12" numFmtId="4" xfId="0" applyAlignment="1" applyFont="1" applyNumberFormat="1">
      <alignment horizontal="center" readingOrder="0"/>
    </xf>
    <xf borderId="0" fillId="6" fontId="12" numFmtId="0" xfId="0" applyAlignment="1" applyFont="1">
      <alignment horizontal="center" readingOrder="0"/>
    </xf>
    <xf borderId="0" fillId="0" fontId="21" numFmtId="0" xfId="0" applyAlignment="1" applyFont="1">
      <alignment readingOrder="0" shrinkToFit="0" vertical="bottom" wrapText="0"/>
    </xf>
    <xf borderId="0" fillId="0" fontId="20" numFmtId="0" xfId="0" applyAlignment="1" applyFont="1">
      <alignment shrinkToFit="0" vertical="bottom" wrapText="0"/>
    </xf>
    <xf borderId="0" fillId="0" fontId="5" numFmtId="0" xfId="0" applyFont="1"/>
    <xf borderId="0" fillId="0" fontId="11" numFmtId="0" xfId="0" applyAlignment="1" applyFont="1">
      <alignment horizontal="left"/>
    </xf>
    <xf borderId="0" fillId="0" fontId="7" numFmtId="2" xfId="0" applyFont="1" applyNumberFormat="1"/>
    <xf borderId="0" fillId="0" fontId="7" numFmtId="2" xfId="0" applyAlignment="1" applyFont="1" applyNumberFormat="1">
      <alignment horizontal="center" shrinkToFit="0" wrapText="1"/>
    </xf>
    <xf borderId="0" fillId="0" fontId="7" numFmtId="164" xfId="0" applyAlignment="1" applyFont="1" applyNumberFormat="1">
      <alignment horizontal="center" readingOrder="0" shrinkToFit="0" wrapText="1"/>
    </xf>
    <xf borderId="0" fillId="0" fontId="7" numFmtId="0" xfId="0" applyAlignment="1" applyFont="1">
      <alignment horizontal="center" readingOrder="0" shrinkToFit="0" wrapText="1"/>
    </xf>
    <xf borderId="0" fillId="0" fontId="7" numFmtId="4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2" fillId="0" fontId="7" numFmtId="164" xfId="0" applyAlignment="1" applyBorder="1" applyFont="1" applyNumberFormat="1">
      <alignment horizontal="center" readingOrder="0" shrinkToFit="0" wrapText="1"/>
    </xf>
    <xf borderId="0" fillId="4" fontId="12" numFmtId="0" xfId="0" applyFont="1"/>
    <xf borderId="0" fillId="4" fontId="22" numFmtId="0" xfId="0" applyAlignment="1" applyFont="1">
      <alignment horizontal="left"/>
    </xf>
    <xf borderId="0" fillId="4" fontId="12" numFmtId="2" xfId="0" applyFont="1" applyNumberFormat="1"/>
    <xf borderId="0" fillId="4" fontId="23" numFmtId="2" xfId="0" applyAlignment="1" applyFont="1" applyNumberFormat="1">
      <alignment horizontal="center" readingOrder="0"/>
    </xf>
    <xf borderId="0" fillId="4" fontId="23" numFmtId="0" xfId="0" applyAlignment="1" applyFont="1">
      <alignment horizontal="center" readingOrder="0"/>
    </xf>
    <xf borderId="0" fillId="4" fontId="23" numFmtId="4" xfId="0" applyAlignment="1" applyFont="1" applyNumberFormat="1">
      <alignment readingOrder="0"/>
    </xf>
    <xf borderId="0" fillId="4" fontId="23" numFmtId="0" xfId="0" applyAlignment="1" applyFont="1">
      <alignment readingOrder="0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horizontal="center"/>
    </xf>
    <xf borderId="0" fillId="0" fontId="7" numFmtId="2" xfId="0" applyAlignment="1" applyFont="1" applyNumberFormat="1">
      <alignment horizontal="center" readingOrder="0" shrinkToFit="0" wrapText="1"/>
    </xf>
    <xf borderId="0" fillId="0" fontId="7" numFmtId="0" xfId="0" applyAlignment="1" applyFont="1">
      <alignment horizontal="center" readingOrder="0" shrinkToFit="0" wrapText="1"/>
    </xf>
    <xf borderId="0" fillId="0" fontId="7" numFmtId="0" xfId="0" applyAlignment="1" applyFont="1">
      <alignment readingOrder="0" shrinkToFit="0" wrapText="1"/>
    </xf>
    <xf borderId="0" fillId="3" fontId="8" numFmtId="0" xfId="0" applyAlignment="1" applyFont="1">
      <alignment horizontal="left"/>
    </xf>
    <xf borderId="0" fillId="4" fontId="12" numFmtId="0" xfId="0" applyAlignment="1" applyFont="1">
      <alignment horizontal="center" vertical="center"/>
    </xf>
    <xf borderId="3" fillId="6" fontId="7" numFmtId="0" xfId="0" applyAlignment="1" applyBorder="1" applyFont="1">
      <alignment horizontal="center" readingOrder="0" shrinkToFit="0" vertical="center" wrapText="1"/>
    </xf>
    <xf borderId="4" fillId="0" fontId="24" numFmtId="0" xfId="0" applyBorder="1" applyFont="1"/>
    <xf borderId="5" fillId="6" fontId="7" numFmtId="2" xfId="0" applyAlignment="1" applyBorder="1" applyFont="1" applyNumberFormat="1">
      <alignment horizontal="center" readingOrder="0" shrinkToFit="0" vertical="center" wrapText="1"/>
    </xf>
    <xf borderId="4" fillId="6" fontId="7" numFmtId="0" xfId="0" applyAlignment="1" applyBorder="1" applyFont="1">
      <alignment horizontal="center" readingOrder="0" shrinkToFit="0" vertical="center" wrapText="1"/>
    </xf>
    <xf borderId="3" fillId="8" fontId="7" numFmtId="0" xfId="0" applyAlignment="1" applyBorder="1" applyFill="1" applyFont="1">
      <alignment horizontal="center" readingOrder="0" shrinkToFit="0" vertical="center" wrapText="1"/>
    </xf>
    <xf borderId="4" fillId="6" fontId="7" numFmtId="2" xfId="0" applyAlignment="1" applyBorder="1" applyFont="1" applyNumberFormat="1">
      <alignment horizontal="center" readingOrder="0" shrinkToFit="0" vertical="center" wrapText="1"/>
    </xf>
    <xf borderId="2" fillId="9" fontId="7" numFmtId="0" xfId="0" applyAlignment="1" applyBorder="1" applyFill="1" applyFont="1">
      <alignment horizontal="center" readingOrder="0" shrinkToFit="0" vertical="center" wrapText="1"/>
    </xf>
    <xf borderId="3" fillId="9" fontId="7" numFmtId="4" xfId="0" applyAlignment="1" applyBorder="1" applyFont="1" applyNumberFormat="1">
      <alignment horizontal="center" readingOrder="0" shrinkToFit="0" vertical="center" wrapText="1"/>
    </xf>
    <xf borderId="5" fillId="9" fontId="7" numFmtId="4" xfId="0" applyAlignment="1" applyBorder="1" applyFont="1" applyNumberFormat="1">
      <alignment horizontal="center" readingOrder="0" shrinkToFit="0" vertical="center" wrapText="1"/>
    </xf>
    <xf borderId="5" fillId="9" fontId="7" numFmtId="0" xfId="0" applyAlignment="1" applyBorder="1" applyFont="1">
      <alignment horizontal="center" readingOrder="0" shrinkToFit="0" vertical="center" wrapText="1"/>
    </xf>
    <xf borderId="6" fillId="9" fontId="7" numFmtId="4" xfId="0" applyAlignment="1" applyBorder="1" applyFont="1" applyNumberFormat="1">
      <alignment horizontal="center" readingOrder="0" shrinkToFit="0" vertical="center" wrapText="1"/>
    </xf>
    <xf borderId="7" fillId="9" fontId="7" numFmtId="4" xfId="0" applyAlignment="1" applyBorder="1" applyFont="1" applyNumberFormat="1">
      <alignment horizontal="center" readingOrder="0" shrinkToFit="0" vertical="center" wrapText="1"/>
    </xf>
    <xf borderId="7" fillId="9" fontId="7" numFmtId="0" xfId="0" applyAlignment="1" applyBorder="1" applyFont="1">
      <alignment horizontal="center" readingOrder="0" shrinkToFit="0" vertical="center" wrapText="1"/>
    </xf>
    <xf borderId="8" fillId="9" fontId="7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25" numFmtId="0" xfId="0" applyAlignment="1" applyFont="1">
      <alignment horizontal="left" readingOrder="0" vertical="bottom"/>
    </xf>
    <xf borderId="0" fillId="4" fontId="12" numFmtId="0" xfId="0" applyFont="1"/>
    <xf borderId="0" fillId="0" fontId="26" numFmtId="0" xfId="0" applyAlignment="1" applyFont="1">
      <alignment horizontal="left" readingOrder="0" vertical="center"/>
    </xf>
    <xf borderId="0" fillId="0" fontId="26" numFmtId="2" xfId="0" applyAlignment="1" applyFont="1" applyNumberFormat="1">
      <alignment horizontal="center" readingOrder="0" vertical="center"/>
    </xf>
    <xf borderId="0" fillId="0" fontId="26" numFmtId="164" xfId="0" applyAlignment="1" applyFont="1" applyNumberFormat="1">
      <alignment horizontal="center" readingOrder="0" vertical="center"/>
    </xf>
    <xf borderId="0" fillId="0" fontId="7" numFmtId="0" xfId="0" applyAlignment="1" applyFont="1">
      <alignment readingOrder="0"/>
    </xf>
    <xf borderId="9" fillId="0" fontId="7" numFmtId="2" xfId="0" applyAlignment="1" applyBorder="1" applyFont="1" applyNumberFormat="1">
      <alignment horizontal="center" shrinkToFit="0" wrapText="1"/>
    </xf>
    <xf borderId="10" fillId="0" fontId="6" numFmtId="164" xfId="0" applyAlignment="1" applyBorder="1" applyFont="1" applyNumberFormat="1">
      <alignment horizontal="center" shrinkToFit="0" wrapText="1"/>
    </xf>
    <xf borderId="0" fillId="0" fontId="7" numFmtId="1" xfId="0" applyAlignment="1" applyFont="1" applyNumberFormat="1">
      <alignment horizontal="center" shrinkToFit="0" wrapText="1"/>
    </xf>
    <xf borderId="6" fillId="0" fontId="7" numFmtId="4" xfId="0" applyAlignment="1" applyBorder="1" applyFont="1" applyNumberFormat="1">
      <alignment shrinkToFit="0" wrapText="1"/>
    </xf>
    <xf borderId="7" fillId="0" fontId="7" numFmtId="4" xfId="0" applyAlignment="1" applyBorder="1" applyFont="1" applyNumberFormat="1">
      <alignment shrinkToFit="0" wrapText="1"/>
    </xf>
    <xf borderId="8" fillId="0" fontId="7" numFmtId="4" xfId="0" applyAlignment="1" applyBorder="1" applyFont="1" applyNumberFormat="1">
      <alignment shrinkToFit="0" wrapText="1"/>
    </xf>
    <xf borderId="0" fillId="0" fontId="12" numFmtId="0" xfId="0" applyFont="1"/>
    <xf borderId="11" fillId="0" fontId="7" numFmtId="4" xfId="0" applyAlignment="1" applyBorder="1" applyFont="1" applyNumberFormat="1">
      <alignment shrinkToFit="0" wrapText="1"/>
    </xf>
    <xf borderId="0" fillId="0" fontId="7" numFmtId="4" xfId="0" applyAlignment="1" applyFont="1" applyNumberFormat="1">
      <alignment shrinkToFit="0" wrapText="1"/>
    </xf>
    <xf borderId="9" fillId="0" fontId="7" numFmtId="4" xfId="0" applyAlignment="1" applyBorder="1" applyFont="1" applyNumberFormat="1">
      <alignment shrinkToFit="0" wrapText="1"/>
    </xf>
    <xf borderId="0" fillId="0" fontId="7" numFmtId="0" xfId="0" applyAlignment="1" applyFont="1">
      <alignment readingOrder="0"/>
    </xf>
    <xf borderId="0" fillId="0" fontId="7" numFmtId="166" xfId="0" applyAlignment="1" applyFont="1" applyNumberFormat="1">
      <alignment readingOrder="0"/>
    </xf>
    <xf borderId="0" fillId="0" fontId="12" numFmtId="166" xfId="0" applyFont="1" applyNumberFormat="1"/>
    <xf borderId="0" fillId="4" fontId="12" numFmtId="166" xfId="0" applyFont="1" applyNumberFormat="1"/>
    <xf borderId="0" fillId="4" fontId="12" numFmtId="167" xfId="0" applyFont="1" applyNumberFormat="1"/>
    <xf borderId="6" fillId="8" fontId="7" numFmtId="0" xfId="0" applyAlignment="1" applyBorder="1" applyFont="1">
      <alignment readingOrder="0"/>
    </xf>
    <xf borderId="12" fillId="0" fontId="7" numFmtId="0" xfId="0" applyAlignment="1" applyBorder="1" applyFont="1">
      <alignment readingOrder="0"/>
    </xf>
    <xf borderId="8" fillId="0" fontId="7" numFmtId="0" xfId="0" applyAlignment="1" applyBorder="1" applyFont="1">
      <alignment readingOrder="0"/>
    </xf>
    <xf borderId="11" fillId="8" fontId="7" numFmtId="0" xfId="0" applyAlignment="1" applyBorder="1" applyFont="1">
      <alignment readingOrder="0"/>
    </xf>
    <xf borderId="13" fillId="0" fontId="7" numFmtId="0" xfId="0" applyAlignment="1" applyBorder="1" applyFont="1">
      <alignment readingOrder="0"/>
    </xf>
    <xf borderId="9" fillId="0" fontId="7" numFmtId="0" xfId="0" applyAlignment="1" applyBorder="1" applyFont="1">
      <alignment readingOrder="0"/>
    </xf>
    <xf borderId="14" fillId="8" fontId="7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0" fillId="0" fontId="7" numFmtId="167" xfId="0" applyAlignment="1" applyFont="1" applyNumberFormat="1">
      <alignment readingOrder="0"/>
    </xf>
    <xf borderId="0" fillId="0" fontId="7" numFmtId="2" xfId="0" applyAlignment="1" applyFont="1" applyNumberFormat="1">
      <alignment horizontal="center" readingOrder="0" vertical="center"/>
    </xf>
    <xf borderId="0" fillId="0" fontId="18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left" readingOrder="0" vertical="center"/>
    </xf>
    <xf borderId="0" fillId="0" fontId="18" numFmtId="0" xfId="0" applyAlignment="1" applyFont="1">
      <alignment shrinkToFit="0" vertical="bottom" wrapText="0"/>
    </xf>
    <xf borderId="0" fillId="0" fontId="7" numFmtId="0" xfId="0" applyAlignment="1" applyFont="1">
      <alignment horizontal="center" shrinkToFit="0" wrapText="1"/>
    </xf>
    <xf borderId="0" fillId="0" fontId="7" numFmtId="0" xfId="0" applyAlignment="1" applyFont="1">
      <alignment horizontal="left" readingOrder="0" vertical="bottom"/>
    </xf>
    <xf borderId="0" fillId="0" fontId="7" numFmtId="3" xfId="0" applyAlignment="1" applyFont="1" applyNumberFormat="1">
      <alignment horizontal="left" readingOrder="0" vertical="bottom"/>
    </xf>
    <xf borderId="0" fillId="0" fontId="7" numFmtId="0" xfId="0" applyAlignment="1" applyFont="1">
      <alignment horizontal="left" readingOrder="0" vertical="bottom"/>
    </xf>
    <xf borderId="0" fillId="0" fontId="7" numFmtId="168" xfId="0" applyAlignment="1" applyFont="1" applyNumberFormat="1">
      <alignment readingOrder="0"/>
    </xf>
    <xf borderId="0" fillId="0" fontId="7" numFmtId="10" xfId="0" applyAlignment="1" applyFont="1" applyNumberFormat="1">
      <alignment readingOrder="0"/>
    </xf>
    <xf borderId="0" fillId="0" fontId="7" numFmtId="3" xfId="0" applyAlignment="1" applyFont="1" applyNumberFormat="1">
      <alignment readingOrder="0"/>
    </xf>
    <xf borderId="0" fillId="0" fontId="27" numFmtId="0" xfId="0" applyAlignment="1" applyFont="1">
      <alignment readingOrder="0"/>
    </xf>
    <xf borderId="0" fillId="0" fontId="7" numFmtId="169" xfId="0" applyAlignment="1" applyFont="1" applyNumberFormat="1">
      <alignment readingOrder="0"/>
    </xf>
    <xf borderId="0" fillId="0" fontId="28" numFmtId="0" xfId="0" applyAlignment="1" applyFont="1">
      <alignment readingOrder="0"/>
    </xf>
    <xf borderId="0" fillId="0" fontId="28" numFmtId="0" xfId="0" applyFont="1"/>
    <xf borderId="0" fillId="0" fontId="28" numFmtId="4" xfId="0" applyAlignment="1" applyFont="1" applyNumberFormat="1">
      <alignment horizontal="center" readingOrder="0"/>
    </xf>
    <xf borderId="0" fillId="0" fontId="7" numFmtId="10" xfId="0" applyAlignment="1" applyFont="1" applyNumberFormat="1">
      <alignment horizontal="center"/>
    </xf>
    <xf borderId="0" fillId="0" fontId="28" numFmtId="0" xfId="0" applyAlignment="1" applyFont="1">
      <alignment readingOrder="0" shrinkToFit="0" wrapText="1"/>
    </xf>
    <xf borderId="0" fillId="0" fontId="28" numFmtId="0" xfId="0" applyAlignment="1" applyFont="1">
      <alignment horizontal="center"/>
    </xf>
    <xf borderId="0" fillId="0" fontId="7" numFmtId="1" xfId="0" applyAlignment="1" applyFont="1" applyNumberFormat="1">
      <alignment horizontal="center"/>
    </xf>
    <xf borderId="0" fillId="0" fontId="29" numFmtId="4" xfId="0" applyAlignment="1" applyFont="1" applyNumberFormat="1">
      <alignment horizontal="center" readingOrder="0"/>
    </xf>
    <xf borderId="0" fillId="0" fontId="28" numFmtId="0" xfId="0" applyAlignment="1" applyFont="1">
      <alignment readingOrder="0" shrinkToFit="0" wrapText="1"/>
    </xf>
    <xf borderId="2" fillId="0" fontId="28" numFmtId="4" xfId="0" applyAlignment="1" applyBorder="1" applyFont="1" applyNumberForma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10" xfId="0" applyAlignment="1" applyFont="1" applyNumberFormat="1">
      <alignment horizontal="center" readingOrder="0"/>
    </xf>
    <xf borderId="0" fillId="0" fontId="28" numFmtId="164" xfId="0" applyAlignment="1" applyFont="1" applyNumberFormat="1">
      <alignment horizontal="center" readingOrder="0"/>
    </xf>
    <xf borderId="0" fillId="0" fontId="28" numFmtId="0" xfId="0" applyAlignment="1" applyFont="1">
      <alignment horizontal="center" readingOrder="0"/>
    </xf>
    <xf borderId="0" fillId="0" fontId="28" numFmtId="1" xfId="0" applyAlignment="1" applyFont="1" applyNumberFormat="1">
      <alignment horizontal="center" readingOrder="0"/>
    </xf>
    <xf borderId="0" fillId="0" fontId="7" numFmtId="4" xfId="0" applyFont="1" applyNumberFormat="1"/>
    <xf borderId="0" fillId="0" fontId="7" numFmtId="10" xfId="0" applyFont="1" applyNumberFormat="1"/>
    <xf borderId="2" fillId="10" fontId="29" numFmtId="0" xfId="0" applyAlignment="1" applyBorder="1" applyFill="1" applyFont="1">
      <alignment readingOrder="0" shrinkToFit="0" wrapText="1"/>
    </xf>
    <xf borderId="4" fillId="10" fontId="29" numFmtId="4" xfId="0" applyAlignment="1" applyBorder="1" applyFont="1" applyNumberFormat="1">
      <alignment horizontal="center" readingOrder="0"/>
    </xf>
    <xf borderId="5" fillId="10" fontId="29" numFmtId="0" xfId="0" applyAlignment="1" applyBorder="1" applyFont="1">
      <alignment horizontal="center" readingOrder="0"/>
    </xf>
    <xf borderId="4" fillId="10" fontId="29" numFmtId="0" xfId="0" applyAlignment="1" applyBorder="1" applyFont="1">
      <alignment horizontal="center" readingOrder="0"/>
    </xf>
    <xf borderId="5" fillId="10" fontId="29" numFmtId="10" xfId="0" applyAlignment="1" applyBorder="1" applyFont="1" applyNumberFormat="1">
      <alignment horizontal="center" readingOrder="0"/>
    </xf>
    <xf borderId="4" fillId="10" fontId="29" numFmtId="3" xfId="0" applyAlignment="1" applyBorder="1" applyFont="1" applyNumberFormat="1">
      <alignment horizontal="center" readingOrder="0"/>
    </xf>
    <xf borderId="3" fillId="9" fontId="5" numFmtId="0" xfId="0" applyAlignment="1" applyBorder="1" applyFont="1">
      <alignment horizontal="center" readingOrder="0"/>
    </xf>
    <xf borderId="10" fillId="0" fontId="28" numFmtId="0" xfId="0" applyAlignment="1" applyBorder="1" applyFont="1">
      <alignment readingOrder="0"/>
    </xf>
    <xf borderId="10" fillId="0" fontId="28" numFmtId="4" xfId="0" applyAlignment="1" applyBorder="1" applyFont="1" applyNumberFormat="1">
      <alignment horizontal="center"/>
    </xf>
    <xf borderId="11" fillId="0" fontId="28" numFmtId="10" xfId="0" applyAlignment="1" applyBorder="1" applyFont="1" applyNumberFormat="1">
      <alignment horizontal="center" readingOrder="0"/>
    </xf>
    <xf borderId="11" fillId="4" fontId="30" numFmtId="10" xfId="0" applyAlignment="1" applyBorder="1" applyFont="1" applyNumberFormat="1">
      <alignment horizontal="center" readingOrder="0"/>
    </xf>
    <xf borderId="0" fillId="0" fontId="7" numFmtId="3" xfId="0" applyAlignment="1" applyFont="1" applyNumberFormat="1">
      <alignment horizontal="center"/>
    </xf>
    <xf borderId="10" fillId="9" fontId="7" numFmtId="3" xfId="0" applyAlignment="1" applyBorder="1" applyFont="1" applyNumberFormat="1">
      <alignment horizontal="center"/>
    </xf>
    <xf borderId="0" fillId="0" fontId="7" numFmtId="0" xfId="0" applyFont="1"/>
    <xf borderId="11" fillId="0" fontId="28" numFmtId="10" xfId="0" applyAlignment="1" applyBorder="1" applyFont="1" applyNumberFormat="1">
      <alignment horizontal="center"/>
    </xf>
    <xf borderId="9" fillId="0" fontId="7" numFmtId="0" xfId="0" applyAlignment="1" applyBorder="1" applyFont="1">
      <alignment horizontal="center"/>
    </xf>
    <xf borderId="0" fillId="4" fontId="30" numFmtId="10" xfId="0" applyAlignment="1" applyFont="1" applyNumberFormat="1">
      <alignment horizontal="center" readingOrder="0"/>
    </xf>
    <xf borderId="9" fillId="0" fontId="7" numFmtId="3" xfId="0" applyAlignment="1" applyBorder="1" applyFont="1" applyNumberFormat="1">
      <alignment horizontal="center"/>
    </xf>
    <xf borderId="9" fillId="9" fontId="7" numFmtId="3" xfId="0" applyAlignment="1" applyBorder="1" applyFont="1" applyNumberFormat="1">
      <alignment horizontal="center"/>
    </xf>
    <xf borderId="0" fillId="0" fontId="28" numFmtId="0" xfId="0" applyAlignment="1" applyFont="1">
      <alignment readingOrder="0"/>
    </xf>
    <xf borderId="9" fillId="0" fontId="28" numFmtId="4" xfId="0" applyAlignment="1" applyBorder="1" applyFont="1" applyNumberFormat="1">
      <alignment horizontal="center"/>
    </xf>
    <xf borderId="0" fillId="0" fontId="28" numFmtId="4" xfId="0" applyAlignment="1" applyFont="1" applyNumberFormat="1">
      <alignment horizontal="center"/>
    </xf>
    <xf borderId="0" fillId="0" fontId="28" numFmtId="10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0</xdr:rowOff>
    </xdr:from>
    <xdr:ext cx="1238250" cy="981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1838325</xdr:colOff>
      <xdr:row>7</xdr:row>
      <xdr:rowOff>180975</xdr:rowOff>
    </xdr:from>
    <xdr:ext cx="238125" cy="238125"/>
    <xdr:pic>
      <xdr:nvPicPr>
        <xdr:cNvPr id="0" name="image2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1838325</xdr:colOff>
      <xdr:row>8</xdr:row>
      <xdr:rowOff>180975</xdr:rowOff>
    </xdr:from>
    <xdr:ext cx="238125" cy="238125"/>
    <xdr:pic>
      <xdr:nvPicPr>
        <xdr:cNvPr id="0" name="image2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1057275" cy="8382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18.38"/>
    <col customWidth="1" min="2" max="2" width="11.75"/>
    <col customWidth="1" min="3" max="3" width="18.88"/>
    <col customWidth="1" min="4" max="4" width="20.5"/>
    <col customWidth="1" min="5" max="5" width="26.38"/>
    <col customWidth="1" min="6" max="6" width="22.38"/>
    <col customWidth="1" min="7" max="7" width="19.5"/>
    <col customWidth="1" min="8" max="8" width="17.25"/>
    <col customWidth="1" min="9" max="9" width="16.38"/>
    <col customWidth="1" min="10" max="10" width="8.38"/>
    <col customWidth="1" min="11" max="11" width="10.75"/>
    <col customWidth="1" min="12" max="12" width="12.63"/>
    <col customWidth="1" min="13" max="13" width="13.25"/>
    <col customWidth="1" min="14" max="14" width="9.75"/>
    <col customWidth="1" min="15" max="15" width="11.75"/>
    <col customWidth="1" min="16" max="16" width="11.13"/>
    <col customWidth="1" min="17" max="17" width="12.63"/>
    <col customWidth="1" min="18" max="18" width="11.13"/>
    <col customWidth="1" min="19" max="19" width="10.5"/>
    <col customWidth="1" min="20" max="20" width="13.13"/>
    <col customWidth="1" min="21" max="21" width="10.38"/>
    <col customWidth="1" min="22" max="22" width="10.63"/>
    <col customWidth="1" min="23" max="23" width="13.88"/>
    <col customWidth="1" min="24" max="24" width="13.38"/>
    <col customWidth="1" min="25" max="25" width="14.0"/>
    <col customWidth="1" min="26" max="26" width="10.13"/>
    <col customWidth="1" min="27" max="31" width="16.75"/>
  </cols>
  <sheetData>
    <row r="1" ht="18.75" customHeight="1">
      <c r="A1" s="1"/>
      <c r="B1" s="2" t="s">
        <v>0</v>
      </c>
      <c r="C1" s="3"/>
      <c r="D1" s="4" t="s">
        <v>1</v>
      </c>
      <c r="W1" s="5"/>
      <c r="X1" s="5"/>
      <c r="Y1" s="5"/>
      <c r="Z1" s="5"/>
      <c r="AA1" s="6"/>
      <c r="AB1" s="6"/>
      <c r="AC1" s="6"/>
      <c r="AD1" s="6"/>
      <c r="AE1" s="6"/>
    </row>
    <row r="2" ht="1.5" customHeight="1">
      <c r="A2" s="7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  <c r="W2" s="9"/>
      <c r="X2" s="9"/>
      <c r="Y2" s="9"/>
      <c r="Z2" s="9"/>
      <c r="AA2" s="9"/>
      <c r="AB2" s="9"/>
      <c r="AC2" s="9"/>
      <c r="AD2" s="9"/>
      <c r="AE2" s="9"/>
    </row>
    <row r="3" ht="1.5" customHeight="1">
      <c r="A3" s="11"/>
      <c r="B3" s="12"/>
      <c r="C3" s="12"/>
      <c r="D3" s="12"/>
      <c r="E3" s="13"/>
      <c r="F3" s="13"/>
      <c r="G3" s="13"/>
      <c r="H3" s="14"/>
      <c r="I3" s="13"/>
      <c r="J3" s="13"/>
      <c r="K3" s="15"/>
      <c r="L3" s="13"/>
      <c r="M3" s="13"/>
      <c r="N3" s="13"/>
      <c r="O3" s="13"/>
      <c r="P3" s="13"/>
      <c r="Q3" s="13"/>
      <c r="R3" s="13"/>
      <c r="S3" s="13"/>
      <c r="T3" s="13"/>
      <c r="U3" s="13"/>
      <c r="V3" s="16"/>
      <c r="W3" s="13"/>
      <c r="X3" s="13"/>
      <c r="Y3" s="13"/>
      <c r="Z3" s="13"/>
      <c r="AA3" s="17"/>
      <c r="AB3" s="17"/>
      <c r="AC3" s="17"/>
      <c r="AD3" s="17"/>
      <c r="AE3" s="17"/>
    </row>
    <row r="4" ht="77.25" customHeight="1">
      <c r="A4" s="18"/>
      <c r="B4" s="19" t="s">
        <v>2</v>
      </c>
      <c r="C4" s="20"/>
      <c r="H4" s="21"/>
      <c r="I4" s="22"/>
      <c r="J4" s="22"/>
      <c r="K4" s="22"/>
      <c r="L4" s="22"/>
      <c r="M4" s="22"/>
      <c r="N4" s="13"/>
      <c r="O4" s="21"/>
      <c r="P4" s="13"/>
      <c r="Q4" s="13"/>
      <c r="R4" s="21"/>
      <c r="S4" s="13"/>
      <c r="T4" s="13"/>
      <c r="U4" s="13"/>
      <c r="V4" s="23"/>
      <c r="W4" s="21"/>
      <c r="X4" s="13"/>
      <c r="Y4" s="13"/>
      <c r="Z4" s="13"/>
      <c r="AA4" s="17"/>
      <c r="AB4" s="17"/>
      <c r="AC4" s="17"/>
      <c r="AD4" s="17"/>
      <c r="AE4" s="17"/>
    </row>
    <row r="5" ht="40.5" customHeight="1">
      <c r="A5" s="24">
        <v>2.0</v>
      </c>
      <c r="B5" s="25"/>
      <c r="C5" s="25"/>
      <c r="D5" s="25"/>
      <c r="E5" s="26" t="s">
        <v>3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8"/>
      <c r="W5" s="27"/>
      <c r="X5" s="27"/>
      <c r="Y5" s="27"/>
      <c r="Z5" s="27"/>
      <c r="AA5" s="29"/>
      <c r="AB5" s="29"/>
      <c r="AC5" s="29"/>
      <c r="AD5" s="29"/>
      <c r="AE5" s="29"/>
    </row>
    <row r="6">
      <c r="A6" s="30" t="s">
        <v>4</v>
      </c>
      <c r="B6" s="31" t="s">
        <v>5</v>
      </c>
      <c r="C6" s="32" t="s">
        <v>6</v>
      </c>
      <c r="D6" s="31" t="s">
        <v>7</v>
      </c>
      <c r="E6" s="33" t="s">
        <v>8</v>
      </c>
      <c r="F6" s="34" t="s">
        <v>9</v>
      </c>
      <c r="G6" s="33" t="s">
        <v>10</v>
      </c>
      <c r="H6" s="33" t="s">
        <v>11</v>
      </c>
      <c r="I6" s="33" t="s">
        <v>12</v>
      </c>
      <c r="J6" s="33" t="s">
        <v>13</v>
      </c>
      <c r="K6" s="33" t="s">
        <v>14</v>
      </c>
      <c r="L6" s="33" t="s">
        <v>15</v>
      </c>
      <c r="M6" s="33" t="s">
        <v>16</v>
      </c>
      <c r="N6" s="33" t="s">
        <v>17</v>
      </c>
      <c r="O6" s="33" t="s">
        <v>18</v>
      </c>
      <c r="P6" s="33" t="s">
        <v>19</v>
      </c>
      <c r="Q6" s="33" t="s">
        <v>20</v>
      </c>
      <c r="R6" s="33" t="s">
        <v>21</v>
      </c>
      <c r="S6" s="33" t="s">
        <v>22</v>
      </c>
      <c r="T6" s="33" t="s">
        <v>23</v>
      </c>
      <c r="U6" s="33" t="s">
        <v>24</v>
      </c>
      <c r="V6" s="35" t="s">
        <v>25</v>
      </c>
      <c r="W6" s="33" t="s">
        <v>26</v>
      </c>
      <c r="X6" s="33" t="s">
        <v>27</v>
      </c>
      <c r="Y6" s="33" t="s">
        <v>28</v>
      </c>
      <c r="Z6" s="33" t="s">
        <v>29</v>
      </c>
      <c r="AA6" s="30" t="s">
        <v>30</v>
      </c>
      <c r="AB6" s="30" t="s">
        <v>31</v>
      </c>
      <c r="AC6" s="36"/>
      <c r="AD6" s="36"/>
      <c r="AE6" s="36"/>
    </row>
    <row r="7">
      <c r="A7" s="37" t="s">
        <v>32</v>
      </c>
      <c r="B7" s="38">
        <f>IFERROR(__xludf.DUMMYFUNCTION("GOOGLEFINANCE(A7)"),95.98)</f>
        <v>95.98</v>
      </c>
      <c r="C7" s="38">
        <f>IFERROR(__xludf.DUMMYFUNCTION("GOOGLEFINANCE($A7,""high52"")"),102.66)</f>
        <v>102.66</v>
      </c>
      <c r="D7" s="39">
        <f t="shared" ref="D7:D18" si="1">(B7-C7)/C7</f>
        <v>-0.06506916034</v>
      </c>
      <c r="E7" s="40" t="str">
        <f>VLOOKUP($A7,'Dados ClubeFII'!$A:$AU,column(E7)-$A$5,0)</f>
        <v>Urca Prime Renda</v>
      </c>
      <c r="F7" s="40" t="str">
        <f>VLOOKUP($A7,'Dados ClubeFII'!$A:$AU,column(F7)-$A$5,0)</f>
        <v>URCA GESTÃO</v>
      </c>
      <c r="G7" s="40" t="str">
        <f>VLOOKUP($A7,'Dados ClubeFII'!$A:$AU,column(G7)-$A$5,0)</f>
        <v>Recebíveis Imobiliários</v>
      </c>
      <c r="H7" s="41">
        <f>MID(VLOOKUP($A7,'Dados ClubeFII'!$A:$AU,column(H7)-$A$5,0),3,100)/mid(VLOOKUP($A7,'Dados ClubeFII'!$A:$AU,2,0),4,SEARCH(",",VLOOKUP($A7,'Dados ClubeFII'!$A:$AU,2,0))-1)*B7</f>
        <v>12572136857</v>
      </c>
      <c r="I7" s="41">
        <f>MID(VLOOKUP($A7,'Dados ClubeFII'!$A:$AU,column(I7)-$A$5,0),3,100)/1</f>
        <v>1156551277</v>
      </c>
      <c r="J7" s="42">
        <f>VLOOKUP($A7,'Dados ClubeFII'!$A:$AU,column(J7)-$A$5,0)/mid(VLOOKUP($A7,'Dados ClubeFII'!$A:$AU,2,0),3,SEARCH(",",VLOOKUP($A7,'Dados ClubeFII'!$A:$AU,2,0)))*B7</f>
        <v>0.9709661103</v>
      </c>
      <c r="K7" s="41">
        <f>if(VLOOKUP($A7,'Dados ClubeFII'!$A:$AU,column(K7)-$A$5,0)="N/D",0,MID(VLOOKUP($A7,'Dados ClubeFII'!$A:$AU,column(K7)-$A$5,0),3,100)/1)/mid(VLOOKUP($A7,'Dados ClubeFII'!$A:$AU,2,0),3,SEARCH(",",VLOOKUP($A7,'Dados ClubeFII'!$A:$AU,2,0)))*B7</f>
        <v>0</v>
      </c>
      <c r="L7" s="41">
        <f>if(VLOOKUP($A7,'Dados ClubeFII'!$A:$AU,column(L7)-$A$5,0)="N/D",0,MID(VLOOKUP($A7,'Dados ClubeFII'!$A:$AU,column(L7)-$A$5,0),3,100)/1)</f>
        <v>0</v>
      </c>
      <c r="M7" s="41">
        <f>MID(VLOOKUP($A7,'Dados ClubeFII'!$A:$AU,column(M7)-$A$5,0),3,100)/1</f>
        <v>1.25</v>
      </c>
      <c r="N7" s="41">
        <f>MID(VLOOKUP($A7,'Dados ClubeFII'!$A:$AU,column(N7)-$A$5,0),3,100)/1</f>
        <v>0</v>
      </c>
      <c r="O7" s="41">
        <f>LEFT(VLOOKUP($A7,'Dados ClubeFII'!$A:$AU,column(O7)-$A$5,0),len(VLOOKUP($A7,'Dados ClubeFII'!$A:$AU,column(O7)-$A$5,0))-2)/1</f>
        <v>0</v>
      </c>
      <c r="P7" s="43">
        <f>VLOOKUP($A7,'Dados ClubeFII'!$A:$AU,column(P7)-$A$5,0)</f>
        <v>44971</v>
      </c>
      <c r="Q7" s="44">
        <f>VLOOKUP($A7,'Dados ClubeFII'!$A:$AU,column(Q7)-$A$5,0)/mid(VLOOKUP($A7,'Dados ClubeFII'!$A:$AU,2,0),3,SEARCH(",",VLOOKUP($A7,'Dados ClubeFII'!$A:$AU,2,0)))*B7</f>
        <v>0.1572965099</v>
      </c>
      <c r="R7" s="44">
        <f>VLOOKUP($A7,'Dados ClubeFII'!$A:$AU,column(R7)-$A$5,0)/mid(VLOOKUP($A7,'Dados ClubeFII'!$A:$AU,2,0),3,SEARCH(",",VLOOKUP($A7,'Dados ClubeFII'!$A:$AU,2,0)))*B7</f>
        <v>0.1741913202</v>
      </c>
      <c r="S7" s="43">
        <f>VLOOKUP($A7,'Dados ClubeFII'!$A:$AU,column(S7)-$A$5,0)</f>
        <v>44070</v>
      </c>
      <c r="T7" s="41">
        <f>MID(VLOOKUP($A7,'Dados ClubeFII'!$A:$AU,column(T7)-$A$5,0),3,100)/1</f>
        <v>100</v>
      </c>
      <c r="U7" s="45">
        <f>VLOOKUP($A7,'Dados ClubeFII'!$A:$AU,column(U7)-$A$5,0)/mid(VLOOKUP($A7,'Dados ClubeFII'!$A:$AU,2,0),4,SEARCH(",",VLOOKUP($A7,'Dados ClubeFII'!$A:$AU,2,0))-1)*B7</f>
        <v>-0.1941290395</v>
      </c>
      <c r="V7" s="42" t="str">
        <f>VLOOKUP($A7,'Dados ClubeFII'!$A:$AU,column(V7)-$A$5,0)</f>
        <v>N/D</v>
      </c>
      <c r="W7" s="43" t="str">
        <f>VLOOKUP($A7,'Dados ClubeFII'!$A:$AU,column(W7)-$A$5,0)</f>
        <v>N/D</v>
      </c>
      <c r="X7" s="45">
        <f>VLOOKUP($A7,'Dados ClubeFII'!$A:$AU,column(X7)-$A$5,0)</f>
        <v>0.0107</v>
      </c>
      <c r="Y7" s="41">
        <f>MID(VLOOKUP($A7,'Dados ClubeFII'!$A:$AU,column(Y7)-$A$5,0),3,100)/1</f>
        <v>2248141.78</v>
      </c>
      <c r="Z7" s="46">
        <f>VLOOKUP($A7,'Dados ClubeFII'!$A:$AU,column(Z7)-$A$5,0)</f>
        <v>92541</v>
      </c>
      <c r="AA7" s="47">
        <f t="shared" ref="AA7:AA207" si="2">ROUNDDOWN(H7/B7)</f>
        <v>130987047</v>
      </c>
      <c r="AB7" s="48">
        <f t="shared" ref="AB7:AB207" si="3">I7/AA7</f>
        <v>8.829508747</v>
      </c>
      <c r="AC7" s="48"/>
      <c r="AD7" s="48"/>
      <c r="AE7" s="48"/>
    </row>
    <row r="8">
      <c r="A8" s="49" t="s">
        <v>33</v>
      </c>
      <c r="B8" s="38">
        <f>IFERROR(__xludf.DUMMYFUNCTION("GOOGLEFINANCE(A8)"),79.99)</f>
        <v>79.99</v>
      </c>
      <c r="C8" s="38">
        <f>IFERROR(__xludf.DUMMYFUNCTION("GOOGLEFINANCE($A8,""high52"")"),92.84)</f>
        <v>92.84</v>
      </c>
      <c r="D8" s="39">
        <f t="shared" si="1"/>
        <v>-0.138410168</v>
      </c>
      <c r="E8" s="40" t="str">
        <f>VLOOKUP($A8,'Dados ClubeFII'!$A:$AU,column(E8)-$A$5,0)</f>
        <v>Barigui Rendimentos</v>
      </c>
      <c r="F8" s="40" t="str">
        <f>VLOOKUP($A8,'Dados ClubeFII'!$A:$AU,column(F8)-$A$5,0)</f>
        <v>BARI ASSET</v>
      </c>
      <c r="G8" s="40" t="str">
        <f>VLOOKUP($A8,'Dados ClubeFII'!$A:$AU,column(G8)-$A$5,0)</f>
        <v>Recebíveis Imobiliários</v>
      </c>
      <c r="H8" s="41">
        <f>MID(VLOOKUP($A8,'Dados ClubeFII'!$A:$AU,column(H8)-$A$5,0),3,100)/mid(VLOOKUP($A8,'Dados ClubeFII'!$A:$AU,2,0),4,SEARCH(",",VLOOKUP($A8,'Dados ClubeFII'!$A:$AU,2,0))-1)*B8</f>
        <v>9826198835</v>
      </c>
      <c r="I8" s="41">
        <f>MID(VLOOKUP($A8,'Dados ClubeFII'!$A:$AU,column(I8)-$A$5,0),3,100)/1</f>
        <v>441182476.8</v>
      </c>
      <c r="J8" s="42">
        <f>VLOOKUP($A8,'Dados ClubeFII'!$A:$AU,column(J8)-$A$5,0)/mid(VLOOKUP($A8,'Dados ClubeFII'!$A:$AU,2,0),3,SEARCH(",",VLOOKUP($A8,'Dados ClubeFII'!$A:$AU,2,0)))*B8</f>
        <v>0.846556825</v>
      </c>
      <c r="K8" s="41">
        <f>if(VLOOKUP($A8,'Dados ClubeFII'!$A:$AU,column(K8)-$A$5,0)="N/D",0,MID(VLOOKUP($A8,'Dados ClubeFII'!$A:$AU,column(K8)-$A$5,0),3,100)/1)/mid(VLOOKUP($A8,'Dados ClubeFII'!$A:$AU,2,0),3,SEARCH(",",VLOOKUP($A8,'Dados ClubeFII'!$A:$AU,2,0)))*B8</f>
        <v>0</v>
      </c>
      <c r="L8" s="41">
        <f>if(VLOOKUP($A8,'Dados ClubeFII'!$A:$AU,column(L8)-$A$5,0)="N/D",0,MID(VLOOKUP($A8,'Dados ClubeFII'!$A:$AU,column(L8)-$A$5,0),3,100)/1)</f>
        <v>0</v>
      </c>
      <c r="M8" s="41">
        <f>MID(VLOOKUP($A8,'Dados ClubeFII'!$A:$AU,column(M8)-$A$5,0),3,100)/1</f>
        <v>0.9</v>
      </c>
      <c r="N8" s="41">
        <f>MID(VLOOKUP($A8,'Dados ClubeFII'!$A:$AU,column(N8)-$A$5,0),3,100)/1</f>
        <v>0</v>
      </c>
      <c r="O8" s="41">
        <f>LEFT(VLOOKUP($A8,'Dados ClubeFII'!$A:$AU,column(O8)-$A$5,0),len(VLOOKUP($A8,'Dados ClubeFII'!$A:$AU,column(O8)-$A$5,0))-2)/1</f>
        <v>0</v>
      </c>
      <c r="P8" s="43">
        <f>VLOOKUP($A8,'Dados ClubeFII'!$A:$AU,column(P8)-$A$5,0)</f>
        <v>44980</v>
      </c>
      <c r="Q8" s="44">
        <f>VLOOKUP($A8,'Dados ClubeFII'!$A:$AU,column(Q8)-$A$5,0)/mid(VLOOKUP($A8,'Dados ClubeFII'!$A:$AU,2,0),3,SEARCH(",",VLOOKUP($A8,'Dados ClubeFII'!$A:$AU,2,0)))*B8</f>
        <v>0.1320821046</v>
      </c>
      <c r="R8" s="44">
        <f>VLOOKUP($A8,'Dados ClubeFII'!$A:$AU,column(R8)-$A$5,0)/mid(VLOOKUP($A8,'Dados ClubeFII'!$A:$AU,2,0),3,SEARCH(",",VLOOKUP($A8,'Dados ClubeFII'!$A:$AU,2,0)))*B8</f>
        <v>0.1567092123</v>
      </c>
      <c r="S8" s="43">
        <f>VLOOKUP($A8,'Dados ClubeFII'!$A:$AU,column(S8)-$A$5,0)</f>
        <v>43637</v>
      </c>
      <c r="T8" s="41">
        <f>MID(VLOOKUP($A8,'Dados ClubeFII'!$A:$AU,column(T8)-$A$5,0),3,100)/1</f>
        <v>100</v>
      </c>
      <c r="U8" s="45">
        <f>VLOOKUP($A8,'Dados ClubeFII'!$A:$AU,column(U8)-$A$5,0)/mid(VLOOKUP($A8,'Dados ClubeFII'!$A:$AU,2,0),4,SEARCH(",",VLOOKUP($A8,'Dados ClubeFII'!$A:$AU,2,0))-1)*B8</f>
        <v>-1.188422857</v>
      </c>
      <c r="V8" s="42" t="str">
        <f>VLOOKUP($A8,'Dados ClubeFII'!$A:$AU,column(V8)-$A$5,0)</f>
        <v>N/D</v>
      </c>
      <c r="W8" s="43" t="str">
        <f>VLOOKUP($A8,'Dados ClubeFII'!$A:$AU,column(W8)-$A$5,0)</f>
        <v>N/D</v>
      </c>
      <c r="X8" s="45">
        <f>VLOOKUP($A8,'Dados ClubeFII'!$A:$AU,column(X8)-$A$5,0)</f>
        <v>0.0037</v>
      </c>
      <c r="Y8" s="41">
        <f>MID(VLOOKUP($A8,'Dados ClubeFII'!$A:$AU,column(Y8)-$A$5,0),3,100)/1</f>
        <v>815559.04</v>
      </c>
      <c r="Z8" s="46">
        <f>VLOOKUP($A8,'Dados ClubeFII'!$A:$AU,column(Z8)-$A$5,0)</f>
        <v>39858</v>
      </c>
      <c r="AA8" s="47">
        <f t="shared" si="2"/>
        <v>122842840</v>
      </c>
      <c r="AB8" s="48">
        <f t="shared" si="3"/>
        <v>3.591438271</v>
      </c>
      <c r="AC8" s="48"/>
      <c r="AD8" s="48"/>
      <c r="AE8" s="48"/>
    </row>
    <row r="9">
      <c r="A9" s="50" t="s">
        <v>34</v>
      </c>
      <c r="B9" s="38">
        <f>IFERROR(__xludf.DUMMYFUNCTION("GOOGLEFINANCE(A9)"),72.58)</f>
        <v>72.58</v>
      </c>
      <c r="C9" s="38">
        <f>IFERROR(__xludf.DUMMYFUNCTION("GOOGLEFINANCE($A9,""high52"")"),92.9)</f>
        <v>92.9</v>
      </c>
      <c r="D9" s="39">
        <f t="shared" si="1"/>
        <v>-0.218729817</v>
      </c>
      <c r="E9" s="40" t="str">
        <f>VLOOKUP($A9,'Dados ClubeFII'!$A:$AU,column(E9)-$A$5,0)</f>
        <v>Devant Recebíveis Imobiliários</v>
      </c>
      <c r="F9" s="40" t="str">
        <f>VLOOKUP($A9,'Dados ClubeFII'!$A:$AU,column(F9)-$A$5,0)</f>
        <v>DEVANT ASSET</v>
      </c>
      <c r="G9" s="40" t="str">
        <f>VLOOKUP($A9,'Dados ClubeFII'!$A:$AU,column(G9)-$A$5,0)</f>
        <v>Recebíveis Imobiliários</v>
      </c>
      <c r="H9" s="41">
        <f>MID(VLOOKUP($A9,'Dados ClubeFII'!$A:$AU,column(H9)-$A$5,0),3,100)/mid(VLOOKUP($A9,'Dados ClubeFII'!$A:$AU,2,0),4,SEARCH(",",VLOOKUP($A9,'Dados ClubeFII'!$A:$AU,2,0))-1)*B9</f>
        <v>16887453638</v>
      </c>
      <c r="I9" s="41">
        <f>MID(VLOOKUP($A9,'Dados ClubeFII'!$A:$AU,column(I9)-$A$5,0),3,100)/1</f>
        <v>1420869974</v>
      </c>
      <c r="J9" s="42">
        <f>VLOOKUP($A9,'Dados ClubeFII'!$A:$AU,column(J9)-$A$5,0)/mid(VLOOKUP($A9,'Dados ClubeFII'!$A:$AU,2,0),3,SEARCH(",",VLOOKUP($A9,'Dados ClubeFII'!$A:$AU,2,0)))*B9</f>
        <v>0.71625</v>
      </c>
      <c r="K9" s="41">
        <f>if(VLOOKUP($A9,'Dados ClubeFII'!$A:$AU,column(K9)-$A$5,0)="N/D",0,MID(VLOOKUP($A9,'Dados ClubeFII'!$A:$AU,column(K9)-$A$5,0),3,100)/1)/mid(VLOOKUP($A9,'Dados ClubeFII'!$A:$AU,2,0),3,SEARCH(",",VLOOKUP($A9,'Dados ClubeFII'!$A:$AU,2,0)))*B9</f>
        <v>0</v>
      </c>
      <c r="L9" s="41">
        <f>if(VLOOKUP($A9,'Dados ClubeFII'!$A:$AU,column(L9)-$A$5,0)="N/D",0,MID(VLOOKUP($A9,'Dados ClubeFII'!$A:$AU,column(L9)-$A$5,0),3,100)/1)</f>
        <v>0</v>
      </c>
      <c r="M9" s="41">
        <f>MID(VLOOKUP($A9,'Dados ClubeFII'!$A:$AU,column(M9)-$A$5,0),3,100)/1</f>
        <v>1.1</v>
      </c>
      <c r="N9" s="41">
        <f>MID(VLOOKUP($A9,'Dados ClubeFII'!$A:$AU,column(N9)-$A$5,0),3,100)/1</f>
        <v>0</v>
      </c>
      <c r="O9" s="41">
        <f>LEFT(VLOOKUP($A9,'Dados ClubeFII'!$A:$AU,column(O9)-$A$5,0),len(VLOOKUP($A9,'Dados ClubeFII'!$A:$AU,column(O9)-$A$5,0))-2)/1</f>
        <v>0</v>
      </c>
      <c r="P9" s="43">
        <f>VLOOKUP($A9,'Dados ClubeFII'!$A:$AU,column(P9)-$A$5,0)</f>
        <v>44971</v>
      </c>
      <c r="Q9" s="44">
        <f>VLOOKUP($A9,'Dados ClubeFII'!$A:$AU,column(Q9)-$A$5,0)/mid(VLOOKUP($A9,'Dados ClubeFII'!$A:$AU,2,0),3,SEARCH(",",VLOOKUP($A9,'Dados ClubeFII'!$A:$AU,2,0)))*B9</f>
        <v>0.1425678571</v>
      </c>
      <c r="R9" s="44">
        <f>VLOOKUP($A9,'Dados ClubeFII'!$A:$AU,column(R9)-$A$5,0)/mid(VLOOKUP($A9,'Dados ClubeFII'!$A:$AU,2,0),3,SEARCH(",",VLOOKUP($A9,'Dados ClubeFII'!$A:$AU,2,0)))*B9</f>
        <v>0.1337852679</v>
      </c>
      <c r="S9" s="43">
        <f>VLOOKUP($A9,'Dados ClubeFII'!$A:$AU,column(S9)-$A$5,0)</f>
        <v>44069</v>
      </c>
      <c r="T9" s="41">
        <f>MID(VLOOKUP($A9,'Dados ClubeFII'!$A:$AU,column(T9)-$A$5,0),3,100)/1</f>
        <v>100</v>
      </c>
      <c r="U9" s="45">
        <f>VLOOKUP($A9,'Dados ClubeFII'!$A:$AU,column(U9)-$A$5,0)/mid(VLOOKUP($A9,'Dados ClubeFII'!$A:$AU,2,0),4,SEARCH(",",VLOOKUP($A9,'Dados ClubeFII'!$A:$AU,2,0))-1)*B9</f>
        <v>-0.3955042969</v>
      </c>
      <c r="V9" s="42" t="str">
        <f>VLOOKUP($A9,'Dados ClubeFII'!$A:$AU,column(V9)-$A$5,0)</f>
        <v>N/D</v>
      </c>
      <c r="W9" s="43" t="str">
        <f>VLOOKUP($A9,'Dados ClubeFII'!$A:$AU,column(W9)-$A$5,0)</f>
        <v>N/D</v>
      </c>
      <c r="X9" s="45">
        <f>VLOOKUP($A9,'Dados ClubeFII'!$A:$AU,column(X9)-$A$5,0)</f>
        <v>0.0113</v>
      </c>
      <c r="Y9" s="41">
        <f>MID(VLOOKUP($A9,'Dados ClubeFII'!$A:$AU,column(Y9)-$A$5,0),3,100)/1</f>
        <v>2579674.47</v>
      </c>
      <c r="Z9" s="46">
        <f>VLOOKUP($A9,'Dados ClubeFII'!$A:$AU,column(Z9)-$A$5,0)</f>
        <v>132215</v>
      </c>
      <c r="AA9" s="47">
        <f t="shared" si="2"/>
        <v>232673651</v>
      </c>
      <c r="AB9" s="48">
        <f t="shared" si="3"/>
        <v>6.10670769</v>
      </c>
      <c r="AC9" s="48"/>
      <c r="AD9" s="48"/>
      <c r="AE9" s="48"/>
    </row>
    <row r="10">
      <c r="A10" s="49" t="s">
        <v>35</v>
      </c>
      <c r="B10" s="38">
        <f>IFERROR(__xludf.DUMMYFUNCTION("GOOGLEFINANCE(A10)"),180.0)</f>
        <v>180</v>
      </c>
      <c r="C10" s="38">
        <f>IFERROR(__xludf.DUMMYFUNCTION("GOOGLEFINANCE($A10,""high52"")"),253.9)</f>
        <v>253.9</v>
      </c>
      <c r="D10" s="39">
        <f t="shared" si="1"/>
        <v>-0.2910594722</v>
      </c>
      <c r="E10" s="40" t="str">
        <f>VLOOKUP($A10,'Dados ClubeFII'!$A:$AU,column(E10)-$A$5,0)</f>
        <v>Singulare FII</v>
      </c>
      <c r="F10" s="40" t="str">
        <f>VLOOKUP($A10,'Dados ClubeFII'!$A:$AU,column(F10)-$A$5,0)</f>
        <v>SINGULARE</v>
      </c>
      <c r="G10" s="40" t="str">
        <f>VLOOKUP($A10,'Dados ClubeFII'!$A:$AU,column(G10)-$A$5,0)</f>
        <v>Recebíveis Imobiliários</v>
      </c>
      <c r="H10" s="41">
        <f>MID(VLOOKUP($A10,'Dados ClubeFII'!$A:$AU,column(H10)-$A$5,0),3,100)/mid(VLOOKUP($A10,'Dados ClubeFII'!$A:$AU,2,0),4,SEARCH(",",VLOOKUP($A10,'Dados ClubeFII'!$A:$AU,2,0))-1)*B10</f>
        <v>94652332380</v>
      </c>
      <c r="I10" s="41">
        <f>MID(VLOOKUP($A10,'Dados ClubeFII'!$A:$AU,column(I10)-$A$5,0),3,100)/1</f>
        <v>7487655.25</v>
      </c>
      <c r="J10" s="42">
        <f>VLOOKUP($A10,'Dados ClubeFII'!$A:$AU,column(J10)-$A$5,0)/mid(VLOOKUP($A10,'Dados ClubeFII'!$A:$AU,2,0),3,SEARCH(",",VLOOKUP($A10,'Dados ClubeFII'!$A:$AU,2,0)))*B10</f>
        <v>0.6299685016</v>
      </c>
      <c r="K10" s="41">
        <f>if(VLOOKUP($A10,'Dados ClubeFII'!$A:$AU,column(K10)-$A$5,0)="N/D",0,MID(VLOOKUP($A10,'Dados ClubeFII'!$A:$AU,column(K10)-$A$5,0),3,100)/1)/mid(VLOOKUP($A10,'Dados ClubeFII'!$A:$AU,2,0),3,SEARCH(",",VLOOKUP($A10,'Dados ClubeFII'!$A:$AU,2,0)))*B10</f>
        <v>0</v>
      </c>
      <c r="L10" s="41">
        <f>if(VLOOKUP($A10,'Dados ClubeFII'!$A:$AU,column(L10)-$A$5,0)="N/D",0,MID(VLOOKUP($A10,'Dados ClubeFII'!$A:$AU,column(L10)-$A$5,0),3,100)/1)</f>
        <v>0</v>
      </c>
      <c r="M10" s="41">
        <f>MID(VLOOKUP($A10,'Dados ClubeFII'!$A:$AU,column(M10)-$A$5,0),3,100)/1</f>
        <v>2.78</v>
      </c>
      <c r="N10" s="41">
        <f>MID(VLOOKUP($A10,'Dados ClubeFII'!$A:$AU,column(N10)-$A$5,0),3,100)/1</f>
        <v>0</v>
      </c>
      <c r="O10" s="41">
        <f>LEFT(VLOOKUP($A10,'Dados ClubeFII'!$A:$AU,column(O10)-$A$5,0),len(VLOOKUP($A10,'Dados ClubeFII'!$A:$AU,column(O10)-$A$5,0))-2)/1</f>
        <v>0</v>
      </c>
      <c r="P10" s="43">
        <f>VLOOKUP($A10,'Dados ClubeFII'!$A:$AU,column(P10)-$A$5,0)</f>
        <v>44939</v>
      </c>
      <c r="Q10" s="44">
        <f>VLOOKUP($A10,'Dados ClubeFII'!$A:$AU,column(Q10)-$A$5,0)/mid(VLOOKUP($A10,'Dados ClubeFII'!$A:$AU,2,0),3,SEARCH(",",VLOOKUP($A10,'Dados ClubeFII'!$A:$AU,2,0)))*B10</f>
        <v>0.1621718914</v>
      </c>
      <c r="R10" s="44">
        <f>VLOOKUP($A10,'Dados ClubeFII'!$A:$AU,column(R10)-$A$5,0)/mid(VLOOKUP($A10,'Dados ClubeFII'!$A:$AU,2,0),3,SEARCH(",",VLOOKUP($A10,'Dados ClubeFII'!$A:$AU,2,0)))*B10</f>
        <v>0.1468726564</v>
      </c>
      <c r="S10" s="43">
        <f>VLOOKUP($A10,'Dados ClubeFII'!$A:$AU,column(S10)-$A$5,0)</f>
        <v>41785</v>
      </c>
      <c r="T10" s="41">
        <f>MID(VLOOKUP($A10,'Dados ClubeFII'!$A:$AU,column(T10)-$A$5,0),3,100)/1</f>
        <v>1000</v>
      </c>
      <c r="U10" s="45">
        <f>VLOOKUP($A10,'Dados ClubeFII'!$A:$AU,column(U10)-$A$5,0)/mid(VLOOKUP($A10,'Dados ClubeFII'!$A:$AU,2,0),4,SEARCH(",",VLOOKUP($A10,'Dados ClubeFII'!$A:$AU,2,0))-1)*B10</f>
        <v>-2577.6</v>
      </c>
      <c r="V10" s="42" t="str">
        <f>VLOOKUP($A10,'Dados ClubeFII'!$A:$AU,column(V10)-$A$5,0)</f>
        <v>N/D</v>
      </c>
      <c r="W10" s="43" t="str">
        <f>VLOOKUP($A10,'Dados ClubeFII'!$A:$AU,column(W10)-$A$5,0)</f>
        <v>N/D</v>
      </c>
      <c r="X10" s="45">
        <f>VLOOKUP($A10,'Dados ClubeFII'!$A:$AU,column(X10)-$A$5,0)</f>
        <v>0</v>
      </c>
      <c r="Y10" s="41">
        <f>MID(VLOOKUP($A10,'Dados ClubeFII'!$A:$AU,column(Y10)-$A$5,0),3,100)/1</f>
        <v>936.25</v>
      </c>
      <c r="Z10" s="46">
        <f>VLOOKUP($A10,'Dados ClubeFII'!$A:$AU,column(Z10)-$A$5,0)</f>
        <v>66</v>
      </c>
      <c r="AA10" s="47">
        <f t="shared" si="2"/>
        <v>525846291</v>
      </c>
      <c r="AB10" s="48">
        <f t="shared" si="3"/>
        <v>0.01423924705</v>
      </c>
      <c r="AC10" s="48"/>
      <c r="AD10" s="48"/>
      <c r="AE10" s="48"/>
    </row>
    <row r="11">
      <c r="A11" s="51" t="s">
        <v>36</v>
      </c>
      <c r="B11" s="38">
        <f>IFERROR(__xludf.DUMMYFUNCTION("GOOGLEFINANCE(A11)"),71.9)</f>
        <v>71.9</v>
      </c>
      <c r="C11" s="38">
        <f>IFERROR(__xludf.DUMMYFUNCTION("GOOGLEFINANCE($A11,""high52"")"),104.64)</f>
        <v>104.64</v>
      </c>
      <c r="D11" s="39">
        <f t="shared" si="1"/>
        <v>-0.312882263</v>
      </c>
      <c r="E11" s="40" t="str">
        <f>VLOOKUP($A11,'Dados ClubeFII'!$A:$AU,column(E11)-$A$5,0)</f>
        <v>Hectare CE</v>
      </c>
      <c r="F11" s="40" t="str">
        <f>VLOOKUP($A11,'Dados ClubeFII'!$A:$AU,column(F11)-$A$5,0)</f>
        <v>HECTARE CAPITAL</v>
      </c>
      <c r="G11" s="40" t="str">
        <f>VLOOKUP($A11,'Dados ClubeFII'!$A:$AU,column(G11)-$A$5,0)</f>
        <v>Recebíveis Imobiliários</v>
      </c>
      <c r="H11" s="41">
        <f>MID(VLOOKUP($A11,'Dados ClubeFII'!$A:$AU,column(H11)-$A$5,0),3,100)/mid(VLOOKUP($A11,'Dados ClubeFII'!$A:$AU,2,0),4,SEARCH(",",VLOOKUP($A11,'Dados ClubeFII'!$A:$AU,2,0))-1)*B11</f>
        <v>21335158991</v>
      </c>
      <c r="I11" s="41">
        <f>MID(VLOOKUP($A11,'Dados ClubeFII'!$A:$AU,column(I11)-$A$5,0),3,100)/1</f>
        <v>2662283879</v>
      </c>
      <c r="J11" s="42">
        <f>VLOOKUP($A11,'Dados ClubeFII'!$A:$AU,column(J11)-$A$5,0)/mid(VLOOKUP($A11,'Dados ClubeFII'!$A:$AU,2,0),3,SEARCH(",",VLOOKUP($A11,'Dados ClubeFII'!$A:$AU,2,0)))*B11</f>
        <v>0.6220440651</v>
      </c>
      <c r="K11" s="41">
        <f>if(VLOOKUP($A11,'Dados ClubeFII'!$A:$AU,column(K11)-$A$5,0)="N/D",0,MID(VLOOKUP($A11,'Dados ClubeFII'!$A:$AU,column(K11)-$A$5,0),3,100)/1)/mid(VLOOKUP($A11,'Dados ClubeFII'!$A:$AU,2,0),3,SEARCH(",",VLOOKUP($A11,'Dados ClubeFII'!$A:$AU,2,0)))*B11</f>
        <v>0</v>
      </c>
      <c r="L11" s="41">
        <f>if(VLOOKUP($A11,'Dados ClubeFII'!$A:$AU,column(L11)-$A$5,0)="N/D",0,MID(VLOOKUP($A11,'Dados ClubeFII'!$A:$AU,column(L11)-$A$5,0),3,100)/1)</f>
        <v>0</v>
      </c>
      <c r="M11" s="41">
        <f>MID(VLOOKUP($A11,'Dados ClubeFII'!$A:$AU,column(M11)-$A$5,0),3,100)/1</f>
        <v>1</v>
      </c>
      <c r="N11" s="41">
        <f>MID(VLOOKUP($A11,'Dados ClubeFII'!$A:$AU,column(N11)-$A$5,0),3,100)/1</f>
        <v>0</v>
      </c>
      <c r="O11" s="41">
        <f>LEFT(VLOOKUP($A11,'Dados ClubeFII'!$A:$AU,column(O11)-$A$5,0),len(VLOOKUP($A11,'Dados ClubeFII'!$A:$AU,column(O11)-$A$5,0))-2)/1</f>
        <v>0</v>
      </c>
      <c r="P11" s="43">
        <f>VLOOKUP($A11,'Dados ClubeFII'!$A:$AU,column(P11)-$A$5,0)</f>
        <v>44971</v>
      </c>
      <c r="Q11" s="44">
        <f>VLOOKUP($A11,'Dados ClubeFII'!$A:$AU,column(Q11)-$A$5,0)/mid(VLOOKUP($A11,'Dados ClubeFII'!$A:$AU,2,0),3,SEARCH(",",VLOOKUP($A11,'Dados ClubeFII'!$A:$AU,2,0)))*B11</f>
        <v>0.1177736763</v>
      </c>
      <c r="R11" s="44">
        <f>VLOOKUP($A11,'Dados ClubeFII'!$A:$AU,column(R11)-$A$5,0)/mid(VLOOKUP($A11,'Dados ClubeFII'!$A:$AU,2,0),3,SEARCH(",",VLOOKUP($A11,'Dados ClubeFII'!$A:$AU,2,0)))*B11</f>
        <v>0.1436507094</v>
      </c>
      <c r="S11" s="43">
        <f>VLOOKUP($A11,'Dados ClubeFII'!$A:$AU,column(S11)-$A$5,0)</f>
        <v>43657</v>
      </c>
      <c r="T11" s="41">
        <f>MID(VLOOKUP($A11,'Dados ClubeFII'!$A:$AU,column(T11)-$A$5,0),3,100)/1</f>
        <v>100</v>
      </c>
      <c r="U11" s="45">
        <f>VLOOKUP($A11,'Dados ClubeFII'!$A:$AU,column(U11)-$A$5,0)/mid(VLOOKUP($A11,'Dados ClubeFII'!$A:$AU,2,0),4,SEARCH(",",VLOOKUP($A11,'Dados ClubeFII'!$A:$AU,2,0))-1)*B11</f>
        <v>-1.110204783</v>
      </c>
      <c r="V11" s="42" t="str">
        <f>VLOOKUP($A11,'Dados ClubeFII'!$A:$AU,column(V11)-$A$5,0)</f>
        <v>N/D</v>
      </c>
      <c r="W11" s="43" t="str">
        <f>VLOOKUP($A11,'Dados ClubeFII'!$A:$AU,column(W11)-$A$5,0)</f>
        <v>N/D</v>
      </c>
      <c r="X11" s="45">
        <f>VLOOKUP($A11,'Dados ClubeFII'!$A:$AU,column(X11)-$A$5,0)</f>
        <v>0.0203</v>
      </c>
      <c r="Y11" s="41">
        <f>MID(VLOOKUP($A11,'Dados ClubeFII'!$A:$AU,column(Y11)-$A$5,0),3,100)/1</f>
        <v>3594320.74</v>
      </c>
      <c r="Z11" s="46">
        <f>VLOOKUP($A11,'Dados ClubeFII'!$A:$AU,column(Z11)-$A$5,0)</f>
        <v>211847</v>
      </c>
      <c r="AA11" s="47">
        <f t="shared" si="2"/>
        <v>296733782</v>
      </c>
      <c r="AB11" s="48">
        <f t="shared" si="3"/>
        <v>8.971960862</v>
      </c>
      <c r="AC11" s="48"/>
      <c r="AD11" s="48"/>
      <c r="AE11" s="48"/>
    </row>
    <row r="12">
      <c r="A12" s="37" t="s">
        <v>37</v>
      </c>
      <c r="B12" s="38">
        <f>IFERROR(__xludf.DUMMYFUNCTION("GOOGLEFINANCE(A12)"),4.97)</f>
        <v>4.97</v>
      </c>
      <c r="C12" s="38">
        <f>IFERROR(__xludf.DUMMYFUNCTION("GOOGLEFINANCE($A12,""high52"")"),7.95)</f>
        <v>7.95</v>
      </c>
      <c r="D12" s="39">
        <f t="shared" si="1"/>
        <v>-0.3748427673</v>
      </c>
      <c r="E12" s="40" t="str">
        <f>VLOOKUP($A12,'Dados ClubeFII'!$A:$AU,column(E12)-$A$5,0)</f>
        <v>Tordesilhas EI</v>
      </c>
      <c r="F12" s="40" t="str">
        <f>VLOOKUP($A12,'Dados ClubeFII'!$A:$AU,column(F12)-$A$5,0)</f>
        <v>R CAPITAL ASSET</v>
      </c>
      <c r="G12" s="40" t="str">
        <f>VLOOKUP($A12,'Dados ClubeFII'!$A:$AU,column(G12)-$A$5,0)</f>
        <v>Híbrido</v>
      </c>
      <c r="H12" s="41">
        <f>MID(VLOOKUP($A12,'Dados ClubeFII'!$A:$AU,column(H12)-$A$5,0),3,100)/mid(VLOOKUP($A12,'Dados ClubeFII'!$A:$AU,2,0),4,SEARCH(",",VLOOKUP($A12,'Dados ClubeFII'!$A:$AU,2,0))-1)*B12</f>
        <v>2732533533</v>
      </c>
      <c r="I12" s="41">
        <f>MID(VLOOKUP($A12,'Dados ClubeFII'!$A:$AU,column(I12)-$A$5,0),3,100)/1</f>
        <v>490440876.7</v>
      </c>
      <c r="J12" s="42">
        <f>VLOOKUP($A12,'Dados ClubeFII'!$A:$AU,column(J12)-$A$5,0)/mid(VLOOKUP($A12,'Dados ClubeFII'!$A:$AU,2,0),3,SEARCH(",",VLOOKUP($A12,'Dados ClubeFII'!$A:$AU,2,0)))*B12</f>
        <v>0.3622990654</v>
      </c>
      <c r="K12" s="41">
        <f>if(VLOOKUP($A12,'Dados ClubeFII'!$A:$AU,column(K12)-$A$5,0)="N/D",0,MID(VLOOKUP($A12,'Dados ClubeFII'!$A:$AU,column(K12)-$A$5,0),3,100)/1)/mid(VLOOKUP($A12,'Dados ClubeFII'!$A:$AU,2,0),3,SEARCH(",",VLOOKUP($A12,'Dados ClubeFII'!$A:$AU,2,0)))*B12</f>
        <v>0</v>
      </c>
      <c r="L12" s="41">
        <f>if(VLOOKUP($A12,'Dados ClubeFII'!$A:$AU,column(L12)-$A$5,0)="N/D",0,MID(VLOOKUP($A12,'Dados ClubeFII'!$A:$AU,column(L12)-$A$5,0),3,100)/1)</f>
        <v>0</v>
      </c>
      <c r="M12" s="41">
        <f>MID(VLOOKUP($A12,'Dados ClubeFII'!$A:$AU,column(M12)-$A$5,0),3,100)/1</f>
        <v>0.05</v>
      </c>
      <c r="N12" s="41">
        <f>MID(VLOOKUP($A12,'Dados ClubeFII'!$A:$AU,column(N12)-$A$5,0),3,100)/1</f>
        <v>0</v>
      </c>
      <c r="O12" s="41">
        <f>LEFT(VLOOKUP($A12,'Dados ClubeFII'!$A:$AU,column(O12)-$A$5,0),len(VLOOKUP($A12,'Dados ClubeFII'!$A:$AU,column(O12)-$A$5,0))-2)/1</f>
        <v>0</v>
      </c>
      <c r="P12" s="43">
        <f>VLOOKUP($A12,'Dados ClubeFII'!$A:$AU,column(P12)-$A$5,0)</f>
        <v>44971</v>
      </c>
      <c r="Q12" s="44">
        <f>VLOOKUP($A12,'Dados ClubeFII'!$A:$AU,column(Q12)-$A$5,0)/mid(VLOOKUP($A12,'Dados ClubeFII'!$A:$AU,2,0),3,SEARCH(",",VLOOKUP($A12,'Dados ClubeFII'!$A:$AU,2,0)))*B12</f>
        <v>0.1067388785</v>
      </c>
      <c r="R12" s="44">
        <f>VLOOKUP($A12,'Dados ClubeFII'!$A:$AU,column(R12)-$A$5,0)/mid(VLOOKUP($A12,'Dados ClubeFII'!$A:$AU,2,0),3,SEARCH(",",VLOOKUP($A12,'Dados ClubeFII'!$A:$AU,2,0)))*B12</f>
        <v>0.1505863551</v>
      </c>
      <c r="S12" s="43">
        <f>VLOOKUP($A12,'Dados ClubeFII'!$A:$AU,column(S12)-$A$5,0)</f>
        <v>43924</v>
      </c>
      <c r="T12" s="41">
        <f>MID(VLOOKUP($A12,'Dados ClubeFII'!$A:$AU,column(T12)-$A$5,0),3,100)/1</f>
        <v>10</v>
      </c>
      <c r="U12" s="45">
        <f>VLOOKUP($A12,'Dados ClubeFII'!$A:$AU,column(U12)-$A$5,0)/mid(VLOOKUP($A12,'Dados ClubeFII'!$A:$AU,2,0),4,SEARCH(",",VLOOKUP($A12,'Dados ClubeFII'!$A:$AU,2,0))-1)*B12</f>
        <v>-3.59402</v>
      </c>
      <c r="V12" s="42" t="str">
        <f>VLOOKUP($A12,'Dados ClubeFII'!$A:$AU,column(V12)-$A$5,0)</f>
        <v>N/D</v>
      </c>
      <c r="W12" s="43" t="str">
        <f>VLOOKUP($A12,'Dados ClubeFII'!$A:$AU,column(W12)-$A$5,0)</f>
        <v>N/D</v>
      </c>
      <c r="X12" s="45">
        <f>VLOOKUP($A12,'Dados ClubeFII'!$A:$AU,column(X12)-$A$5,0)</f>
        <v>0.0024</v>
      </c>
      <c r="Y12" s="41">
        <f>MID(VLOOKUP($A12,'Dados ClubeFII'!$A:$AU,column(Y12)-$A$5,0),3,100)/1</f>
        <v>582581.92</v>
      </c>
      <c r="Z12" s="46">
        <f>VLOOKUP($A12,'Dados ClubeFII'!$A:$AU,column(Z12)-$A$5,0)</f>
        <v>109225</v>
      </c>
      <c r="AA12" s="47">
        <f t="shared" si="2"/>
        <v>549805539</v>
      </c>
      <c r="AB12" s="48">
        <f t="shared" si="3"/>
        <v>0.8920260745</v>
      </c>
      <c r="AC12" s="48"/>
      <c r="AD12" s="48"/>
      <c r="AE12" s="48"/>
    </row>
    <row r="13">
      <c r="A13" s="49" t="s">
        <v>38</v>
      </c>
      <c r="B13" s="38">
        <f>IFERROR(__xludf.DUMMYFUNCTION("GOOGLEFINANCE(A13)"),81.5)</f>
        <v>81.5</v>
      </c>
      <c r="C13" s="38">
        <f>IFERROR(__xludf.DUMMYFUNCTION("GOOGLEFINANCE($A13,""high52"")"),94.05)</f>
        <v>94.05</v>
      </c>
      <c r="D13" s="39">
        <f t="shared" si="1"/>
        <v>-0.1334396598</v>
      </c>
      <c r="E13" s="40" t="str">
        <f>VLOOKUP($A13,'Dados ClubeFII'!$A:$AU,column(E13)-$A$5,0)</f>
        <v>REC Recebíveis Imobiliários</v>
      </c>
      <c r="F13" s="40" t="str">
        <f>VLOOKUP($A13,'Dados ClubeFII'!$A:$AU,column(F13)-$A$5,0)</f>
        <v>BRL TRUST</v>
      </c>
      <c r="G13" s="40" t="str">
        <f>VLOOKUP($A13,'Dados ClubeFII'!$A:$AU,column(G13)-$A$5,0)</f>
        <v>Recebíveis Imobiliários</v>
      </c>
      <c r="H13" s="41">
        <f>MID(VLOOKUP($A13,'Dados ClubeFII'!$A:$AU,column(H13)-$A$5,0),3,100)/mid(VLOOKUP($A13,'Dados ClubeFII'!$A:$AU,2,0),4,SEARCH(",",VLOOKUP($A13,'Dados ClubeFII'!$A:$AU,2,0))-1)*B13</f>
        <v>48632983422</v>
      </c>
      <c r="I13" s="41">
        <f>MID(VLOOKUP($A13,'Dados ClubeFII'!$A:$AU,column(I13)-$A$5,0),3,100)/1</f>
        <v>2520797689</v>
      </c>
      <c r="J13" s="42">
        <f>VLOOKUP($A13,'Dados ClubeFII'!$A:$AU,column(J13)-$A$5,0)/mid(VLOOKUP($A13,'Dados ClubeFII'!$A:$AU,2,0),3,SEARCH(",",VLOOKUP($A13,'Dados ClubeFII'!$A:$AU,2,0)))*B13</f>
        <v>0.856869773</v>
      </c>
      <c r="K13" s="41">
        <f>if(VLOOKUP($A13,'Dados ClubeFII'!$A:$AU,column(K13)-$A$5,0)="N/D",0,MID(VLOOKUP($A13,'Dados ClubeFII'!$A:$AU,column(K13)-$A$5,0),3,100)/1)/mid(VLOOKUP($A13,'Dados ClubeFII'!$A:$AU,2,0),3,SEARCH(",",VLOOKUP($A13,'Dados ClubeFII'!$A:$AU,2,0)))*B13</f>
        <v>0</v>
      </c>
      <c r="L13" s="41">
        <f>if(VLOOKUP($A13,'Dados ClubeFII'!$A:$AU,column(L13)-$A$5,0)="N/D",0,MID(VLOOKUP($A13,'Dados ClubeFII'!$A:$AU,column(L13)-$A$5,0),3,100)/1)</f>
        <v>0</v>
      </c>
      <c r="M13" s="41">
        <f>MID(VLOOKUP($A13,'Dados ClubeFII'!$A:$AU,column(M13)-$A$5,0),3,100)/1</f>
        <v>0.99</v>
      </c>
      <c r="N13" s="41">
        <f>MID(VLOOKUP($A13,'Dados ClubeFII'!$A:$AU,column(N13)-$A$5,0),3,100)/1</f>
        <v>0</v>
      </c>
      <c r="O13" s="41">
        <f>LEFT(VLOOKUP($A13,'Dados ClubeFII'!$A:$AU,column(O13)-$A$5,0),len(VLOOKUP($A13,'Dados ClubeFII'!$A:$AU,column(O13)-$A$5,0))-2)/1</f>
        <v>0</v>
      </c>
      <c r="P13" s="43">
        <f>VLOOKUP($A13,'Dados ClubeFII'!$A:$AU,column(P13)-$A$5,0)</f>
        <v>44971</v>
      </c>
      <c r="Q13" s="44">
        <f>VLOOKUP($A13,'Dados ClubeFII'!$A:$AU,column(Q13)-$A$5,0)/mid(VLOOKUP($A13,'Dados ClubeFII'!$A:$AU,2,0),3,SEARCH(",",VLOOKUP($A13,'Dados ClubeFII'!$A:$AU,2,0)))*B13</f>
        <v>0.1479074074</v>
      </c>
      <c r="R13" s="44">
        <f>VLOOKUP($A13,'Dados ClubeFII'!$A:$AU,column(R13)-$A$5,0)/mid(VLOOKUP($A13,'Dados ClubeFII'!$A:$AU,2,0),3,SEARCH(",",VLOOKUP($A13,'Dados ClubeFII'!$A:$AU,2,0)))*B13</f>
        <v>0.1451810036</v>
      </c>
      <c r="S13" s="43">
        <f>VLOOKUP($A13,'Dados ClubeFII'!$A:$AU,column(S13)-$A$5,0)</f>
        <v>43024</v>
      </c>
      <c r="T13" s="41">
        <f>MID(VLOOKUP($A13,'Dados ClubeFII'!$A:$AU,column(T13)-$A$5,0),3,100)/1</f>
        <v>100</v>
      </c>
      <c r="U13" s="45">
        <f>VLOOKUP($A13,'Dados ClubeFII'!$A:$AU,column(U13)-$A$5,0)/mid(VLOOKUP($A13,'Dados ClubeFII'!$A:$AU,2,0),4,SEARCH(",",VLOOKUP($A13,'Dados ClubeFII'!$A:$AU,2,0))-1)*B13</f>
        <v>-1.074918919</v>
      </c>
      <c r="V13" s="42" t="str">
        <f>VLOOKUP($A13,'Dados ClubeFII'!$A:$AU,column(V13)-$A$5,0)</f>
        <v>N/D</v>
      </c>
      <c r="W13" s="43" t="str">
        <f>VLOOKUP($A13,'Dados ClubeFII'!$A:$AU,column(W13)-$A$5,0)</f>
        <v>N/D</v>
      </c>
      <c r="X13" s="45">
        <f>VLOOKUP($A13,'Dados ClubeFII'!$A:$AU,column(X13)-$A$5,0)</f>
        <v>0.0213</v>
      </c>
      <c r="Y13" s="41">
        <f>MID(VLOOKUP($A13,'Dados ClubeFII'!$A:$AU,column(Y13)-$A$5,0),3,100)/1</f>
        <v>3627521.51</v>
      </c>
      <c r="Z13" s="46">
        <f>VLOOKUP($A13,'Dados ClubeFII'!$A:$AU,column(Z13)-$A$5,0)</f>
        <v>183801</v>
      </c>
      <c r="AA13" s="47">
        <f t="shared" si="2"/>
        <v>596723722</v>
      </c>
      <c r="AB13" s="48">
        <f t="shared" si="3"/>
        <v>4.224396644</v>
      </c>
      <c r="AC13" s="48"/>
      <c r="AD13" s="48"/>
      <c r="AE13" s="48"/>
    </row>
    <row r="14">
      <c r="A14" s="37" t="s">
        <v>39</v>
      </c>
      <c r="B14" s="38">
        <f>IFERROR(__xludf.DUMMYFUNCTION("GOOGLEFINANCE(A14)"),1395.0)</f>
        <v>1395</v>
      </c>
      <c r="C14" s="38">
        <f>IFERROR(__xludf.DUMMYFUNCTION("GOOGLEFINANCE($A14,""high52"")"),2190.06)</f>
        <v>2190.06</v>
      </c>
      <c r="D14" s="39">
        <f t="shared" si="1"/>
        <v>-0.3630311498</v>
      </c>
      <c r="E14" s="40" t="str">
        <f>VLOOKUP($A14,'Dados ClubeFII'!$A:$AU,column(E14)-$A$5,0)</f>
        <v>BB Progressivo</v>
      </c>
      <c r="F14" s="40" t="str">
        <f>VLOOKUP($A14,'Dados ClubeFII'!$A:$AU,column(F14)-$A$5,0)</f>
        <v>CAIXA ECONOMICA FEDERAL</v>
      </c>
      <c r="G14" s="40" t="str">
        <f>VLOOKUP($A14,'Dados ClubeFII'!$A:$AU,column(G14)-$A$5,0)</f>
        <v>Agencias Bancárias</v>
      </c>
      <c r="H14" s="41">
        <f>MID(VLOOKUP($A14,'Dados ClubeFII'!$A:$AU,column(H14)-$A$5,0),3,100)/mid(VLOOKUP($A14,'Dados ClubeFII'!$A:$AU,2,0),4,SEARCH(",",VLOOKUP($A14,'Dados ClubeFII'!$A:$AU,2,0))-1)*B14</f>
        <v>16733659091</v>
      </c>
      <c r="I14" s="41">
        <f>MID(VLOOKUP($A14,'Dados ClubeFII'!$A:$AU,column(I14)-$A$5,0),3,100)/1</f>
        <v>367372921.9</v>
      </c>
      <c r="J14" s="42">
        <f>VLOOKUP($A14,'Dados ClubeFII'!$A:$AU,column(J14)-$A$5,0)/mid(VLOOKUP($A14,'Dados ClubeFII'!$A:$AU,2,0),3,SEARCH(",",VLOOKUP($A14,'Dados ClubeFII'!$A:$AU,2,0)))*B14</f>
        <v>0.496735905</v>
      </c>
      <c r="K14" s="41">
        <f>if(VLOOKUP($A14,'Dados ClubeFII'!$A:$AU,column(K14)-$A$5,0)="N/D",0,MID(VLOOKUP($A14,'Dados ClubeFII'!$A:$AU,column(K14)-$A$5,0),3,100)/1)/mid(VLOOKUP($A14,'Dados ClubeFII'!$A:$AU,2,0),3,SEARCH(",",VLOOKUP($A14,'Dados ClubeFII'!$A:$AU,2,0)))*B14</f>
        <v>2109.409718</v>
      </c>
      <c r="L14" s="41">
        <f>if(VLOOKUP($A14,'Dados ClubeFII'!$A:$AU,column(L14)-$A$5,0)="N/D",0,MID(VLOOKUP($A14,'Dados ClubeFII'!$A:$AU,column(L14)-$A$5,0),3,100)/1)</f>
        <v>4256.34</v>
      </c>
      <c r="M14" s="41">
        <f>MID(VLOOKUP($A14,'Dados ClubeFII'!$A:$AU,column(M14)-$A$5,0),3,100)/1</f>
        <v>26.89</v>
      </c>
      <c r="N14" s="41">
        <f>MID(VLOOKUP($A14,'Dados ClubeFII'!$A:$AU,column(N14)-$A$5,0),3,100)/1</f>
        <v>40.5</v>
      </c>
      <c r="O14" s="41">
        <f>LEFT(VLOOKUP($A14,'Dados ClubeFII'!$A:$AU,column(O14)-$A$5,0),len(VLOOKUP($A14,'Dados ClubeFII'!$A:$AU,column(O14)-$A$5,0))-2)/1</f>
        <v>86312</v>
      </c>
      <c r="P14" s="43">
        <f>VLOOKUP($A14,'Dados ClubeFII'!$A:$AU,column(P14)-$A$5,0)</f>
        <v>44971</v>
      </c>
      <c r="Q14" s="44">
        <f>VLOOKUP($A14,'Dados ClubeFII'!$A:$AU,column(Q14)-$A$5,0)/mid(VLOOKUP($A14,'Dados ClubeFII'!$A:$AU,2,0),3,SEARCH(",",VLOOKUP($A14,'Dados ClubeFII'!$A:$AU,2,0)))*B14</f>
        <v>0.1180437685</v>
      </c>
      <c r="R14" s="44">
        <f>VLOOKUP($A14,'Dados ClubeFII'!$A:$AU,column(R14)-$A$5,0)/mid(VLOOKUP($A14,'Dados ClubeFII'!$A:$AU,2,0),3,SEARCH(",",VLOOKUP($A14,'Dados ClubeFII'!$A:$AU,2,0)))*B14</f>
        <v>0.1083850148</v>
      </c>
      <c r="S14" s="43">
        <f>VLOOKUP($A14,'Dados ClubeFII'!$A:$AU,column(S14)-$A$5,0)</f>
        <v>38322</v>
      </c>
      <c r="T14" s="41">
        <f>MID(VLOOKUP($A14,'Dados ClubeFII'!$A:$AU,column(T14)-$A$5,0),3,100)/1</f>
        <v>1000</v>
      </c>
      <c r="U14" s="45">
        <f>VLOOKUP($A14,'Dados ClubeFII'!$A:$AU,column(U14)-$A$5,0)/mid(VLOOKUP($A14,'Dados ClubeFII'!$A:$AU,2,0),4,SEARCH(",",VLOOKUP($A14,'Dados ClubeFII'!$A:$AU,2,0))-1)*B14</f>
        <v>1.680340909</v>
      </c>
      <c r="V14" s="42">
        <f>VLOOKUP($A14,'Dados ClubeFII'!$A:$AU,column(V14)-$A$5,0)</f>
        <v>0.3911</v>
      </c>
      <c r="W14" s="43" t="str">
        <f>VLOOKUP($A14,'Dados ClubeFII'!$A:$AU,column(W14)-$A$5,0)</f>
        <v>N/D</v>
      </c>
      <c r="X14" s="45">
        <f>VLOOKUP($A14,'Dados ClubeFII'!$A:$AU,column(X14)-$A$5,0)</f>
        <v>0</v>
      </c>
      <c r="Y14" s="41">
        <f>MID(VLOOKUP($A14,'Dados ClubeFII'!$A:$AU,column(Y14)-$A$5,0),3,100)/1</f>
        <v>318311.13</v>
      </c>
      <c r="Z14" s="46">
        <f>VLOOKUP($A14,'Dados ClubeFII'!$A:$AU,column(Z14)-$A$5,0)</f>
        <v>8335</v>
      </c>
      <c r="AA14" s="47">
        <f t="shared" si="2"/>
        <v>11995454</v>
      </c>
      <c r="AB14" s="48">
        <f t="shared" si="3"/>
        <v>30.62601232</v>
      </c>
      <c r="AC14" s="17"/>
      <c r="AD14" s="17"/>
      <c r="AE14" s="17"/>
    </row>
    <row r="15">
      <c r="A15" s="50" t="s">
        <v>40</v>
      </c>
      <c r="B15" s="38">
        <f>IFERROR(__xludf.DUMMYFUNCTION("GOOGLEFINANCE(A15)"),85.99)</f>
        <v>85.99</v>
      </c>
      <c r="C15" s="38">
        <f>IFERROR(__xludf.DUMMYFUNCTION("GOOGLEFINANCE($A15,""high52"")"),88.0)</f>
        <v>88</v>
      </c>
      <c r="D15" s="39">
        <f t="shared" si="1"/>
        <v>-0.02284090909</v>
      </c>
      <c r="E15" s="40" t="str">
        <f>VLOOKUP($A15,'Dados ClubeFII'!$A:$AU,column(E15)-$A$5,0)</f>
        <v>Kinea Securities</v>
      </c>
      <c r="F15" s="40" t="str">
        <f>VLOOKUP($A15,'Dados ClubeFII'!$A:$AU,column(F15)-$A$5,0)</f>
        <v>KINEA</v>
      </c>
      <c r="G15" s="40" t="str">
        <f>VLOOKUP($A15,'Dados ClubeFII'!$A:$AU,column(G15)-$A$5,0)</f>
        <v>Recebíveis Imobiliários</v>
      </c>
      <c r="H15" s="41">
        <f>MID(VLOOKUP($A15,'Dados ClubeFII'!$A:$AU,column(H15)-$A$5,0),3,100)/mid(VLOOKUP($A15,'Dados ClubeFII'!$A:$AU,2,0),4,SEARCH(",",VLOOKUP($A15,'Dados ClubeFII'!$A:$AU,2,0))-1)*B15</f>
        <v>16915319447</v>
      </c>
      <c r="I15" s="41">
        <f>MID(VLOOKUP($A15,'Dados ClubeFII'!$A:$AU,column(I15)-$A$5,0),3,100)/1</f>
        <v>1169001888</v>
      </c>
      <c r="J15" s="42">
        <f>VLOOKUP($A15,'Dados ClubeFII'!$A:$AU,column(J15)-$A$5,0)/mid(VLOOKUP($A15,'Dados ClubeFII'!$A:$AU,2,0),3,SEARCH(",",VLOOKUP($A15,'Dados ClubeFII'!$A:$AU,2,0)))*B15</f>
        <v>0.9727148688</v>
      </c>
      <c r="K15" s="41">
        <f>if(VLOOKUP($A15,'Dados ClubeFII'!$A:$AU,column(K15)-$A$5,0)="N/D",0,MID(VLOOKUP($A15,'Dados ClubeFII'!$A:$AU,column(K15)-$A$5,0),3,100)/1)/mid(VLOOKUP($A15,'Dados ClubeFII'!$A:$AU,2,0),3,SEARCH(",",VLOOKUP($A15,'Dados ClubeFII'!$A:$AU,2,0)))*B15</f>
        <v>0</v>
      </c>
      <c r="L15" s="41">
        <f>if(VLOOKUP($A15,'Dados ClubeFII'!$A:$AU,column(L15)-$A$5,0)="N/D",0,MID(VLOOKUP($A15,'Dados ClubeFII'!$A:$AU,column(L15)-$A$5,0),3,100)/1)</f>
        <v>0</v>
      </c>
      <c r="M15" s="41">
        <f>MID(VLOOKUP($A15,'Dados ClubeFII'!$A:$AU,column(M15)-$A$5,0),3,100)/1</f>
        <v>1.04</v>
      </c>
      <c r="N15" s="41">
        <f>MID(VLOOKUP($A15,'Dados ClubeFII'!$A:$AU,column(N15)-$A$5,0),3,100)/1</f>
        <v>0</v>
      </c>
      <c r="O15" s="41">
        <f>LEFT(VLOOKUP($A15,'Dados ClubeFII'!$A:$AU,column(O15)-$A$5,0),len(VLOOKUP($A15,'Dados ClubeFII'!$A:$AU,column(O15)-$A$5,0))-2)/1</f>
        <v>0</v>
      </c>
      <c r="P15" s="43">
        <f>VLOOKUP($A15,'Dados ClubeFII'!$A:$AU,column(P15)-$A$5,0)</f>
        <v>44970</v>
      </c>
      <c r="Q15" s="44">
        <f>VLOOKUP($A15,'Dados ClubeFII'!$A:$AU,column(Q15)-$A$5,0)/mid(VLOOKUP($A15,'Dados ClubeFII'!$A:$AU,2,0),3,SEARCH(",",VLOOKUP($A15,'Dados ClubeFII'!$A:$AU,2,0)))*B15</f>
        <v>0.1571385773</v>
      </c>
      <c r="R15" s="44">
        <f>VLOOKUP($A15,'Dados ClubeFII'!$A:$AU,column(R15)-$A$5,0)/mid(VLOOKUP($A15,'Dados ClubeFII'!$A:$AU,2,0),3,SEARCH(",",VLOOKUP($A15,'Dados ClubeFII'!$A:$AU,2,0)))*B15</f>
        <v>0.1301632886</v>
      </c>
      <c r="S15" s="43">
        <f>VLOOKUP($A15,'Dados ClubeFII'!$A:$AU,column(S15)-$A$5,0)</f>
        <v>44132</v>
      </c>
      <c r="T15" s="41">
        <f>MID(VLOOKUP($A15,'Dados ClubeFII'!$A:$AU,column(T15)-$A$5,0),3,100)/1</f>
        <v>100</v>
      </c>
      <c r="U15" s="45">
        <f>VLOOKUP($A15,'Dados ClubeFII'!$A:$AU,column(U15)-$A$5,0)/mid(VLOOKUP($A15,'Dados ClubeFII'!$A:$AU,2,0),4,SEARCH(",",VLOOKUP($A15,'Dados ClubeFII'!$A:$AU,2,0))-1)*B15</f>
        <v>-0.2078714783</v>
      </c>
      <c r="V15" s="42" t="str">
        <f>VLOOKUP($A15,'Dados ClubeFII'!$A:$AU,column(V15)-$A$5,0)</f>
        <v>N/D</v>
      </c>
      <c r="W15" s="43" t="str">
        <f>VLOOKUP($A15,'Dados ClubeFII'!$A:$AU,column(W15)-$A$5,0)</f>
        <v>N/D</v>
      </c>
      <c r="X15" s="45">
        <f>VLOOKUP($A15,'Dados ClubeFII'!$A:$AU,column(X15)-$A$5,0)</f>
        <v>0.0104</v>
      </c>
      <c r="Y15" s="41">
        <f>MID(VLOOKUP($A15,'Dados ClubeFII'!$A:$AU,column(Y15)-$A$5,0),3,100)/1</f>
        <v>4112312.58</v>
      </c>
      <c r="Z15" s="46">
        <f>VLOOKUP($A15,'Dados ClubeFII'!$A:$AU,column(Z15)-$A$5,0)</f>
        <v>87493</v>
      </c>
      <c r="AA15" s="47">
        <f t="shared" si="2"/>
        <v>196712634</v>
      </c>
      <c r="AB15" s="48">
        <f t="shared" si="3"/>
        <v>5.942688398</v>
      </c>
      <c r="AC15" s="48"/>
      <c r="AD15" s="48"/>
      <c r="AE15" s="48"/>
    </row>
    <row r="16">
      <c r="A16" s="37" t="s">
        <v>41</v>
      </c>
      <c r="B16" s="38">
        <f>IFERROR(__xludf.DUMMYFUNCTION("GOOGLEFINANCE(A16)"),97.5)</f>
        <v>97.5</v>
      </c>
      <c r="C16" s="38">
        <f>IFERROR(__xludf.DUMMYFUNCTION("GOOGLEFINANCE($A16,""high52"")"),97.6)</f>
        <v>97.6</v>
      </c>
      <c r="D16" s="39">
        <f t="shared" si="1"/>
        <v>-0.001024590164</v>
      </c>
      <c r="E16" s="40" t="str">
        <f>VLOOKUP($A16,'Dados ClubeFII'!$A:$AU,column(E16)-$A$5,0)</f>
        <v>Kinea High Yield CRI</v>
      </c>
      <c r="F16" s="40" t="str">
        <f>VLOOKUP($A16,'Dados ClubeFII'!$A:$AU,column(F16)-$A$5,0)</f>
        <v>KINEA</v>
      </c>
      <c r="G16" s="40" t="str">
        <f>VLOOKUP($A16,'Dados ClubeFII'!$A:$AU,column(G16)-$A$5,0)</f>
        <v>Recebíveis Imobiliários</v>
      </c>
      <c r="H16" s="41">
        <f>MID(VLOOKUP($A16,'Dados ClubeFII'!$A:$AU,column(H16)-$A$5,0),3,100)/mid(VLOOKUP($A16,'Dados ClubeFII'!$A:$AU,2,0),4,SEARCH(",",VLOOKUP($A16,'Dados ClubeFII'!$A:$AU,2,0))-1)*B16</f>
        <v>26464738028</v>
      </c>
      <c r="I16" s="41">
        <f>MID(VLOOKUP($A16,'Dados ClubeFII'!$A:$AU,column(I16)-$A$5,0),3,100)/1</f>
        <v>1808892646</v>
      </c>
      <c r="J16" s="42">
        <f>VLOOKUP($A16,'Dados ClubeFII'!$A:$AU,column(J16)-$A$5,0)/mid(VLOOKUP($A16,'Dados ClubeFII'!$A:$AU,2,0),3,SEARCH(",",VLOOKUP($A16,'Dados ClubeFII'!$A:$AU,2,0)))*B16</f>
        <v>0.9994305239</v>
      </c>
      <c r="K16" s="41">
        <f>if(VLOOKUP($A16,'Dados ClubeFII'!$A:$AU,column(K16)-$A$5,0)="N/D",0,MID(VLOOKUP($A16,'Dados ClubeFII'!$A:$AU,column(K16)-$A$5,0),3,100)/1)/mid(VLOOKUP($A16,'Dados ClubeFII'!$A:$AU,2,0),3,SEARCH(",",VLOOKUP($A16,'Dados ClubeFII'!$A:$AU,2,0)))*B16</f>
        <v>0</v>
      </c>
      <c r="L16" s="41">
        <f>if(VLOOKUP($A16,'Dados ClubeFII'!$A:$AU,column(L16)-$A$5,0)="N/D",0,MID(VLOOKUP($A16,'Dados ClubeFII'!$A:$AU,column(L16)-$A$5,0),3,100)/1)</f>
        <v>0</v>
      </c>
      <c r="M16" s="41">
        <f>MID(VLOOKUP($A16,'Dados ClubeFII'!$A:$AU,column(M16)-$A$5,0),3,100)/1</f>
        <v>1.32</v>
      </c>
      <c r="N16" s="41">
        <f>MID(VLOOKUP($A16,'Dados ClubeFII'!$A:$AU,column(N16)-$A$5,0),3,100)/1</f>
        <v>0</v>
      </c>
      <c r="O16" s="41">
        <f>LEFT(VLOOKUP($A16,'Dados ClubeFII'!$A:$AU,column(O16)-$A$5,0),len(VLOOKUP($A16,'Dados ClubeFII'!$A:$AU,column(O16)-$A$5,0))-2)/1</f>
        <v>0</v>
      </c>
      <c r="P16" s="43">
        <f>VLOOKUP($A16,'Dados ClubeFII'!$A:$AU,column(P16)-$A$5,0)</f>
        <v>44970</v>
      </c>
      <c r="Q16" s="44">
        <f>VLOOKUP($A16,'Dados ClubeFII'!$A:$AU,column(Q16)-$A$5,0)/mid(VLOOKUP($A16,'Dados ClubeFII'!$A:$AU,2,0),3,SEARCH(",",VLOOKUP($A16,'Dados ClubeFII'!$A:$AU,2,0)))*B16</f>
        <v>0.1785851108</v>
      </c>
      <c r="R16" s="44">
        <f>VLOOKUP($A16,'Dados ClubeFII'!$A:$AU,column(R16)-$A$5,0)/mid(VLOOKUP($A16,'Dados ClubeFII'!$A:$AU,2,0),3,SEARCH(",",VLOOKUP($A16,'Dados ClubeFII'!$A:$AU,2,0)))*B16</f>
        <v>0.1339640712</v>
      </c>
      <c r="S16" s="43">
        <f>VLOOKUP($A16,'Dados ClubeFII'!$A:$AU,column(S16)-$A$5,0)</f>
        <v>43320</v>
      </c>
      <c r="T16" s="41">
        <f>MID(VLOOKUP($A16,'Dados ClubeFII'!$A:$AU,column(T16)-$A$5,0),3,100)/1</f>
        <v>100</v>
      </c>
      <c r="U16" s="45">
        <f>VLOOKUP($A16,'Dados ClubeFII'!$A:$AU,column(U16)-$A$5,0)/mid(VLOOKUP($A16,'Dados ClubeFII'!$A:$AU,2,0),4,SEARCH(",",VLOOKUP($A16,'Dados ClubeFII'!$A:$AU,2,0))-1)*B16</f>
        <v>-0.1852203647</v>
      </c>
      <c r="V16" s="42" t="str">
        <f>VLOOKUP($A16,'Dados ClubeFII'!$A:$AU,column(V16)-$A$5,0)</f>
        <v>N/D</v>
      </c>
      <c r="W16" s="43" t="str">
        <f>VLOOKUP($A16,'Dados ClubeFII'!$A:$AU,column(W16)-$A$5,0)</f>
        <v>N/D</v>
      </c>
      <c r="X16" s="45">
        <f>VLOOKUP($A16,'Dados ClubeFII'!$A:$AU,column(X16)-$A$5,0)</f>
        <v>0.0165</v>
      </c>
      <c r="Y16" s="41">
        <f>MID(VLOOKUP($A16,'Dados ClubeFII'!$A:$AU,column(Y16)-$A$5,0),3,100)/1</f>
        <v>2855871.02</v>
      </c>
      <c r="Z16" s="46">
        <f>VLOOKUP($A16,'Dados ClubeFII'!$A:$AU,column(Z16)-$A$5,0)</f>
        <v>14423</v>
      </c>
      <c r="AA16" s="47">
        <f t="shared" si="2"/>
        <v>271433210</v>
      </c>
      <c r="AB16" s="48">
        <f t="shared" si="3"/>
        <v>6.66422744</v>
      </c>
      <c r="AC16" s="17"/>
      <c r="AD16" s="17"/>
      <c r="AE16" s="17"/>
    </row>
    <row r="17">
      <c r="A17" s="49" t="s">
        <v>42</v>
      </c>
      <c r="B17" s="38">
        <f>IFERROR(__xludf.DUMMYFUNCTION("GOOGLEFINANCE(A17)"),8.64)</f>
        <v>8.64</v>
      </c>
      <c r="C17" s="38">
        <f>IFERROR(__xludf.DUMMYFUNCTION("GOOGLEFINANCE($A17,""high52"")"),9.32)</f>
        <v>9.32</v>
      </c>
      <c r="D17" s="39">
        <f t="shared" si="1"/>
        <v>-0.07296137339</v>
      </c>
      <c r="E17" s="40" t="str">
        <f>VLOOKUP($A17,'Dados ClubeFII'!$A:$AU,column(E17)-$A$5,0)</f>
        <v>Átrio Reit Recebíveis Imobiliários</v>
      </c>
      <c r="F17" s="40" t="str">
        <f>VLOOKUP($A17,'Dados ClubeFII'!$A:$AU,column(F17)-$A$5,0)</f>
        <v>OPEN KAPITAL GESTÃO</v>
      </c>
      <c r="G17" s="40" t="str">
        <f>VLOOKUP($A17,'Dados ClubeFII'!$A:$AU,column(G17)-$A$5,0)</f>
        <v>Recebíveis Imobiliários</v>
      </c>
      <c r="H17" s="41">
        <f>MID(VLOOKUP($A17,'Dados ClubeFII'!$A:$AU,column(H17)-$A$5,0),3,100)/mid(VLOOKUP($A17,'Dados ClubeFII'!$A:$AU,2,0),4,SEARCH(",",VLOOKUP($A17,'Dados ClubeFII'!$A:$AU,2,0))-1)*B17</f>
        <v>3380956969</v>
      </c>
      <c r="I17" s="41">
        <f>MID(VLOOKUP($A17,'Dados ClubeFII'!$A:$AU,column(I17)-$A$5,0),3,100)/1</f>
        <v>108250162.3</v>
      </c>
      <c r="J17" s="42">
        <f>VLOOKUP($A17,'Dados ClubeFII'!$A:$AU,column(J17)-$A$5,0)/mid(VLOOKUP($A17,'Dados ClubeFII'!$A:$AU,2,0),3,SEARCH(",",VLOOKUP($A17,'Dados ClubeFII'!$A:$AU,2,0)))*B17</f>
        <v>0.9765339074</v>
      </c>
      <c r="K17" s="41">
        <f>if(VLOOKUP($A17,'Dados ClubeFII'!$A:$AU,column(K17)-$A$5,0)="N/D",0,MID(VLOOKUP($A17,'Dados ClubeFII'!$A:$AU,column(K17)-$A$5,0),3,100)/1)/mid(VLOOKUP($A17,'Dados ClubeFII'!$A:$AU,2,0),3,SEARCH(",",VLOOKUP($A17,'Dados ClubeFII'!$A:$AU,2,0)))*B17</f>
        <v>0</v>
      </c>
      <c r="L17" s="41">
        <f>if(VLOOKUP($A17,'Dados ClubeFII'!$A:$AU,column(L17)-$A$5,0)="N/D",0,MID(VLOOKUP($A17,'Dados ClubeFII'!$A:$AU,column(L17)-$A$5,0),3,100)/1)</f>
        <v>0</v>
      </c>
      <c r="M17" s="41">
        <f>MID(VLOOKUP($A17,'Dados ClubeFII'!$A:$AU,column(M17)-$A$5,0),3,100)/1</f>
        <v>0.13</v>
      </c>
      <c r="N17" s="41">
        <f>MID(VLOOKUP($A17,'Dados ClubeFII'!$A:$AU,column(N17)-$A$5,0),3,100)/1</f>
        <v>0</v>
      </c>
      <c r="O17" s="41">
        <f>LEFT(VLOOKUP($A17,'Dados ClubeFII'!$A:$AU,column(O17)-$A$5,0),len(VLOOKUP($A17,'Dados ClubeFII'!$A:$AU,column(O17)-$A$5,0))-2)/1</f>
        <v>0</v>
      </c>
      <c r="P17" s="43">
        <f>VLOOKUP($A17,'Dados ClubeFII'!$A:$AU,column(P17)-$A$5,0)</f>
        <v>44964</v>
      </c>
      <c r="Q17" s="44">
        <f>VLOOKUP($A17,'Dados ClubeFII'!$A:$AU,column(Q17)-$A$5,0)/mid(VLOOKUP($A17,'Dados ClubeFII'!$A:$AU,2,0),3,SEARCH(",",VLOOKUP($A17,'Dados ClubeFII'!$A:$AU,2,0)))*B17</f>
        <v>0.1689868676</v>
      </c>
      <c r="R17" s="44">
        <f>VLOOKUP($A17,'Dados ClubeFII'!$A:$AU,column(R17)-$A$5,0)/mid(VLOOKUP($A17,'Dados ClubeFII'!$A:$AU,2,0),3,SEARCH(",",VLOOKUP($A17,'Dados ClubeFII'!$A:$AU,2,0)))*B17</f>
        <v>0.1535483315</v>
      </c>
      <c r="S17" s="43">
        <f>VLOOKUP($A17,'Dados ClubeFII'!$A:$AU,column(S17)-$A$5,0)</f>
        <v>43769</v>
      </c>
      <c r="T17" s="41">
        <f>MID(VLOOKUP($A17,'Dados ClubeFII'!$A:$AU,column(T17)-$A$5,0),3,100)/1</f>
        <v>10</v>
      </c>
      <c r="U17" s="45">
        <f>VLOOKUP($A17,'Dados ClubeFII'!$A:$AU,column(U17)-$A$5,0)/mid(VLOOKUP($A17,'Dados ClubeFII'!$A:$AU,2,0),4,SEARCH(",",VLOOKUP($A17,'Dados ClubeFII'!$A:$AU,2,0))-1)*B17</f>
        <v>-0.03277241379</v>
      </c>
      <c r="V17" s="42" t="str">
        <f>VLOOKUP($A17,'Dados ClubeFII'!$A:$AU,column(V17)-$A$5,0)</f>
        <v>N/D</v>
      </c>
      <c r="W17" s="43" t="str">
        <f>VLOOKUP($A17,'Dados ClubeFII'!$A:$AU,column(W17)-$A$5,0)</f>
        <v>N/D</v>
      </c>
      <c r="X17" s="45">
        <f>VLOOKUP($A17,'Dados ClubeFII'!$A:$AU,column(X17)-$A$5,0)</f>
        <v>0.001</v>
      </c>
      <c r="Y17" s="41">
        <f>MID(VLOOKUP($A17,'Dados ClubeFII'!$A:$AU,column(Y17)-$A$5,0),3,100)/1</f>
        <v>360126.88</v>
      </c>
      <c r="Z17" s="46">
        <f>VLOOKUP($A17,'Dados ClubeFII'!$A:$AU,column(Z17)-$A$5,0)</f>
        <v>21209</v>
      </c>
      <c r="AA17" s="47">
        <f t="shared" si="2"/>
        <v>391314464</v>
      </c>
      <c r="AB17" s="48">
        <f t="shared" si="3"/>
        <v>0.276632152</v>
      </c>
      <c r="AC17" s="17"/>
      <c r="AD17" s="17"/>
      <c r="AE17" s="17"/>
    </row>
    <row r="18">
      <c r="A18" s="49" t="s">
        <v>43</v>
      </c>
      <c r="B18" s="38">
        <f>IFERROR(__xludf.DUMMYFUNCTION("GOOGLEFINANCE(A18)"),88.05)</f>
        <v>88.05</v>
      </c>
      <c r="C18" s="38">
        <f>IFERROR(__xludf.DUMMYFUNCTION("GOOGLEFINANCE($A18,""high52"")"),92.14)</f>
        <v>92.14</v>
      </c>
      <c r="D18" s="39">
        <f t="shared" si="1"/>
        <v>-0.0443889733</v>
      </c>
      <c r="E18" s="40" t="str">
        <f>VLOOKUP($A18,'Dados ClubeFII'!$A:$AU,column(E18)-$A$5,0)</f>
        <v>VBI CRI</v>
      </c>
      <c r="F18" s="40" t="str">
        <f>VLOOKUP($A18,'Dados ClubeFII'!$A:$AU,column(F18)-$A$5,0)</f>
        <v>VBI REAL ESTATE</v>
      </c>
      <c r="G18" s="40" t="str">
        <f>VLOOKUP($A18,'Dados ClubeFII'!$A:$AU,column(G18)-$A$5,0)</f>
        <v>Recebíveis Imobiliários</v>
      </c>
      <c r="H18" s="41">
        <f>MID(VLOOKUP($A18,'Dados ClubeFII'!$A:$AU,column(H18)-$A$5,0),3,100)/mid(VLOOKUP($A18,'Dados ClubeFII'!$A:$AU,2,0),4,SEARCH(",",VLOOKUP($A18,'Dados ClubeFII'!$A:$AU,2,0))-1)*B18</f>
        <v>10405202009</v>
      </c>
      <c r="I18" s="41">
        <f>MID(VLOOKUP($A18,'Dados ClubeFII'!$A:$AU,column(I18)-$A$5,0),3,100)/1</f>
        <v>1033955310</v>
      </c>
      <c r="J18" s="42">
        <f>VLOOKUP($A18,'Dados ClubeFII'!$A:$AU,column(J18)-$A$5,0)/mid(VLOOKUP($A18,'Dados ClubeFII'!$A:$AU,2,0),3,SEARCH(",",VLOOKUP($A18,'Dados ClubeFII'!$A:$AU,2,0)))*B18</f>
        <v>0.9475249207</v>
      </c>
      <c r="K18" s="41">
        <f>if(VLOOKUP($A18,'Dados ClubeFII'!$A:$AU,column(K18)-$A$5,0)="N/D",0,MID(VLOOKUP($A18,'Dados ClubeFII'!$A:$AU,column(K18)-$A$5,0),3,100)/1)/mid(VLOOKUP($A18,'Dados ClubeFII'!$A:$AU,2,0),3,SEARCH(",",VLOOKUP($A18,'Dados ClubeFII'!$A:$AU,2,0)))*B18</f>
        <v>0</v>
      </c>
      <c r="L18" s="41">
        <f>if(VLOOKUP($A18,'Dados ClubeFII'!$A:$AU,column(L18)-$A$5,0)="N/D",0,MID(VLOOKUP($A18,'Dados ClubeFII'!$A:$AU,column(L18)-$A$5,0),3,100)/1)</f>
        <v>0</v>
      </c>
      <c r="M18" s="41">
        <f>MID(VLOOKUP($A18,'Dados ClubeFII'!$A:$AU,column(M18)-$A$5,0),3,100)/1</f>
        <v>1.1</v>
      </c>
      <c r="N18" s="41">
        <f>MID(VLOOKUP($A18,'Dados ClubeFII'!$A:$AU,column(N18)-$A$5,0),3,100)/1</f>
        <v>0</v>
      </c>
      <c r="O18" s="41">
        <f>LEFT(VLOOKUP($A18,'Dados ClubeFII'!$A:$AU,column(O18)-$A$5,0),len(VLOOKUP($A18,'Dados ClubeFII'!$A:$AU,column(O18)-$A$5,0))-2)/1</f>
        <v>0</v>
      </c>
      <c r="P18" s="43">
        <f>VLOOKUP($A18,'Dados ClubeFII'!$A:$AU,column(P18)-$A$5,0)</f>
        <v>44972</v>
      </c>
      <c r="Q18" s="44">
        <f>VLOOKUP($A18,'Dados ClubeFII'!$A:$AU,column(Q18)-$A$5,0)/mid(VLOOKUP($A18,'Dados ClubeFII'!$A:$AU,2,0),3,SEARCH(",",VLOOKUP($A18,'Dados ClubeFII'!$A:$AU,2,0)))*B18</f>
        <v>0.1586854894</v>
      </c>
      <c r="R18" s="44">
        <f>VLOOKUP($A18,'Dados ClubeFII'!$A:$AU,column(R18)-$A$5,0)/mid(VLOOKUP($A18,'Dados ClubeFII'!$A:$AU,2,0),3,SEARCH(",",VLOOKUP($A18,'Dados ClubeFII'!$A:$AU,2,0)))*B18</f>
        <v>0.1408321251</v>
      </c>
      <c r="S18" s="43">
        <f>VLOOKUP($A18,'Dados ClubeFII'!$A:$AU,column(S18)-$A$5,0)</f>
        <v>43734</v>
      </c>
      <c r="T18" s="41">
        <f>MID(VLOOKUP($A18,'Dados ClubeFII'!$A:$AU,column(T18)-$A$5,0),3,100)/1</f>
        <v>100</v>
      </c>
      <c r="U18" s="45">
        <f>VLOOKUP($A18,'Dados ClubeFII'!$A:$AU,column(U18)-$A$5,0)/mid(VLOOKUP($A18,'Dados ClubeFII'!$A:$AU,2,0),4,SEARCH(",",VLOOKUP($A18,'Dados ClubeFII'!$A:$AU,2,0))-1)*B18</f>
        <v>0.3168949275</v>
      </c>
      <c r="V18" s="42" t="str">
        <f>VLOOKUP($A18,'Dados ClubeFII'!$A:$AU,column(V18)-$A$5,0)</f>
        <v>N/D</v>
      </c>
      <c r="W18" s="43" t="str">
        <f>VLOOKUP($A18,'Dados ClubeFII'!$A:$AU,column(W18)-$A$5,0)</f>
        <v>N/D</v>
      </c>
      <c r="X18" s="45">
        <f>VLOOKUP($A18,'Dados ClubeFII'!$A:$AU,column(X18)-$A$5,0)</f>
        <v>0.0087</v>
      </c>
      <c r="Y18" s="41">
        <f>MID(VLOOKUP($A18,'Dados ClubeFII'!$A:$AU,column(Y18)-$A$5,0),3,100)/1</f>
        <v>2880014.53</v>
      </c>
      <c r="Z18" s="46">
        <f>VLOOKUP($A18,'Dados ClubeFII'!$A:$AU,column(Z18)-$A$5,0)</f>
        <v>71974</v>
      </c>
      <c r="AA18" s="47">
        <f t="shared" si="2"/>
        <v>118173787</v>
      </c>
      <c r="AB18" s="48">
        <f t="shared" si="3"/>
        <v>8.749447201</v>
      </c>
      <c r="AC18" s="48"/>
      <c r="AD18" s="48"/>
      <c r="AE18" s="48"/>
    </row>
    <row r="19">
      <c r="A19" s="37" t="s">
        <v>44</v>
      </c>
      <c r="B19" s="38">
        <f>IFERROR(__xludf.DUMMYFUNCTION("GOOGLEFINANCE(A19)"),89.97)</f>
        <v>89.97</v>
      </c>
      <c r="C19" s="38">
        <f>IFERROR(__xludf.DUMMYFUNCTION("GOOGLEFINANCE($A19,""high52"")"),95.3)</f>
        <v>95.3</v>
      </c>
      <c r="D19" s="52" t="b">
        <v>0</v>
      </c>
      <c r="E19" s="40" t="str">
        <f>VLOOKUP($A19,'Dados ClubeFII'!$A:$AU,column(E19)-$A$5,0)</f>
        <v>Kinea Índices de Preços</v>
      </c>
      <c r="F19" s="40" t="str">
        <f>VLOOKUP($A19,'Dados ClubeFII'!$A:$AU,column(F19)-$A$5,0)</f>
        <v>KINEA</v>
      </c>
      <c r="G19" s="40" t="str">
        <f>VLOOKUP($A19,'Dados ClubeFII'!$A:$AU,column(G19)-$A$5,0)</f>
        <v>Recebíveis Imobiliários</v>
      </c>
      <c r="H19" s="41">
        <f>MID(VLOOKUP($A19,'Dados ClubeFII'!$A:$AU,column(H19)-$A$5,0),3,100)/mid(VLOOKUP($A19,'Dados ClubeFII'!$A:$AU,2,0),4,SEARCH(",",VLOOKUP($A19,'Dados ClubeFII'!$A:$AU,2,0))-1)*B19</f>
        <v>70508099564</v>
      </c>
      <c r="I19" s="41">
        <f>MID(VLOOKUP($A19,'Dados ClubeFII'!$A:$AU,column(I19)-$A$5,0),3,100)/1</f>
        <v>7509519400</v>
      </c>
      <c r="J19" s="42">
        <f>VLOOKUP($A19,'Dados ClubeFII'!$A:$AU,column(J19)-$A$5,0)/mid(VLOOKUP($A19,'Dados ClubeFII'!$A:$AU,2,0),3,SEARCH(",",VLOOKUP($A19,'Dados ClubeFII'!$A:$AU,2,0)))*B19</f>
        <v>0.9685041489</v>
      </c>
      <c r="K19" s="41">
        <f>if(VLOOKUP($A19,'Dados ClubeFII'!$A:$AU,column(K19)-$A$5,0)="N/D",0,MID(VLOOKUP($A19,'Dados ClubeFII'!$A:$AU,column(K19)-$A$5,0),3,100)/1)/mid(VLOOKUP($A19,'Dados ClubeFII'!$A:$AU,2,0),3,SEARCH(",",VLOOKUP($A19,'Dados ClubeFII'!$A:$AU,2,0)))*B19</f>
        <v>0</v>
      </c>
      <c r="L19" s="41">
        <f>if(VLOOKUP($A19,'Dados ClubeFII'!$A:$AU,column(L19)-$A$5,0)="N/D",0,MID(VLOOKUP($A19,'Dados ClubeFII'!$A:$AU,column(L19)-$A$5,0),3,100)/1)</f>
        <v>0</v>
      </c>
      <c r="M19" s="41">
        <f>MID(VLOOKUP($A19,'Dados ClubeFII'!$A:$AU,column(M19)-$A$5,0),3,100)/1</f>
        <v>1</v>
      </c>
      <c r="N19" s="41">
        <f>MID(VLOOKUP($A19,'Dados ClubeFII'!$A:$AU,column(N19)-$A$5,0),3,100)/1</f>
        <v>0</v>
      </c>
      <c r="O19" s="41">
        <f>LEFT(VLOOKUP($A19,'Dados ClubeFII'!$A:$AU,column(O19)-$A$5,0),len(VLOOKUP($A19,'Dados ClubeFII'!$A:$AU,column(O19)-$A$5,0))-2)/1</f>
        <v>0</v>
      </c>
      <c r="P19" s="43">
        <f>VLOOKUP($A19,'Dados ClubeFII'!$A:$AU,column(P19)-$A$5,0)</f>
        <v>44970</v>
      </c>
      <c r="Q19" s="44">
        <f>VLOOKUP($A19,'Dados ClubeFII'!$A:$AU,column(Q19)-$A$5,0)/mid(VLOOKUP($A19,'Dados ClubeFII'!$A:$AU,2,0),3,SEARCH(",",VLOOKUP($A19,'Dados ClubeFII'!$A:$AU,2,0)))*B19</f>
        <v>0.1433587912</v>
      </c>
      <c r="R19" s="44">
        <f>VLOOKUP($A19,'Dados ClubeFII'!$A:$AU,column(R19)-$A$5,0)/mid(VLOOKUP($A19,'Dados ClubeFII'!$A:$AU,2,0),3,SEARCH(",",VLOOKUP($A19,'Dados ClubeFII'!$A:$AU,2,0)))*B19</f>
        <v>0.1351870375</v>
      </c>
      <c r="S19" s="43">
        <f>VLOOKUP($A19,'Dados ClubeFII'!$A:$AU,column(S19)-$A$5,0)</f>
        <v>42639</v>
      </c>
      <c r="T19" s="41">
        <f>MID(VLOOKUP($A19,'Dados ClubeFII'!$A:$AU,column(T19)-$A$5,0),3,100)/1</f>
        <v>100</v>
      </c>
      <c r="U19" s="45">
        <f>VLOOKUP($A19,'Dados ClubeFII'!$A:$AU,column(U19)-$A$5,0)/mid(VLOOKUP($A19,'Dados ClubeFII'!$A:$AU,2,0),4,SEARCH(",",VLOOKUP($A19,'Dados ClubeFII'!$A:$AU,2,0))-1)*B19</f>
        <v>-0.2244349673</v>
      </c>
      <c r="V19" s="42" t="str">
        <f>VLOOKUP($A19,'Dados ClubeFII'!$A:$AU,column(V19)-$A$5,0)</f>
        <v>N/D</v>
      </c>
      <c r="W19" s="43" t="str">
        <f>VLOOKUP($A19,'Dados ClubeFII'!$A:$AU,column(W19)-$A$5,0)</f>
        <v>N/D</v>
      </c>
      <c r="X19" s="45">
        <f>VLOOKUP($A19,'Dados ClubeFII'!$A:$AU,column(X19)-$A$5,0)</f>
        <v>0.0669</v>
      </c>
      <c r="Y19" s="41">
        <f>MID(VLOOKUP($A19,'Dados ClubeFII'!$A:$AU,column(Y19)-$A$5,0),3,100)/1</f>
        <v>7340383.63</v>
      </c>
      <c r="Z19" s="46">
        <f>VLOOKUP($A19,'Dados ClubeFII'!$A:$AU,column(Z19)-$A$5,0)</f>
        <v>68845</v>
      </c>
      <c r="AA19" s="47">
        <f t="shared" si="2"/>
        <v>783684556</v>
      </c>
      <c r="AB19" s="48">
        <f t="shared" si="3"/>
        <v>9.58232409</v>
      </c>
      <c r="AC19" s="48"/>
      <c r="AD19" s="48"/>
      <c r="AE19" s="48"/>
    </row>
    <row r="20">
      <c r="A20" s="37" t="s">
        <v>45</v>
      </c>
      <c r="B20" s="38">
        <f>IFERROR(__xludf.DUMMYFUNCTION("GOOGLEFINANCE(A20)"),39.26)</f>
        <v>39.26</v>
      </c>
      <c r="C20" s="38">
        <f>IFERROR(__xludf.DUMMYFUNCTION("GOOGLEFINANCE($A20,""high52"")"),44.0)</f>
        <v>44</v>
      </c>
      <c r="D20" s="52" t="b">
        <v>1</v>
      </c>
      <c r="E20" s="40" t="str">
        <f>VLOOKUP($A20,'Dados ClubeFII'!$A:$AU,column(E20)-$A$5,0)</f>
        <v>Caixa Cedae</v>
      </c>
      <c r="F20" s="40" t="str">
        <f>VLOOKUP($A20,'Dados ClubeFII'!$A:$AU,column(F20)-$A$5,0)</f>
        <v>CAIXA ECONOMICA FEDERAL</v>
      </c>
      <c r="G20" s="40" t="str">
        <f>VLOOKUP($A20,'Dados ClubeFII'!$A:$AU,column(G20)-$A$5,0)</f>
        <v>Lajes Comerciais</v>
      </c>
      <c r="H20" s="41">
        <f>MID(VLOOKUP($A20,'Dados ClubeFII'!$A:$AU,COLUMN(H20)-$A$5,0),3,100)/MID(VLOOKUP($A20,'Dados ClubeFII'!$A:$AU,2,0),3,SEARCH(",",VLOOKUP($A20,'Dados ClubeFII'!$A:$AU,2,0)))*B20</f>
        <v>66967922.04</v>
      </c>
      <c r="I20" s="41">
        <f>MID(VLOOKUP($A20,'Dados ClubeFII'!$A:$AU,column(I20)-$A$5,0),3,100)/1</f>
        <v>112389969.3</v>
      </c>
      <c r="J20" s="42">
        <f>VLOOKUP($A20,'Dados ClubeFII'!$A:$AU,column(J20)-$A$5,0)/mid(VLOOKUP($A20,'Dados ClubeFII'!$A:$AU,2,0),3,SEARCH(",",VLOOKUP($A20,'Dados ClubeFII'!$A:$AU,2,0)))*B20</f>
        <v>0.5917617989</v>
      </c>
      <c r="K20" s="41">
        <f>if(VLOOKUP($A20,'Dados ClubeFII'!$A:$AU,column(K20)-$A$5,0)="N/D",0,MID(VLOOKUP($A20,'Dados ClubeFII'!$A:$AU,column(K20)-$A$5,0),3,100)/1)/mid(VLOOKUP($A20,'Dados ClubeFII'!$A:$AU,2,0),3,SEARCH(",",VLOOKUP($A20,'Dados ClubeFII'!$A:$AU,2,0)))*B20</f>
        <v>3358.810867</v>
      </c>
      <c r="L20" s="41">
        <f>if(VLOOKUP($A20,'Dados ClubeFII'!$A:$AU,column(L20)-$A$5,0)="N/D",0,MID(VLOOKUP($A20,'Dados ClubeFII'!$A:$AU,column(L20)-$A$5,0),3,100)/1)</f>
        <v>5636.97</v>
      </c>
      <c r="M20" s="41">
        <f>MID(VLOOKUP($A20,'Dados ClubeFII'!$A:$AU,column(M20)-$A$5,0),3,100)/1</f>
        <v>0.41</v>
      </c>
      <c r="N20" s="41">
        <f>MID(VLOOKUP($A20,'Dados ClubeFII'!$A:$AU,column(N20)-$A$5,0),3,100)/1</f>
        <v>34.96</v>
      </c>
      <c r="O20" s="41">
        <f>LEFT(VLOOKUP($A20,'Dados ClubeFII'!$A:$AU,column(O20)-$A$5,0),len(VLOOKUP($A20,'Dados ClubeFII'!$A:$AU,column(O20)-$A$5,0))-2)/1</f>
        <v>19938</v>
      </c>
      <c r="P20" s="43">
        <f>VLOOKUP($A20,'Dados ClubeFII'!$A:$AU,column(P20)-$A$5,0)</f>
        <v>44972</v>
      </c>
      <c r="Q20" s="44">
        <f>VLOOKUP($A20,'Dados ClubeFII'!$A:$AU,column(Q20)-$A$5,0)/mid(VLOOKUP($A20,'Dados ClubeFII'!$A:$AU,2,0),3,SEARCH(",",VLOOKUP($A20,'Dados ClubeFII'!$A:$AU,2,0)))*B20</f>
        <v>0.1242699778</v>
      </c>
      <c r="R20" s="44">
        <f>VLOOKUP($A20,'Dados ClubeFII'!$A:$AU,column(R20)-$A$5,0)/mid(VLOOKUP($A20,'Dados ClubeFII'!$A:$AU,2,0),3,SEARCH(",",VLOOKUP($A20,'Dados ClubeFII'!$A:$AU,2,0)))*B20</f>
        <v>0.1101064986</v>
      </c>
      <c r="S20" s="43">
        <f>VLOOKUP($A20,'Dados ClubeFII'!$A:$AU,column(S20)-$A$5,0)</f>
        <v>40241</v>
      </c>
      <c r="T20" s="41">
        <f>MID(VLOOKUP($A20,'Dados ClubeFII'!$A:$AU,column(T20)-$A$5,0),3,100)/1</f>
        <v>40</v>
      </c>
      <c r="U20" s="45">
        <f>VLOOKUP($A20,'Dados ClubeFII'!$A:$AU,column(U20)-$A$5,0)/mid(VLOOKUP($A20,'Dados ClubeFII'!$A:$AU,2,0),4,SEARCH(",",VLOOKUP($A20,'Dados ClubeFII'!$A:$AU,2,0))-1)*B20</f>
        <v>-2.80667234</v>
      </c>
      <c r="V20" s="42">
        <f>VLOOKUP($A20,'Dados ClubeFII'!$A:$AU,column(V20)-$A$5,0)</f>
        <v>0</v>
      </c>
      <c r="W20" s="43" t="str">
        <f>VLOOKUP($A20,'Dados ClubeFII'!$A:$AU,column(W20)-$A$5,0)</f>
        <v>N/D</v>
      </c>
      <c r="X20" s="45">
        <f>VLOOKUP($A20,'Dados ClubeFII'!$A:$AU,column(X20)-$A$5,0)</f>
        <v>0</v>
      </c>
      <c r="Y20" s="41">
        <f>MID(VLOOKUP($A20,'Dados ClubeFII'!$A:$AU,column(Y20)-$A$5,0),3,100)/1</f>
        <v>16221.52</v>
      </c>
      <c r="Z20" s="46">
        <f>VLOOKUP($A20,'Dados ClubeFII'!$A:$AU,column(Z20)-$A$5,0)</f>
        <v>4078</v>
      </c>
      <c r="AA20" s="47">
        <f t="shared" si="2"/>
        <v>1705754</v>
      </c>
      <c r="AB20" s="48">
        <f t="shared" si="3"/>
        <v>65.88873267</v>
      </c>
      <c r="AC20" s="48"/>
      <c r="AD20" s="48"/>
      <c r="AE20" s="48"/>
    </row>
    <row r="21">
      <c r="A21" s="37" t="s">
        <v>46</v>
      </c>
      <c r="B21" s="38">
        <f>IFERROR(__xludf.DUMMYFUNCTION("GOOGLEFINANCE(A21)"),38.28)</f>
        <v>38.28</v>
      </c>
      <c r="C21" s="38">
        <f>IFERROR(__xludf.DUMMYFUNCTION("GOOGLEFINANCE($A21,""high52"")"),42.77)</f>
        <v>42.77</v>
      </c>
      <c r="D21" s="52" t="b">
        <v>0</v>
      </c>
      <c r="E21" s="40" t="str">
        <f>VLOOKUP($A21,'Dados ClubeFII'!$A:$AU,column(E21)-$A$5,0)</f>
        <v>SP Downtown</v>
      </c>
      <c r="F21" s="40" t="str">
        <f>VLOOKUP($A21,'Dados ClubeFII'!$A:$AU,column(F21)-$A$5,0)</f>
        <v>GENIAL GESTÃO</v>
      </c>
      <c r="G21" s="40" t="str">
        <f>VLOOKUP($A21,'Dados ClubeFII'!$A:$AU,column(G21)-$A$5,0)</f>
        <v>Lajes Comerciais</v>
      </c>
      <c r="H21" s="41">
        <f>MID(VLOOKUP($A21,'Dados ClubeFII'!$A:$AU,COLUMN(H21)-$A$5,0),3,100)/MID(VLOOKUP($A21,'Dados ClubeFII'!$A:$AU,2,0),3,SEARCH(",",VLOOKUP($A21,'Dados ClubeFII'!$A:$AU,2,0)))*B21</f>
        <v>68915748.24</v>
      </c>
      <c r="I21" s="41">
        <f>MID(VLOOKUP($A21,'Dados ClubeFII'!$A:$AU,column(I21)-$A$5,0),3,100)/1</f>
        <v>100300542.1</v>
      </c>
      <c r="J21" s="42">
        <f>VLOOKUP($A21,'Dados ClubeFII'!$A:$AU,column(J21)-$A$5,0)/mid(VLOOKUP($A21,'Dados ClubeFII'!$A:$AU,2,0),3,SEARCH(",",VLOOKUP($A21,'Dados ClubeFII'!$A:$AU,2,0)))*B21</f>
        <v>0.6876058507</v>
      </c>
      <c r="K21" s="41">
        <f>if(VLOOKUP($A21,'Dados ClubeFII'!$A:$AU,column(K21)-$A$5,0)="N/D",0,MID(VLOOKUP($A21,'Dados ClubeFII'!$A:$AU,column(K21)-$A$5,0),3,100)/1)/mid(VLOOKUP($A21,'Dados ClubeFII'!$A:$AU,2,0),3,SEARCH(",",VLOOKUP($A21,'Dados ClubeFII'!$A:$AU,2,0)))*B21</f>
        <v>5128.802925</v>
      </c>
      <c r="L21" s="41">
        <f>if(VLOOKUP($A21,'Dados ClubeFII'!$A:$AU,column(L21)-$A$5,0)="N/D",0,MID(VLOOKUP($A21,'Dados ClubeFII'!$A:$AU,column(L21)-$A$5,0),3,100)/1)</f>
        <v>7464.5</v>
      </c>
      <c r="M21" s="41">
        <f>MID(VLOOKUP($A21,'Dados ClubeFII'!$A:$AU,column(M21)-$A$5,0),3,100)/1</f>
        <v>0.42</v>
      </c>
      <c r="N21" s="41">
        <f>MID(VLOOKUP($A21,'Dados ClubeFII'!$A:$AU,column(N21)-$A$5,0),3,100)/1</f>
        <v>56.2</v>
      </c>
      <c r="O21" s="41">
        <f>LEFT(VLOOKUP($A21,'Dados ClubeFII'!$A:$AU,column(O21)-$A$5,0),len(VLOOKUP($A21,'Dados ClubeFII'!$A:$AU,column(O21)-$A$5,0))-2)/1</f>
        <v>13437</v>
      </c>
      <c r="P21" s="43">
        <f>VLOOKUP($A21,'Dados ClubeFII'!$A:$AU,column(P21)-$A$5,0)</f>
        <v>44964</v>
      </c>
      <c r="Q21" s="44">
        <f>VLOOKUP($A21,'Dados ClubeFII'!$A:$AU,column(Q21)-$A$5,0)/mid(VLOOKUP($A21,'Dados ClubeFII'!$A:$AU,2,0),3,SEARCH(",",VLOOKUP($A21,'Dados ClubeFII'!$A:$AU,2,0)))*B21</f>
        <v>0.1346725173</v>
      </c>
      <c r="R21" s="44">
        <f>VLOOKUP($A21,'Dados ClubeFII'!$A:$AU,column(R21)-$A$5,0)/mid(VLOOKUP($A21,'Dados ClubeFII'!$A:$AU,2,0),3,SEARCH(",",VLOOKUP($A21,'Dados ClubeFII'!$A:$AU,2,0)))*B21</f>
        <v>0.1223938414</v>
      </c>
      <c r="S21" s="43">
        <f>VLOOKUP($A21,'Dados ClubeFII'!$A:$AU,column(S21)-$A$5,0)</f>
        <v>41345</v>
      </c>
      <c r="T21" s="41">
        <f>MID(VLOOKUP($A21,'Dados ClubeFII'!$A:$AU,column(T21)-$A$5,0),3,100)/1</f>
        <v>100</v>
      </c>
      <c r="U21" s="45">
        <f>VLOOKUP($A21,'Dados ClubeFII'!$A:$AU,column(U21)-$A$5,0)/mid(VLOOKUP($A21,'Dados ClubeFII'!$A:$AU,2,0),4,SEARCH(",",VLOOKUP($A21,'Dados ClubeFII'!$A:$AU,2,0))-1)*B21</f>
        <v>-0.1852120401</v>
      </c>
      <c r="V21" s="42">
        <f>VLOOKUP($A21,'Dados ClubeFII'!$A:$AU,column(V21)-$A$5,0)</f>
        <v>0</v>
      </c>
      <c r="W21" s="43" t="str">
        <f>VLOOKUP($A21,'Dados ClubeFII'!$A:$AU,column(W21)-$A$5,0)</f>
        <v>N/D</v>
      </c>
      <c r="X21" s="45">
        <f>VLOOKUP($A21,'Dados ClubeFII'!$A:$AU,column(X21)-$A$5,0)</f>
        <v>0</v>
      </c>
      <c r="Y21" s="41">
        <f>MID(VLOOKUP($A21,'Dados ClubeFII'!$A:$AU,column(Y21)-$A$5,0),3,100)/1</f>
        <v>113150.21</v>
      </c>
      <c r="Z21" s="46">
        <f>VLOOKUP($A21,'Dados ClubeFII'!$A:$AU,column(Z21)-$A$5,0)</f>
        <v>32144</v>
      </c>
      <c r="AA21" s="47">
        <f t="shared" si="2"/>
        <v>1800306</v>
      </c>
      <c r="AB21" s="48">
        <f t="shared" si="3"/>
        <v>55.71305215</v>
      </c>
      <c r="AC21" s="48"/>
      <c r="AD21" s="48"/>
      <c r="AE21" s="48"/>
    </row>
    <row r="22">
      <c r="A22" s="50" t="s">
        <v>47</v>
      </c>
      <c r="B22" s="38">
        <f>IFERROR(__xludf.DUMMYFUNCTION("GOOGLEFINANCE(A22)"),86.28)</f>
        <v>86.28</v>
      </c>
      <c r="C22" s="38">
        <f>IFERROR(__xludf.DUMMYFUNCTION("GOOGLEFINANCE($A22,""high52"")"),93.43)</f>
        <v>93.43</v>
      </c>
      <c r="D22" s="52" t="b">
        <v>0</v>
      </c>
      <c r="E22" s="40" t="str">
        <f>VLOOKUP($A22,'Dados ClubeFII'!$A:$AU,column(E22)-$A$5,0)</f>
        <v>Habitat Recebíveis Pulverizados</v>
      </c>
      <c r="F22" s="40" t="str">
        <f>VLOOKUP($A22,'Dados ClubeFII'!$A:$AU,column(F22)-$A$5,0)</f>
        <v>HABITAT CAPITAL PARTNERS</v>
      </c>
      <c r="G22" s="40" t="str">
        <f>VLOOKUP($A22,'Dados ClubeFII'!$A:$AU,column(G22)-$A$5,0)</f>
        <v>Recebíveis Imobiliários</v>
      </c>
      <c r="H22" s="41">
        <f>MID(VLOOKUP($A22,'Dados ClubeFII'!$A:$AU,column(H22)-$A$5,0),3,100)/mid(VLOOKUP($A22,'Dados ClubeFII'!$A:$AU,2,0),4,SEARCH(",",VLOOKUP($A22,'Dados ClubeFII'!$A:$AU,2,0))-1)*B22</f>
        <v>7463151078</v>
      </c>
      <c r="I22" s="41">
        <f>MID(VLOOKUP($A22,'Dados ClubeFII'!$A:$AU,column(I22)-$A$5,0),3,100)/1</f>
        <v>810671378.9</v>
      </c>
      <c r="J22" s="42">
        <f>VLOOKUP($A22,'Dados ClubeFII'!$A:$AU,column(J22)-$A$5,0)/mid(VLOOKUP($A22,'Dados ClubeFII'!$A:$AU,2,0),3,SEARCH(",",VLOOKUP($A22,'Dados ClubeFII'!$A:$AU,2,0)))*B22</f>
        <v>0.8600634345</v>
      </c>
      <c r="K22" s="41">
        <f>if(VLOOKUP($A22,'Dados ClubeFII'!$A:$AU,column(K22)-$A$5,0)="N/D",0,MID(VLOOKUP($A22,'Dados ClubeFII'!$A:$AU,column(K22)-$A$5,0),3,100)/1)/mid(VLOOKUP($A22,'Dados ClubeFII'!$A:$AU,2,0),3,SEARCH(",",VLOOKUP($A22,'Dados ClubeFII'!$A:$AU,2,0)))*B22</f>
        <v>0</v>
      </c>
      <c r="L22" s="41">
        <f>if(VLOOKUP($A22,'Dados ClubeFII'!$A:$AU,column(L22)-$A$5,0)="N/D",0,MID(VLOOKUP($A22,'Dados ClubeFII'!$A:$AU,column(L22)-$A$5,0),3,100)/1)</f>
        <v>0</v>
      </c>
      <c r="M22" s="41">
        <f>MID(VLOOKUP($A22,'Dados ClubeFII'!$A:$AU,column(M22)-$A$5,0),3,100)/1</f>
        <v>1.18</v>
      </c>
      <c r="N22" s="41">
        <f>MID(VLOOKUP($A22,'Dados ClubeFII'!$A:$AU,column(N22)-$A$5,0),3,100)/1</f>
        <v>0</v>
      </c>
      <c r="O22" s="41">
        <f>LEFT(VLOOKUP($A22,'Dados ClubeFII'!$A:$AU,column(O22)-$A$5,0),len(VLOOKUP($A22,'Dados ClubeFII'!$A:$AU,column(O22)-$A$5,0))-2)/1</f>
        <v>0</v>
      </c>
      <c r="P22" s="43">
        <f>VLOOKUP($A22,'Dados ClubeFII'!$A:$AU,column(P22)-$A$5,0)</f>
        <v>44967</v>
      </c>
      <c r="Q22" s="44">
        <f>VLOOKUP($A22,'Dados ClubeFII'!$A:$AU,column(Q22)-$A$5,0)/mid(VLOOKUP($A22,'Dados ClubeFII'!$A:$AU,2,0),3,SEARCH(",",VLOOKUP($A22,'Dados ClubeFII'!$A:$AU,2,0)))*B22</f>
        <v>0.169178387</v>
      </c>
      <c r="R22" s="44">
        <f>VLOOKUP($A22,'Dados ClubeFII'!$A:$AU,column(R22)-$A$5,0)/mid(VLOOKUP($A22,'Dados ClubeFII'!$A:$AU,2,0),3,SEARCH(",",VLOOKUP($A22,'Dados ClubeFII'!$A:$AU,2,0)))*B22</f>
        <v>0.1547136837</v>
      </c>
      <c r="S22" s="43">
        <f>VLOOKUP($A22,'Dados ClubeFII'!$A:$AU,column(S22)-$A$5,0)</f>
        <v>43675</v>
      </c>
      <c r="T22" s="41">
        <f>MID(VLOOKUP($A22,'Dados ClubeFII'!$A:$AU,column(T22)-$A$5,0),3,100)/1</f>
        <v>100</v>
      </c>
      <c r="U22" s="45">
        <f>VLOOKUP($A22,'Dados ClubeFII'!$A:$AU,column(U22)-$A$5,0)/mid(VLOOKUP($A22,'Dados ClubeFII'!$A:$AU,2,0),4,SEARCH(",",VLOOKUP($A22,'Dados ClubeFII'!$A:$AU,2,0))-1)*B22</f>
        <v>-0.213615942</v>
      </c>
      <c r="V22" s="42" t="str">
        <f>VLOOKUP($A22,'Dados ClubeFII'!$A:$AU,column(V22)-$A$5,0)</f>
        <v>N/D</v>
      </c>
      <c r="W22" s="43" t="str">
        <f>VLOOKUP($A22,'Dados ClubeFII'!$A:$AU,column(W22)-$A$5,0)</f>
        <v>N/D</v>
      </c>
      <c r="X22" s="45">
        <f>VLOOKUP($A22,'Dados ClubeFII'!$A:$AU,column(X22)-$A$5,0)</f>
        <v>0.0066</v>
      </c>
      <c r="Y22" s="41">
        <f>MID(VLOOKUP($A22,'Dados ClubeFII'!$A:$AU,column(Y22)-$A$5,0),3,100)/1</f>
        <v>1348892.58</v>
      </c>
      <c r="Z22" s="46">
        <f>VLOOKUP($A22,'Dados ClubeFII'!$A:$AU,column(Z22)-$A$5,0)</f>
        <v>68688</v>
      </c>
      <c r="AA22" s="47">
        <f t="shared" si="2"/>
        <v>86499201</v>
      </c>
      <c r="AB22" s="48">
        <f t="shared" si="3"/>
        <v>9.372010025</v>
      </c>
      <c r="AC22" s="48"/>
      <c r="AD22" s="48"/>
      <c r="AE22" s="48"/>
    </row>
    <row r="23">
      <c r="A23" s="49" t="s">
        <v>48</v>
      </c>
      <c r="B23" s="38">
        <f>IFERROR(__xludf.DUMMYFUNCTION("GOOGLEFINANCE(A23)"),54.2)</f>
        <v>54.2</v>
      </c>
      <c r="C23" s="38">
        <f>IFERROR(__xludf.DUMMYFUNCTION("GOOGLEFINANCE($A23,""high52"")"),66.48)</f>
        <v>66.48</v>
      </c>
      <c r="D23" s="52" t="b">
        <v>0</v>
      </c>
      <c r="E23" s="40" t="str">
        <f>VLOOKUP($A23,'Dados ClubeFII'!$A:$AU,column(E23)-$A$5,0)</f>
        <v>Memorial Office</v>
      </c>
      <c r="F23" s="40" t="str">
        <f>VLOOKUP($A23,'Dados ClubeFII'!$A:$AU,column(F23)-$A$5,0)</f>
        <v>COINVALORES</v>
      </c>
      <c r="G23" s="40" t="str">
        <f>VLOOKUP($A23,'Dados ClubeFII'!$A:$AU,column(G23)-$A$5,0)</f>
        <v>Lajes Comerciais</v>
      </c>
      <c r="H23" s="41">
        <f>MID(VLOOKUP($A23,'Dados ClubeFII'!$A:$AU,COLUMN(H23)-$A$5,0),3,100)/MID(VLOOKUP($A23,'Dados ClubeFII'!$A:$AU,2,0),3,SEARCH(",",VLOOKUP($A23,'Dados ClubeFII'!$A:$AU,2,0)))*B23</f>
        <v>27534033.6</v>
      </c>
      <c r="I23" s="41">
        <f>MID(VLOOKUP($A23,'Dados ClubeFII'!$A:$AU,column(I23)-$A$5,0),3,100)/1</f>
        <v>60314340.44</v>
      </c>
      <c r="J23" s="42">
        <f>VLOOKUP($A23,'Dados ClubeFII'!$A:$AU,column(J23)-$A$5,0)/mid(VLOOKUP($A23,'Dados ClubeFII'!$A:$AU,2,0),3,SEARCH(",",VLOOKUP($A23,'Dados ClubeFII'!$A:$AU,2,0)))*B23</f>
        <v>0.4548928571</v>
      </c>
      <c r="K23" s="41">
        <f>if(VLOOKUP($A23,'Dados ClubeFII'!$A:$AU,column(K23)-$A$5,0)="N/D",0,MID(VLOOKUP($A23,'Dados ClubeFII'!$A:$AU,column(K23)-$A$5,0),3,100)/1)/mid(VLOOKUP($A23,'Dados ClubeFII'!$A:$AU,2,0),3,SEARCH(",",VLOOKUP($A23,'Dados ClubeFII'!$A:$AU,2,0)))*B23</f>
        <v>2101.188821</v>
      </c>
      <c r="L23" s="41">
        <f>if(VLOOKUP($A23,'Dados ClubeFII'!$A:$AU,column(L23)-$A$5,0)="N/D",0,MID(VLOOKUP($A23,'Dados ClubeFII'!$A:$AU,column(L23)-$A$5,0),3,100)/1)</f>
        <v>4602.74</v>
      </c>
      <c r="M23" s="41">
        <f>MID(VLOOKUP($A23,'Dados ClubeFII'!$A:$AU,column(M23)-$A$5,0),3,100)/1</f>
        <v>0</v>
      </c>
      <c r="N23" s="41">
        <f>MID(VLOOKUP($A23,'Dados ClubeFII'!$A:$AU,column(N23)-$A$5,0),3,100)/1</f>
        <v>0</v>
      </c>
      <c r="O23" s="41">
        <f>LEFT(VLOOKUP($A23,'Dados ClubeFII'!$A:$AU,column(O23)-$A$5,0),len(VLOOKUP($A23,'Dados ClubeFII'!$A:$AU,column(O23)-$A$5,0))-2)/1</f>
        <v>13104</v>
      </c>
      <c r="P23" s="43">
        <f>VLOOKUP($A23,'Dados ClubeFII'!$A:$AU,column(P23)-$A$5,0)</f>
        <v>44957</v>
      </c>
      <c r="Q23" s="44">
        <f>VLOOKUP($A23,'Dados ClubeFII'!$A:$AU,column(Q23)-$A$5,0)/mid(VLOOKUP($A23,'Dados ClubeFII'!$A:$AU,2,0),3,SEARCH(",",VLOOKUP($A23,'Dados ClubeFII'!$A:$AU,2,0)))*B23</f>
        <v>0</v>
      </c>
      <c r="R23" s="44">
        <f>VLOOKUP($A23,'Dados ClubeFII'!$A:$AU,column(R23)-$A$5,0)/mid(VLOOKUP($A23,'Dados ClubeFII'!$A:$AU,2,0),3,SEARCH(",",VLOOKUP($A23,'Dados ClubeFII'!$A:$AU,2,0)))*B23</f>
        <v>0.007742857143</v>
      </c>
      <c r="S23" s="43">
        <f>VLOOKUP($A23,'Dados ClubeFII'!$A:$AU,column(S23)-$A$5,0)</f>
        <v>39671</v>
      </c>
      <c r="T23" s="41">
        <f>MID(VLOOKUP($A23,'Dados ClubeFII'!$A:$AU,column(T23)-$A$5,0),3,100)/1</f>
        <v>100</v>
      </c>
      <c r="U23" s="45">
        <f>VLOOKUP($A23,'Dados ClubeFII'!$A:$AU,column(U23)-$A$5,0)/mid(VLOOKUP($A23,'Dados ClubeFII'!$A:$AU,2,0),4,SEARCH(",",VLOOKUP($A23,'Dados ClubeFII'!$A:$AU,2,0))-1)*B23</f>
        <v>-0.45799</v>
      </c>
      <c r="V23" s="42">
        <f>VLOOKUP($A23,'Dados ClubeFII'!$A:$AU,column(V23)-$A$5,0)</f>
        <v>0.4792</v>
      </c>
      <c r="W23" s="43" t="str">
        <f>VLOOKUP($A23,'Dados ClubeFII'!$A:$AU,column(W23)-$A$5,0)</f>
        <v>N/D</v>
      </c>
      <c r="X23" s="45">
        <f>VLOOKUP($A23,'Dados ClubeFII'!$A:$AU,column(X23)-$A$5,0)</f>
        <v>0</v>
      </c>
      <c r="Y23" s="41">
        <f>MID(VLOOKUP($A23,'Dados ClubeFII'!$A:$AU,column(Y23)-$A$5,0),3,100)/1</f>
        <v>994.93</v>
      </c>
      <c r="Z23" s="46">
        <f>VLOOKUP($A23,'Dados ClubeFII'!$A:$AU,column(Z23)-$A$5,0)</f>
        <v>288</v>
      </c>
      <c r="AA23" s="47">
        <f t="shared" si="2"/>
        <v>508008</v>
      </c>
      <c r="AB23" s="48">
        <f t="shared" si="3"/>
        <v>118.7271469</v>
      </c>
      <c r="AC23" s="48"/>
      <c r="AD23" s="48"/>
      <c r="AE23" s="48"/>
    </row>
    <row r="24">
      <c r="A24" s="49" t="s">
        <v>49</v>
      </c>
      <c r="B24" s="38">
        <f>IFERROR(__xludf.DUMMYFUNCTION("GOOGLEFINANCE(A24)"),14.47)</f>
        <v>14.47</v>
      </c>
      <c r="C24" s="38">
        <f>IFERROR(__xludf.DUMMYFUNCTION("GOOGLEFINANCE($A24,""high52"")"),22.27)</f>
        <v>22.27</v>
      </c>
      <c r="D24" s="52" t="b">
        <v>0</v>
      </c>
      <c r="E24" s="40" t="str">
        <f>VLOOKUP($A24,'Dados ClubeFII'!$A:$AU,column(E24)-$A$5,0)</f>
        <v>XP Corporate Macaé</v>
      </c>
      <c r="F24" s="40" t="str">
        <f>VLOOKUP($A24,'Dados ClubeFII'!$A:$AU,column(F24)-$A$5,0)</f>
        <v>XP GESTÃO</v>
      </c>
      <c r="G24" s="40" t="str">
        <f>VLOOKUP($A24,'Dados ClubeFII'!$A:$AU,column(G24)-$A$5,0)</f>
        <v>Lajes Comerciais</v>
      </c>
      <c r="H24" s="41">
        <f>MID(VLOOKUP($A24,'Dados ClubeFII'!$A:$AU,COLUMN(H24)-$A$5,0),3,100)/MID(VLOOKUP($A24,'Dados ClubeFII'!$A:$AU,2,0),3,SEARCH(",",VLOOKUP($A24,'Dados ClubeFII'!$A:$AU,2,0)))*B24</f>
        <v>35529409.85</v>
      </c>
      <c r="I24" s="41">
        <f>MID(VLOOKUP($A24,'Dados ClubeFII'!$A:$AU,column(I24)-$A$5,0),3,100)/1</f>
        <v>105773099.9</v>
      </c>
      <c r="J24" s="42">
        <f>VLOOKUP($A24,'Dados ClubeFII'!$A:$AU,column(J24)-$A$5,0)/mid(VLOOKUP($A24,'Dados ClubeFII'!$A:$AU,2,0),3,SEARCH(",",VLOOKUP($A24,'Dados ClubeFII'!$A:$AU,2,0)))*B24</f>
        <v>0.3326436782</v>
      </c>
      <c r="K24" s="41">
        <f>if(VLOOKUP($A24,'Dados ClubeFII'!$A:$AU,column(K24)-$A$5,0)="N/D",0,MID(VLOOKUP($A24,'Dados ClubeFII'!$A:$AU,column(K24)-$A$5,0),3,100)/1)/mid(VLOOKUP($A24,'Dados ClubeFII'!$A:$AU,2,0),3,SEARCH(",",VLOOKUP($A24,'Dados ClubeFII'!$A:$AU,2,0)))*B24</f>
        <v>1806.822623</v>
      </c>
      <c r="L24" s="41">
        <f>if(VLOOKUP($A24,'Dados ClubeFII'!$A:$AU,column(L24)-$A$5,0)="N/D",0,MID(VLOOKUP($A24,'Dados ClubeFII'!$A:$AU,column(L24)-$A$5,0),3,100)/1)</f>
        <v>5379.02</v>
      </c>
      <c r="M24" s="41">
        <f>MID(VLOOKUP($A24,'Dados ClubeFII'!$A:$AU,column(M24)-$A$5,0),3,100)/1</f>
        <v>0.12</v>
      </c>
      <c r="N24" s="41">
        <f>MID(VLOOKUP($A24,'Dados ClubeFII'!$A:$AU,column(N24)-$A$5,0),3,100)/1</f>
        <v>14.73</v>
      </c>
      <c r="O24" s="41">
        <f>LEFT(VLOOKUP($A24,'Dados ClubeFII'!$A:$AU,column(O24)-$A$5,0),len(VLOOKUP($A24,'Dados ClubeFII'!$A:$AU,column(O24)-$A$5,0))-2)/1</f>
        <v>19664</v>
      </c>
      <c r="P24" s="43">
        <f>VLOOKUP($A24,'Dados ClubeFII'!$A:$AU,column(P24)-$A$5,0)</f>
        <v>44971</v>
      </c>
      <c r="Q24" s="44">
        <f>VLOOKUP($A24,'Dados ClubeFII'!$A:$AU,column(Q24)-$A$5,0)/mid(VLOOKUP($A24,'Dados ClubeFII'!$A:$AU,2,0),3,SEARCH(",",VLOOKUP($A24,'Dados ClubeFII'!$A:$AU,2,0)))*B24</f>
        <v>0.09793421231</v>
      </c>
      <c r="R24" s="44">
        <f>VLOOKUP($A24,'Dados ClubeFII'!$A:$AU,column(R24)-$A$5,0)/mid(VLOOKUP($A24,'Dados ClubeFII'!$A:$AU,2,0),3,SEARCH(",",VLOOKUP($A24,'Dados ClubeFII'!$A:$AU,2,0)))*B24</f>
        <v>0.1229803245</v>
      </c>
      <c r="S24" s="43">
        <f>VLOOKUP($A24,'Dados ClubeFII'!$A:$AU,column(S24)-$A$5,0)</f>
        <v>41341</v>
      </c>
      <c r="T24" s="41">
        <f>MID(VLOOKUP($A24,'Dados ClubeFII'!$A:$AU,column(T24)-$A$5,0),3,100)/1</f>
        <v>100</v>
      </c>
      <c r="U24" s="45">
        <f>VLOOKUP($A24,'Dados ClubeFII'!$A:$AU,column(U24)-$A$5,0)/mid(VLOOKUP($A24,'Dados ClubeFII'!$A:$AU,2,0),4,SEARCH(",",VLOOKUP($A24,'Dados ClubeFII'!$A:$AU,2,0))-1)*B24</f>
        <v>0.1474187891</v>
      </c>
      <c r="V24" s="42">
        <f>VLOOKUP($A24,'Dados ClubeFII'!$A:$AU,column(V24)-$A$5,0)</f>
        <v>0.85</v>
      </c>
      <c r="W24" s="43">
        <f>VLOOKUP($A24,'Dados ClubeFII'!$A:$AU,column(W24)-$A$5,0)</f>
        <v>43312</v>
      </c>
      <c r="X24" s="45">
        <f>VLOOKUP($A24,'Dados ClubeFII'!$A:$AU,column(X24)-$A$5,0)</f>
        <v>0</v>
      </c>
      <c r="Y24" s="41">
        <f>MID(VLOOKUP($A24,'Dados ClubeFII'!$A:$AU,column(Y24)-$A$5,0),3,100)/1</f>
        <v>74223.38</v>
      </c>
      <c r="Z24" s="46">
        <f>VLOOKUP($A24,'Dados ClubeFII'!$A:$AU,column(Z24)-$A$5,0)</f>
        <v>27576</v>
      </c>
      <c r="AA24" s="47">
        <f t="shared" si="2"/>
        <v>2455384</v>
      </c>
      <c r="AB24" s="48">
        <f t="shared" si="3"/>
        <v>43.07802769</v>
      </c>
      <c r="AC24" s="48"/>
      <c r="AD24" s="48"/>
      <c r="AE24" s="48"/>
    </row>
    <row r="25">
      <c r="A25" s="53" t="s">
        <v>50</v>
      </c>
      <c r="B25" s="38">
        <f>IFERROR(__xludf.DUMMYFUNCTION("GOOGLEFINANCE(A25)"),82.33)</f>
        <v>82.33</v>
      </c>
      <c r="C25" s="38">
        <f>IFERROR(__xludf.DUMMYFUNCTION("GOOGLEFINANCE($A25,""high52"")"),92.62)</f>
        <v>92.62</v>
      </c>
      <c r="D25" s="52" t="b">
        <v>0</v>
      </c>
      <c r="E25" s="40" t="str">
        <f>VLOOKUP($A25,'Dados ClubeFII'!$A:$AU,column(E25)-$A$5,0)</f>
        <v>Valora CRI Índice de Preço</v>
      </c>
      <c r="F25" s="40" t="str">
        <f>VLOOKUP($A25,'Dados ClubeFII'!$A:$AU,column(F25)-$A$5,0)</f>
        <v>VALORA GESTÃO</v>
      </c>
      <c r="G25" s="40" t="str">
        <f>VLOOKUP($A25,'Dados ClubeFII'!$A:$AU,column(G25)-$A$5,0)</f>
        <v>Recebíveis Imobiliários</v>
      </c>
      <c r="H25" s="41">
        <f>MID(VLOOKUP($A25,'Dados ClubeFII'!$A:$AU,column(H25)-$A$5,0),3,100)/mid(VLOOKUP($A25,'Dados ClubeFII'!$A:$AU,2,0),4,SEARCH(",",VLOOKUP($A25,'Dados ClubeFII'!$A:$AU,2,0))-1)*B25</f>
        <v>53102698170</v>
      </c>
      <c r="I25" s="41">
        <f>MID(VLOOKUP($A25,'Dados ClubeFII'!$A:$AU,column(I25)-$A$5,0),3,100)/1</f>
        <v>1064809461</v>
      </c>
      <c r="J25" s="42">
        <f>VLOOKUP($A25,'Dados ClubeFII'!$A:$AU,column(J25)-$A$5,0)/mid(VLOOKUP($A25,'Dados ClubeFII'!$A:$AU,2,0),3,SEARCH(",",VLOOKUP($A25,'Dados ClubeFII'!$A:$AU,2,0)))*B25</f>
        <v>0.9192674847</v>
      </c>
      <c r="K25" s="41">
        <f>if(VLOOKUP($A25,'Dados ClubeFII'!$A:$AU,column(K25)-$A$5,0)="N/D",0,MID(VLOOKUP($A25,'Dados ClubeFII'!$A:$AU,column(K25)-$A$5,0),3,100)/1)/mid(VLOOKUP($A25,'Dados ClubeFII'!$A:$AU,2,0),3,SEARCH(",",VLOOKUP($A25,'Dados ClubeFII'!$A:$AU,2,0)))*B25</f>
        <v>0</v>
      </c>
      <c r="L25" s="41">
        <f>if(VLOOKUP($A25,'Dados ClubeFII'!$A:$AU,column(L25)-$A$5,0)="N/D",0,MID(VLOOKUP($A25,'Dados ClubeFII'!$A:$AU,column(L25)-$A$5,0),3,100)/1)</f>
        <v>0</v>
      </c>
      <c r="M25" s="41">
        <f>MID(VLOOKUP($A25,'Dados ClubeFII'!$A:$AU,column(M25)-$A$5,0),3,100)/1</f>
        <v>0.8</v>
      </c>
      <c r="N25" s="41">
        <f>MID(VLOOKUP($A25,'Dados ClubeFII'!$A:$AU,column(N25)-$A$5,0),3,100)/1</f>
        <v>0</v>
      </c>
      <c r="O25" s="41">
        <f>LEFT(VLOOKUP($A25,'Dados ClubeFII'!$A:$AU,column(O25)-$A$5,0),len(VLOOKUP($A25,'Dados ClubeFII'!$A:$AU,column(O25)-$A$5,0))-2)/1</f>
        <v>0</v>
      </c>
      <c r="P25" s="43">
        <f>VLOOKUP($A25,'Dados ClubeFII'!$A:$AU,column(P25)-$A$5,0)</f>
        <v>44974</v>
      </c>
      <c r="Q25" s="44">
        <f>VLOOKUP($A25,'Dados ClubeFII'!$A:$AU,column(Q25)-$A$5,0)/mid(VLOOKUP($A25,'Dados ClubeFII'!$A:$AU,2,0),3,SEARCH(",",VLOOKUP($A25,'Dados ClubeFII'!$A:$AU,2,0)))*B25</f>
        <v>0.1246567117</v>
      </c>
      <c r="R25" s="44">
        <f>VLOOKUP($A25,'Dados ClubeFII'!$A:$AU,column(R25)-$A$5,0)/mid(VLOOKUP($A25,'Dados ClubeFII'!$A:$AU,2,0),3,SEARCH(",",VLOOKUP($A25,'Dados ClubeFII'!$A:$AU,2,0)))*B25</f>
        <v>0.1506184417</v>
      </c>
      <c r="S25" s="43">
        <f>VLOOKUP($A25,'Dados ClubeFII'!$A:$AU,column(S25)-$A$5,0)</f>
        <v>43910</v>
      </c>
      <c r="T25" s="41">
        <f>MID(VLOOKUP($A25,'Dados ClubeFII'!$A:$AU,column(T25)-$A$5,0),3,100)/1</f>
        <v>100</v>
      </c>
      <c r="U25" s="45">
        <f>VLOOKUP($A25,'Dados ClubeFII'!$A:$AU,column(U25)-$A$5,0)/mid(VLOOKUP($A25,'Dados ClubeFII'!$A:$AU,2,0),4,SEARCH(",",VLOOKUP($A25,'Dados ClubeFII'!$A:$AU,2,0))-1)*B25</f>
        <v>-2.447945333</v>
      </c>
      <c r="V25" s="42" t="str">
        <f>VLOOKUP($A25,'Dados ClubeFII'!$A:$AU,column(V25)-$A$5,0)</f>
        <v>N/D</v>
      </c>
      <c r="W25" s="43" t="str">
        <f>VLOOKUP($A25,'Dados ClubeFII'!$A:$AU,column(W25)-$A$5,0)</f>
        <v>N/D</v>
      </c>
      <c r="X25" s="45">
        <f>VLOOKUP($A25,'Dados ClubeFII'!$A:$AU,column(X25)-$A$5,0)</f>
        <v>0.0093</v>
      </c>
      <c r="Y25" s="41">
        <f>MID(VLOOKUP($A25,'Dados ClubeFII'!$A:$AU,column(Y25)-$A$5,0),3,100)/1</f>
        <v>1821328.46</v>
      </c>
      <c r="Z25" s="46">
        <f>VLOOKUP($A25,'Dados ClubeFII'!$A:$AU,column(Z25)-$A$5,0)</f>
        <v>86311</v>
      </c>
      <c r="AA25" s="47">
        <f t="shared" si="2"/>
        <v>644998155</v>
      </c>
      <c r="AB25" s="48">
        <f t="shared" si="3"/>
        <v>1.650872103</v>
      </c>
      <c r="AC25" s="48"/>
      <c r="AD25" s="48"/>
      <c r="AE25" s="48"/>
    </row>
    <row r="26">
      <c r="A26" s="37" t="s">
        <v>51</v>
      </c>
      <c r="B26" s="38">
        <f>IFERROR(__xludf.DUMMYFUNCTION("GOOGLEFINANCE(A26)"),57.16)</f>
        <v>57.16</v>
      </c>
      <c r="C26" s="38">
        <f>IFERROR(__xludf.DUMMYFUNCTION("GOOGLEFINANCE($A26,""high52"")"),73.59)</f>
        <v>73.59</v>
      </c>
      <c r="D26" s="52" t="b">
        <v>0</v>
      </c>
      <c r="E26" s="40" t="str">
        <f>VLOOKUP($A26,'Dados ClubeFII'!$A:$AU,column(E26)-$A$5,0)</f>
        <v>Capitânia REIT FOF</v>
      </c>
      <c r="F26" s="40" t="str">
        <f>VLOOKUP($A26,'Dados ClubeFII'!$A:$AU,column(F26)-$A$5,0)</f>
        <v>CAPITÂNIA S.A.</v>
      </c>
      <c r="G26" s="40" t="str">
        <f>VLOOKUP($A26,'Dados ClubeFII'!$A:$AU,column(G26)-$A$5,0)</f>
        <v>Fundo de Fundos</v>
      </c>
      <c r="H26" s="41">
        <f>MID(VLOOKUP($A26,'Dados ClubeFII'!$A:$AU,column(H26)-$A$5,0),3,100)/mid(VLOOKUP($A26,'Dados ClubeFII'!$A:$AU,2,0),4,SEARCH(",",VLOOKUP($A26,'Dados ClubeFII'!$A:$AU,2,0))-1)*B26</f>
        <v>892406746.8</v>
      </c>
      <c r="I26" s="41">
        <f>MID(VLOOKUP($A26,'Dados ClubeFII'!$A:$AU,column(I26)-$A$5,0),3,100)/1</f>
        <v>197712406.1</v>
      </c>
      <c r="J26" s="42">
        <f>VLOOKUP($A26,'Dados ClubeFII'!$A:$AU,column(J26)-$A$5,0)/mid(VLOOKUP($A26,'Dados ClubeFII'!$A:$AU,2,0),3,SEARCH(",",VLOOKUP($A26,'Dados ClubeFII'!$A:$AU,2,0)))*B26</f>
        <v>0.7443205342</v>
      </c>
      <c r="K26" s="41">
        <f>if(VLOOKUP($A26,'Dados ClubeFII'!$A:$AU,column(K26)-$A$5,0)="N/D",0,MID(VLOOKUP($A26,'Dados ClubeFII'!$A:$AU,column(K26)-$A$5,0),3,100)/1)/mid(VLOOKUP($A26,'Dados ClubeFII'!$A:$AU,2,0),3,SEARCH(",",VLOOKUP($A26,'Dados ClubeFII'!$A:$AU,2,0)))*B26</f>
        <v>0</v>
      </c>
      <c r="L26" s="41">
        <f>if(VLOOKUP($A26,'Dados ClubeFII'!$A:$AU,column(L26)-$A$5,0)="N/D",0,MID(VLOOKUP($A26,'Dados ClubeFII'!$A:$AU,column(L26)-$A$5,0),3,100)/1)</f>
        <v>0</v>
      </c>
      <c r="M26" s="41">
        <f>MID(VLOOKUP($A26,'Dados ClubeFII'!$A:$AU,column(M26)-$A$5,0),3,100)/1</f>
        <v>0.37</v>
      </c>
      <c r="N26" s="41">
        <f>MID(VLOOKUP($A26,'Dados ClubeFII'!$A:$AU,column(N26)-$A$5,0),3,100)/1</f>
        <v>0</v>
      </c>
      <c r="O26" s="41">
        <f>LEFT(VLOOKUP($A26,'Dados ClubeFII'!$A:$AU,column(O26)-$A$5,0),len(VLOOKUP($A26,'Dados ClubeFII'!$A:$AU,column(O26)-$A$5,0))-2)/1</f>
        <v>0</v>
      </c>
      <c r="P26" s="43">
        <f>VLOOKUP($A26,'Dados ClubeFII'!$A:$AU,column(P26)-$A$5,0)</f>
        <v>44973</v>
      </c>
      <c r="Q26" s="44">
        <f>VLOOKUP($A26,'Dados ClubeFII'!$A:$AU,column(Q26)-$A$5,0)/mid(VLOOKUP($A26,'Dados ClubeFII'!$A:$AU,2,0),3,SEARCH(",",VLOOKUP($A26,'Dados ClubeFII'!$A:$AU,2,0)))*B26</f>
        <v>0.07242811352</v>
      </c>
      <c r="R26" s="44">
        <f>VLOOKUP($A26,'Dados ClubeFII'!$A:$AU,column(R26)-$A$5,0)/mid(VLOOKUP($A26,'Dados ClubeFII'!$A:$AU,2,0),3,SEARCH(",",VLOOKUP($A26,'Dados ClubeFII'!$A:$AU,2,0)))*B26</f>
        <v>0.1112663773</v>
      </c>
      <c r="S26" s="43">
        <f>VLOOKUP($A26,'Dados ClubeFII'!$A:$AU,column(S26)-$A$5,0)</f>
        <v>43832</v>
      </c>
      <c r="T26" s="41">
        <f>MID(VLOOKUP($A26,'Dados ClubeFII'!$A:$AU,column(T26)-$A$5,0),3,100)/1</f>
        <v>100</v>
      </c>
      <c r="U26" s="45">
        <f>VLOOKUP($A26,'Dados ClubeFII'!$A:$AU,column(U26)-$A$5,0)/mid(VLOOKUP($A26,'Dados ClubeFII'!$A:$AU,2,0),4,SEARCH(",",VLOOKUP($A26,'Dados ClubeFII'!$A:$AU,2,0))-1)*B26</f>
        <v>-0.4209054545</v>
      </c>
      <c r="V26" s="42" t="str">
        <f>VLOOKUP($A26,'Dados ClubeFII'!$A:$AU,column(V26)-$A$5,0)</f>
        <v>N/D</v>
      </c>
      <c r="W26" s="43" t="str">
        <f>VLOOKUP($A26,'Dados ClubeFII'!$A:$AU,column(W26)-$A$5,0)</f>
        <v>N/D</v>
      </c>
      <c r="X26" s="45">
        <f>VLOOKUP($A26,'Dados ClubeFII'!$A:$AU,column(X26)-$A$5,0)</f>
        <v>0.0033</v>
      </c>
      <c r="Y26" s="41">
        <f>MID(VLOOKUP($A26,'Dados ClubeFII'!$A:$AU,column(Y26)-$A$5,0),3,100)/1</f>
        <v>273575.24</v>
      </c>
      <c r="Z26" s="46">
        <f>VLOOKUP($A26,'Dados ClubeFII'!$A:$AU,column(Z26)-$A$5,0)</f>
        <v>11748</v>
      </c>
      <c r="AA26" s="47">
        <f t="shared" si="2"/>
        <v>15612434</v>
      </c>
      <c r="AB26" s="48">
        <f t="shared" si="3"/>
        <v>12.66377851</v>
      </c>
      <c r="AC26" s="48"/>
      <c r="AD26" s="48"/>
      <c r="AE26" s="48"/>
    </row>
    <row r="27">
      <c r="A27" s="37" t="s">
        <v>52</v>
      </c>
      <c r="B27" s="38">
        <f>IFERROR(__xludf.DUMMYFUNCTION("GOOGLEFINANCE(A27)"),82.0)</f>
        <v>82</v>
      </c>
      <c r="C27" s="38">
        <f>IFERROR(__xludf.DUMMYFUNCTION("GOOGLEFINANCE($A27,""high52"")"),89.72)</f>
        <v>89.72</v>
      </c>
      <c r="D27" s="52" t="b">
        <v>0</v>
      </c>
      <c r="E27" s="40" t="str">
        <f>VLOOKUP($A27,'Dados ClubeFII'!$A:$AU,column(E27)-$A$5,0)</f>
        <v>BB Progressivo II</v>
      </c>
      <c r="F27" s="40" t="str">
        <f>VLOOKUP($A27,'Dados ClubeFII'!$A:$AU,column(F27)-$A$5,0)</f>
        <v>VOTORANTIM ASSET</v>
      </c>
      <c r="G27" s="40" t="str">
        <f>VLOOKUP($A27,'Dados ClubeFII'!$A:$AU,column(G27)-$A$5,0)</f>
        <v>Agencias Bancárias</v>
      </c>
      <c r="H27" s="41">
        <f>MID(VLOOKUP($A27,'Dados ClubeFII'!$A:$AU,column(H27)-$A$5,0),3,100)/mid(VLOOKUP($A27,'Dados ClubeFII'!$A:$AU,2,0),4,SEARCH(",",VLOOKUP($A27,'Dados ClubeFII'!$A:$AU,2,0))-1)*B27</f>
        <v>28268159360</v>
      </c>
      <c r="I27" s="41">
        <f>MID(VLOOKUP($A27,'Dados ClubeFII'!$A:$AU,column(I27)-$A$5,0),3,100)/1</f>
        <v>1603971546</v>
      </c>
      <c r="J27" s="42">
        <f>VLOOKUP($A27,'Dados ClubeFII'!$A:$AU,column(J27)-$A$5,0)/mid(VLOOKUP($A27,'Dados ClubeFII'!$A:$AU,2,0),3,SEARCH(",",VLOOKUP($A27,'Dados ClubeFII'!$A:$AU,2,0)))*B27</f>
        <v>0.8116875373</v>
      </c>
      <c r="K27" s="41">
        <f>if(VLOOKUP($A27,'Dados ClubeFII'!$A:$AU,column(K27)-$A$5,0)="N/D",0,MID(VLOOKUP($A27,'Dados ClubeFII'!$A:$AU,column(K27)-$A$5,0),3,100)/1)/mid(VLOOKUP($A27,'Dados ClubeFII'!$A:$AU,2,0),3,SEARCH(",",VLOOKUP($A27,'Dados ClubeFII'!$A:$AU,2,0)))*B27</f>
        <v>4094.230173</v>
      </c>
      <c r="L27" s="41">
        <f>if(VLOOKUP($A27,'Dados ClubeFII'!$A:$AU,column(L27)-$A$5,0)="N/D",0,MID(VLOOKUP($A27,'Dados ClubeFII'!$A:$AU,column(L27)-$A$5,0),3,100)/1)</f>
        <v>5059.58</v>
      </c>
      <c r="M27" s="41">
        <f>MID(VLOOKUP($A27,'Dados ClubeFII'!$A:$AU,column(M27)-$A$5,0),3,100)/1</f>
        <v>0.9</v>
      </c>
      <c r="N27" s="41">
        <f>MID(VLOOKUP($A27,'Dados ClubeFII'!$A:$AU,column(N27)-$A$5,0),3,100)/1</f>
        <v>45.2</v>
      </c>
      <c r="O27" s="41">
        <f>LEFT(VLOOKUP($A27,'Dados ClubeFII'!$A:$AU,column(O27)-$A$5,0),len(VLOOKUP($A27,'Dados ClubeFII'!$A:$AU,column(O27)-$A$5,0))-2)/1</f>
        <v>317017</v>
      </c>
      <c r="P27" s="43">
        <f>VLOOKUP($A27,'Dados ClubeFII'!$A:$AU,column(P27)-$A$5,0)</f>
        <v>44971</v>
      </c>
      <c r="Q27" s="44">
        <f>VLOOKUP($A27,'Dados ClubeFII'!$A:$AU,column(Q27)-$A$5,0)/mid(VLOOKUP($A27,'Dados ClubeFII'!$A:$AU,2,0),3,SEARCH(",",VLOOKUP($A27,'Dados ClubeFII'!$A:$AU,2,0)))*B27</f>
        <v>0.1344663089</v>
      </c>
      <c r="R27" s="44">
        <f>VLOOKUP($A27,'Dados ClubeFII'!$A:$AU,column(R27)-$A$5,0)/mid(VLOOKUP($A27,'Dados ClubeFII'!$A:$AU,2,0),3,SEARCH(",",VLOOKUP($A27,'Dados ClubeFII'!$A:$AU,2,0)))*B27</f>
        <v>0.1275229577</v>
      </c>
      <c r="S27" s="43">
        <f>VLOOKUP($A27,'Dados ClubeFII'!$A:$AU,column(S27)-$A$5,0)</f>
        <v>41255</v>
      </c>
      <c r="T27" s="41">
        <f>MID(VLOOKUP($A27,'Dados ClubeFII'!$A:$AU,column(T27)-$A$5,0),3,100)/1</f>
        <v>100</v>
      </c>
      <c r="U27" s="45">
        <f>VLOOKUP($A27,'Dados ClubeFII'!$A:$AU,column(U27)-$A$5,0)/mid(VLOOKUP($A27,'Dados ClubeFII'!$A:$AU,2,0),4,SEARCH(",",VLOOKUP($A27,'Dados ClubeFII'!$A:$AU,2,0))-1)*B27</f>
        <v>-0.5303376623</v>
      </c>
      <c r="V27" s="42">
        <f>VLOOKUP($A27,'Dados ClubeFII'!$A:$AU,column(V27)-$A$5,0)</f>
        <v>0.0294</v>
      </c>
      <c r="W27" s="43">
        <f>VLOOKUP($A27,'Dados ClubeFII'!$A:$AU,column(W27)-$A$5,0)</f>
        <v>44925</v>
      </c>
      <c r="X27" s="45">
        <f>VLOOKUP($A27,'Dados ClubeFII'!$A:$AU,column(X27)-$A$5,0)</f>
        <v>0.0124</v>
      </c>
      <c r="Y27" s="41">
        <f>MID(VLOOKUP($A27,'Dados ClubeFII'!$A:$AU,column(Y27)-$A$5,0),3,100)/1</f>
        <v>1396651.6</v>
      </c>
      <c r="Z27" s="46">
        <f>VLOOKUP($A27,'Dados ClubeFII'!$A:$AU,column(Z27)-$A$5,0)</f>
        <v>74456</v>
      </c>
      <c r="AA27" s="47">
        <f t="shared" si="2"/>
        <v>344733650</v>
      </c>
      <c r="AB27" s="48">
        <f t="shared" si="3"/>
        <v>4.652784972</v>
      </c>
      <c r="AC27" s="48"/>
      <c r="AD27" s="48"/>
      <c r="AE27" s="48"/>
    </row>
    <row r="28">
      <c r="A28" s="54" t="s">
        <v>53</v>
      </c>
      <c r="B28" s="38">
        <f>IFERROR(__xludf.DUMMYFUNCTION("GOOGLEFINANCE(A28)"),67.29)</f>
        <v>67.29</v>
      </c>
      <c r="C28" s="38">
        <f>IFERROR(__xludf.DUMMYFUNCTION("GOOGLEFINANCE($A28,""high52"")"),70.85)</f>
        <v>70.85</v>
      </c>
      <c r="D28" s="52" t="b">
        <v>1</v>
      </c>
      <c r="E28" s="40" t="str">
        <f>VLOOKUP($A28,'Dados ClubeFII'!$A:$AU,column(E28)-$A$5,0)</f>
        <v>Galapagos Fundo de Fundos</v>
      </c>
      <c r="F28" s="40" t="str">
        <f>VLOOKUP($A28,'Dados ClubeFII'!$A:$AU,column(F28)-$A$5,0)</f>
        <v>GALAPAGOS CAPITAL</v>
      </c>
      <c r="G28" s="40" t="str">
        <f>VLOOKUP($A28,'Dados ClubeFII'!$A:$AU,column(G28)-$A$5,0)</f>
        <v>Fundo de Fundos</v>
      </c>
      <c r="H28" s="41">
        <f>MID(VLOOKUP($A28,'Dados ClubeFII'!$A:$AU,column(H28)-$A$5,0),3,100)/mid(VLOOKUP($A28,'Dados ClubeFII'!$A:$AU,2,0),4,SEARCH(",",VLOOKUP($A28,'Dados ClubeFII'!$A:$AU,2,0))-1)*B28</f>
        <v>175415679.3</v>
      </c>
      <c r="I28" s="41">
        <f>MID(VLOOKUP($A28,'Dados ClubeFII'!$A:$AU,column(I28)-$A$5,0),3,100)/1</f>
        <v>26903483.9</v>
      </c>
      <c r="J28" s="42">
        <f>VLOOKUP($A28,'Dados ClubeFII'!$A:$AU,column(J28)-$A$5,0)/mid(VLOOKUP($A28,'Dados ClubeFII'!$A:$AU,2,0),3,SEARCH(",",VLOOKUP($A28,'Dados ClubeFII'!$A:$AU,2,0)))*B28</f>
        <v>0.8402700741</v>
      </c>
      <c r="K28" s="41">
        <f>if(VLOOKUP($A28,'Dados ClubeFII'!$A:$AU,column(K28)-$A$5,0)="N/D",0,MID(VLOOKUP($A28,'Dados ClubeFII'!$A:$AU,column(K28)-$A$5,0),3,100)/1)/mid(VLOOKUP($A28,'Dados ClubeFII'!$A:$AU,2,0),3,SEARCH(",",VLOOKUP($A28,'Dados ClubeFII'!$A:$AU,2,0)))*B28</f>
        <v>0</v>
      </c>
      <c r="L28" s="41">
        <f>if(VLOOKUP($A28,'Dados ClubeFII'!$A:$AU,column(L28)-$A$5,0)="N/D",0,MID(VLOOKUP($A28,'Dados ClubeFII'!$A:$AU,column(L28)-$A$5,0),3,100)/1)</f>
        <v>0</v>
      </c>
      <c r="M28" s="41">
        <f>MID(VLOOKUP($A28,'Dados ClubeFII'!$A:$AU,column(M28)-$A$5,0),3,100)/1</f>
        <v>0.7</v>
      </c>
      <c r="N28" s="41">
        <f>MID(VLOOKUP($A28,'Dados ClubeFII'!$A:$AU,column(N28)-$A$5,0),3,100)/1</f>
        <v>0</v>
      </c>
      <c r="O28" s="41">
        <f>LEFT(VLOOKUP($A28,'Dados ClubeFII'!$A:$AU,column(O28)-$A$5,0),len(VLOOKUP($A28,'Dados ClubeFII'!$A:$AU,column(O28)-$A$5,0))-2)/1</f>
        <v>0</v>
      </c>
      <c r="P28" s="43">
        <f>VLOOKUP($A28,'Dados ClubeFII'!$A:$AU,column(P28)-$A$5,0)</f>
        <v>44979</v>
      </c>
      <c r="Q28" s="44">
        <f>VLOOKUP($A28,'Dados ClubeFII'!$A:$AU,column(Q28)-$A$5,0)/mid(VLOOKUP($A28,'Dados ClubeFII'!$A:$AU,2,0),3,SEARCH(",",VLOOKUP($A28,'Dados ClubeFII'!$A:$AU,2,0)))*B28</f>
        <v>0.127212981</v>
      </c>
      <c r="R28" s="44">
        <f>VLOOKUP($A28,'Dados ClubeFII'!$A:$AU,column(R28)-$A$5,0)/mid(VLOOKUP($A28,'Dados ClubeFII'!$A:$AU,2,0),3,SEARCH(",",VLOOKUP($A28,'Dados ClubeFII'!$A:$AU,2,0)))*B28</f>
        <v>0.1284831567</v>
      </c>
      <c r="S28" s="43">
        <f>VLOOKUP($A28,'Dados ClubeFII'!$A:$AU,column(S28)-$A$5,0)</f>
        <v>44032</v>
      </c>
      <c r="T28" s="41">
        <f>MID(VLOOKUP($A28,'Dados ClubeFII'!$A:$AU,column(T28)-$A$5,0),3,100)/1</f>
        <v>100</v>
      </c>
      <c r="U28" s="45">
        <f>VLOOKUP($A28,'Dados ClubeFII'!$A:$AU,column(U28)-$A$5,0)/mid(VLOOKUP($A28,'Dados ClubeFII'!$A:$AU,2,0),4,SEARCH(",",VLOOKUP($A28,'Dados ClubeFII'!$A:$AU,2,0))-1)*B28</f>
        <v>-0.3080015784</v>
      </c>
      <c r="V28" s="42" t="str">
        <f>VLOOKUP($A28,'Dados ClubeFII'!$A:$AU,column(V28)-$A$5,0)</f>
        <v>N/D</v>
      </c>
      <c r="W28" s="43" t="str">
        <f>VLOOKUP($A28,'Dados ClubeFII'!$A:$AU,column(W28)-$A$5,0)</f>
        <v>N/D</v>
      </c>
      <c r="X28" s="45">
        <f>VLOOKUP($A28,'Dados ClubeFII'!$A:$AU,column(X28)-$A$5,0)</f>
        <v>0</v>
      </c>
      <c r="Y28" s="41">
        <f>MID(VLOOKUP($A28,'Dados ClubeFII'!$A:$AU,column(Y28)-$A$5,0),3,100)/1</f>
        <v>23629.46</v>
      </c>
      <c r="Z28" s="46">
        <f>VLOOKUP($A28,'Dados ClubeFII'!$A:$AU,column(Z28)-$A$5,0)</f>
        <v>1958</v>
      </c>
      <c r="AA28" s="47">
        <f t="shared" si="2"/>
        <v>2606861</v>
      </c>
      <c r="AB28" s="48">
        <f t="shared" si="3"/>
        <v>10.32026023</v>
      </c>
      <c r="AC28" s="48"/>
      <c r="AD28" s="48"/>
      <c r="AE28" s="48"/>
    </row>
    <row r="29">
      <c r="A29" s="49" t="s">
        <v>53</v>
      </c>
      <c r="B29" s="38">
        <f>IFERROR(__xludf.DUMMYFUNCTION("GOOGLEFINANCE(A29)"),67.29)</f>
        <v>67.29</v>
      </c>
      <c r="C29" s="38">
        <f>IFERROR(__xludf.DUMMYFUNCTION("GOOGLEFINANCE($A29,""high52"")"),70.85)</f>
        <v>70.85</v>
      </c>
      <c r="D29" s="52" t="b">
        <v>0</v>
      </c>
      <c r="E29" s="40" t="str">
        <f>VLOOKUP($A29,'Dados ClubeFII'!$A:$AU,column(E29)-$A$5,0)</f>
        <v>Galapagos Fundo de Fundos</v>
      </c>
      <c r="F29" s="40" t="str">
        <f>VLOOKUP($A29,'Dados ClubeFII'!$A:$AU,column(F29)-$A$5,0)</f>
        <v>GALAPAGOS CAPITAL</v>
      </c>
      <c r="G29" s="40" t="str">
        <f>VLOOKUP($A29,'Dados ClubeFII'!$A:$AU,column(G29)-$A$5,0)</f>
        <v>Fundo de Fundos</v>
      </c>
      <c r="H29" s="41">
        <f>MID(VLOOKUP($A29,'Dados ClubeFII'!$A:$AU,column(H29)-$A$5,0),3,100)/mid(VLOOKUP($A29,'Dados ClubeFII'!$A:$AU,2,0),4,SEARCH(",",VLOOKUP($A29,'Dados ClubeFII'!$A:$AU,2,0))-1)*B29</f>
        <v>175415679.3</v>
      </c>
      <c r="I29" s="41">
        <f>MID(VLOOKUP($A29,'Dados ClubeFII'!$A:$AU,column(I29)-$A$5,0),3,100)/1</f>
        <v>26903483.9</v>
      </c>
      <c r="J29" s="42">
        <f>VLOOKUP($A29,'Dados ClubeFII'!$A:$AU,column(J29)-$A$5,0)/mid(VLOOKUP($A29,'Dados ClubeFII'!$A:$AU,2,0),3,SEARCH(",",VLOOKUP($A29,'Dados ClubeFII'!$A:$AU,2,0)))*B29</f>
        <v>0.8402700741</v>
      </c>
      <c r="K29" s="41">
        <f>if(VLOOKUP($A29,'Dados ClubeFII'!$A:$AU,column(K29)-$A$5,0)="N/D",0,MID(VLOOKUP($A29,'Dados ClubeFII'!$A:$AU,column(K29)-$A$5,0),3,100)/1)/mid(VLOOKUP($A29,'Dados ClubeFII'!$A:$AU,2,0),3,SEARCH(",",VLOOKUP($A29,'Dados ClubeFII'!$A:$AU,2,0)))*B29</f>
        <v>0</v>
      </c>
      <c r="L29" s="41">
        <f>if(VLOOKUP($A29,'Dados ClubeFII'!$A:$AU,column(L29)-$A$5,0)="N/D",0,MID(VLOOKUP($A29,'Dados ClubeFII'!$A:$AU,column(L29)-$A$5,0),3,100)/1)</f>
        <v>0</v>
      </c>
      <c r="M29" s="41">
        <f>MID(VLOOKUP($A29,'Dados ClubeFII'!$A:$AU,column(M29)-$A$5,0),3,100)/1</f>
        <v>0.7</v>
      </c>
      <c r="N29" s="41">
        <f>MID(VLOOKUP($A29,'Dados ClubeFII'!$A:$AU,column(N29)-$A$5,0),3,100)/1</f>
        <v>0</v>
      </c>
      <c r="O29" s="41">
        <f>LEFT(VLOOKUP($A29,'Dados ClubeFII'!$A:$AU,column(O29)-$A$5,0),len(VLOOKUP($A29,'Dados ClubeFII'!$A:$AU,column(O29)-$A$5,0))-2)/1</f>
        <v>0</v>
      </c>
      <c r="P29" s="43">
        <f>VLOOKUP($A29,'Dados ClubeFII'!$A:$AU,column(P29)-$A$5,0)</f>
        <v>44979</v>
      </c>
      <c r="Q29" s="44">
        <f>VLOOKUP($A29,'Dados ClubeFII'!$A:$AU,column(Q29)-$A$5,0)/mid(VLOOKUP($A29,'Dados ClubeFII'!$A:$AU,2,0),3,SEARCH(",",VLOOKUP($A29,'Dados ClubeFII'!$A:$AU,2,0)))*B29</f>
        <v>0.127212981</v>
      </c>
      <c r="R29" s="44">
        <f>VLOOKUP($A29,'Dados ClubeFII'!$A:$AU,column(R29)-$A$5,0)/mid(VLOOKUP($A29,'Dados ClubeFII'!$A:$AU,2,0),3,SEARCH(",",VLOOKUP($A29,'Dados ClubeFII'!$A:$AU,2,0)))*B29</f>
        <v>0.1284831567</v>
      </c>
      <c r="S29" s="43">
        <f>VLOOKUP($A29,'Dados ClubeFII'!$A:$AU,column(S29)-$A$5,0)</f>
        <v>44032</v>
      </c>
      <c r="T29" s="41">
        <f>MID(VLOOKUP($A29,'Dados ClubeFII'!$A:$AU,column(T29)-$A$5,0),3,100)/1</f>
        <v>100</v>
      </c>
      <c r="U29" s="45">
        <f>VLOOKUP($A29,'Dados ClubeFII'!$A:$AU,column(U29)-$A$5,0)/mid(VLOOKUP($A29,'Dados ClubeFII'!$A:$AU,2,0),4,SEARCH(",",VLOOKUP($A29,'Dados ClubeFII'!$A:$AU,2,0))-1)*B29</f>
        <v>-0.3080015784</v>
      </c>
      <c r="V29" s="42" t="str">
        <f>VLOOKUP($A29,'Dados ClubeFII'!$A:$AU,column(V29)-$A$5,0)</f>
        <v>N/D</v>
      </c>
      <c r="W29" s="43" t="str">
        <f>VLOOKUP($A29,'Dados ClubeFII'!$A:$AU,column(W29)-$A$5,0)</f>
        <v>N/D</v>
      </c>
      <c r="X29" s="45">
        <f>VLOOKUP($A29,'Dados ClubeFII'!$A:$AU,column(X29)-$A$5,0)</f>
        <v>0</v>
      </c>
      <c r="Y29" s="41">
        <f>MID(VLOOKUP($A29,'Dados ClubeFII'!$A:$AU,column(Y29)-$A$5,0),3,100)/1</f>
        <v>23629.46</v>
      </c>
      <c r="Z29" s="46">
        <f>VLOOKUP($A29,'Dados ClubeFII'!$A:$AU,column(Z29)-$A$5,0)</f>
        <v>1958</v>
      </c>
      <c r="AA29" s="47">
        <f t="shared" si="2"/>
        <v>2606861</v>
      </c>
      <c r="AB29" s="48">
        <f t="shared" si="3"/>
        <v>10.32026023</v>
      </c>
      <c r="AC29" s="48"/>
      <c r="AD29" s="48"/>
      <c r="AE29" s="48"/>
    </row>
    <row r="30">
      <c r="A30" s="53" t="s">
        <v>54</v>
      </c>
      <c r="B30" s="38">
        <f>IFERROR(__xludf.DUMMYFUNCTION("GOOGLEFINANCE(A30)"),85.32)</f>
        <v>85.32</v>
      </c>
      <c r="C30" s="38">
        <f>IFERROR(__xludf.DUMMYFUNCTION("GOOGLEFINANCE($A30,""high52"")"),98.48)</f>
        <v>98.48</v>
      </c>
      <c r="D30" s="52" t="b">
        <v>0</v>
      </c>
      <c r="E30" s="40" t="str">
        <f>VLOOKUP($A30,'Dados ClubeFII'!$A:$AU,column(E30)-$A$5,0)</f>
        <v>Iridium Recebíveis Imobiliários</v>
      </c>
      <c r="F30" s="40" t="str">
        <f>VLOOKUP($A30,'Dados ClubeFII'!$A:$AU,column(F30)-$A$5,0)</f>
        <v>IRIDIUM GESTÃO</v>
      </c>
      <c r="G30" s="40" t="str">
        <f>VLOOKUP($A30,'Dados ClubeFII'!$A:$AU,column(G30)-$A$5,0)</f>
        <v>Recebíveis Imobiliários</v>
      </c>
      <c r="H30" s="41">
        <f>MID(VLOOKUP($A30,'Dados ClubeFII'!$A:$AU,column(H30)-$A$5,0),3,100)/mid(VLOOKUP($A30,'Dados ClubeFII'!$A:$AU,2,0),4,SEARCH(",",VLOOKUP($A30,'Dados ClubeFII'!$A:$AU,2,0))-1)*B30</f>
        <v>30220357789</v>
      </c>
      <c r="I30" s="41">
        <f>MID(VLOOKUP($A30,'Dados ClubeFII'!$A:$AU,column(I30)-$A$5,0),3,100)/1</f>
        <v>3364084225</v>
      </c>
      <c r="J30" s="42">
        <f>VLOOKUP($A30,'Dados ClubeFII'!$A:$AU,column(J30)-$A$5,0)/mid(VLOOKUP($A30,'Dados ClubeFII'!$A:$AU,2,0),3,SEARCH(",",VLOOKUP($A30,'Dados ClubeFII'!$A:$AU,2,0)))*B30</f>
        <v>0.9278071749</v>
      </c>
      <c r="K30" s="41">
        <f>if(VLOOKUP($A30,'Dados ClubeFII'!$A:$AU,column(K30)-$A$5,0)="N/D",0,MID(VLOOKUP($A30,'Dados ClubeFII'!$A:$AU,column(K30)-$A$5,0),3,100)/1)/mid(VLOOKUP($A30,'Dados ClubeFII'!$A:$AU,2,0),3,SEARCH(",",VLOOKUP($A30,'Dados ClubeFII'!$A:$AU,2,0)))*B30</f>
        <v>0</v>
      </c>
      <c r="L30" s="41">
        <f>if(VLOOKUP($A30,'Dados ClubeFII'!$A:$AU,column(L30)-$A$5,0)="N/D",0,MID(VLOOKUP($A30,'Dados ClubeFII'!$A:$AU,column(L30)-$A$5,0),3,100)/1)</f>
        <v>0</v>
      </c>
      <c r="M30" s="41">
        <f>MID(VLOOKUP($A30,'Dados ClubeFII'!$A:$AU,column(M30)-$A$5,0),3,100)/1</f>
        <v>0.95</v>
      </c>
      <c r="N30" s="41">
        <f>MID(VLOOKUP($A30,'Dados ClubeFII'!$A:$AU,column(N30)-$A$5,0),3,100)/1</f>
        <v>0</v>
      </c>
      <c r="O30" s="41">
        <f>LEFT(VLOOKUP($A30,'Dados ClubeFII'!$A:$AU,column(O30)-$A$5,0),len(VLOOKUP($A30,'Dados ClubeFII'!$A:$AU,column(O30)-$A$5,0))-2)/1</f>
        <v>0</v>
      </c>
      <c r="P30" s="43">
        <f>VLOOKUP($A30,'Dados ClubeFII'!$A:$AU,column(P30)-$A$5,0)</f>
        <v>44973</v>
      </c>
      <c r="Q30" s="44">
        <f>VLOOKUP($A30,'Dados ClubeFII'!$A:$AU,column(Q30)-$A$5,0)/mid(VLOOKUP($A30,'Dados ClubeFII'!$A:$AU,2,0),3,SEARCH(",",VLOOKUP($A30,'Dados ClubeFII'!$A:$AU,2,0)))*B30</f>
        <v>0.1290321525</v>
      </c>
      <c r="R30" s="44">
        <f>VLOOKUP($A30,'Dados ClubeFII'!$A:$AU,column(R30)-$A$5,0)/mid(VLOOKUP($A30,'Dados ClubeFII'!$A:$AU,2,0),3,SEARCH(",",VLOOKUP($A30,'Dados ClubeFII'!$A:$AU,2,0)))*B30</f>
        <v>0.1398406278</v>
      </c>
      <c r="S30" s="43">
        <f>VLOOKUP($A30,'Dados ClubeFII'!$A:$AU,column(S30)-$A$5,0)</f>
        <v>43167</v>
      </c>
      <c r="T30" s="41">
        <f>MID(VLOOKUP($A30,'Dados ClubeFII'!$A:$AU,column(T30)-$A$5,0),3,100)/1</f>
        <v>100</v>
      </c>
      <c r="U30" s="45">
        <f>VLOOKUP($A30,'Dados ClubeFII'!$A:$AU,column(U30)-$A$5,0)/mid(VLOOKUP($A30,'Dados ClubeFII'!$A:$AU,2,0),4,SEARCH(",",VLOOKUP($A30,'Dados ClubeFII'!$A:$AU,2,0))-1)*B30</f>
        <v>-0.2921282609</v>
      </c>
      <c r="V30" s="42" t="str">
        <f>VLOOKUP($A30,'Dados ClubeFII'!$A:$AU,column(V30)-$A$5,0)</f>
        <v>N/D</v>
      </c>
      <c r="W30" s="43" t="str">
        <f>VLOOKUP($A30,'Dados ClubeFII'!$A:$AU,column(W30)-$A$5,0)</f>
        <v>N/D</v>
      </c>
      <c r="X30" s="45">
        <f>VLOOKUP($A30,'Dados ClubeFII'!$A:$AU,column(X30)-$A$5,0)</f>
        <v>0.0309</v>
      </c>
      <c r="Y30" s="41">
        <f>MID(VLOOKUP($A30,'Dados ClubeFII'!$A:$AU,column(Y30)-$A$5,0),3,100)/1</f>
        <v>4737112.56</v>
      </c>
      <c r="Z30" s="46">
        <f>VLOOKUP($A30,'Dados ClubeFII'!$A:$AU,column(Z30)-$A$5,0)</f>
        <v>279684</v>
      </c>
      <c r="AA30" s="47">
        <f t="shared" si="2"/>
        <v>354200161</v>
      </c>
      <c r="AB30" s="48">
        <f t="shared" si="3"/>
        <v>9.497692534</v>
      </c>
      <c r="AC30" s="48"/>
      <c r="AD30" s="48"/>
      <c r="AE30" s="48"/>
    </row>
    <row r="31">
      <c r="A31" s="37" t="s">
        <v>55</v>
      </c>
      <c r="B31" s="38">
        <f>IFERROR(__xludf.DUMMYFUNCTION("GOOGLEFINANCE(A31)"),99.99)</f>
        <v>99.99</v>
      </c>
      <c r="C31" s="38">
        <f>IFERROR(__xludf.DUMMYFUNCTION("GOOGLEFINANCE($A31,""high52"")"),101.73)</f>
        <v>101.73</v>
      </c>
      <c r="D31" s="52" t="b">
        <v>0</v>
      </c>
      <c r="E31" s="40" t="str">
        <f>VLOOKUP($A31,'Dados ClubeFII'!$A:$AU,column(E31)-$A$5,0)</f>
        <v>Newport Logística</v>
      </c>
      <c r="F31" s="40" t="str">
        <f>VLOOKUP($A31,'Dados ClubeFII'!$A:$AU,column(F31)-$A$5,0)</f>
        <v/>
      </c>
      <c r="G31" s="40" t="str">
        <f>VLOOKUP($A31,'Dados ClubeFII'!$A:$AU,column(G31)-$A$5,0)</f>
        <v>Logisticos</v>
      </c>
      <c r="H31" s="41">
        <f>MID(VLOOKUP($A31,'Dados ClubeFII'!$A:$AU,COLUMN(H31)-$A$5,0),3,100)/MID(VLOOKUP($A31,'Dados ClubeFII'!$A:$AU,2,0),3,SEARCH(",",VLOOKUP($A31,'Dados ClubeFII'!$A:$AU,2,0)))*B31</f>
        <v>209506185.9</v>
      </c>
      <c r="I31" s="41">
        <f>MID(VLOOKUP($A31,'Dados ClubeFII'!$A:$AU,column(I31)-$A$5,0),3,100)/1</f>
        <v>244177290.4</v>
      </c>
      <c r="J31" s="42">
        <f>VLOOKUP($A31,'Dados ClubeFII'!$A:$AU,column(J31)-$A$5,0)/mid(VLOOKUP($A31,'Dados ClubeFII'!$A:$AU,2,0),3,SEARCH(",",VLOOKUP($A31,'Dados ClubeFII'!$A:$AU,2,0)))*B31</f>
        <v>0.8533130143</v>
      </c>
      <c r="K31" s="41">
        <f>if(VLOOKUP($A31,'Dados ClubeFII'!$A:$AU,column(K31)-$A$5,0)="N/D",0,MID(VLOOKUP($A31,'Dados ClubeFII'!$A:$AU,column(K31)-$A$5,0),3,100)/1)/mid(VLOOKUP($A31,'Dados ClubeFII'!$A:$AU,2,0),3,SEARCH(",",VLOOKUP($A31,'Dados ClubeFII'!$A:$AU,2,0)))*B31</f>
        <v>1828.842801</v>
      </c>
      <c r="L31" s="41">
        <f>if(VLOOKUP($A31,'Dados ClubeFII'!$A:$AU,column(L31)-$A$5,0)="N/D",0,MID(VLOOKUP($A31,'Dados ClubeFII'!$A:$AU,column(L31)-$A$5,0),3,100)/1)</f>
        <v>2131.49</v>
      </c>
      <c r="M31" s="41">
        <f>MID(VLOOKUP($A31,'Dados ClubeFII'!$A:$AU,column(M31)-$A$5,0),3,100)/1</f>
        <v>0.93</v>
      </c>
      <c r="N31" s="41">
        <f>MID(VLOOKUP($A31,'Dados ClubeFII'!$A:$AU,column(N31)-$A$5,0),3,100)/1</f>
        <v>16.51</v>
      </c>
      <c r="O31" s="41">
        <f>LEFT(VLOOKUP($A31,'Dados ClubeFII'!$A:$AU,column(O31)-$A$5,0),len(VLOOKUP($A31,'Dados ClubeFII'!$A:$AU,column(O31)-$A$5,0))-2)/1</f>
        <v>114557</v>
      </c>
      <c r="P31" s="43">
        <f>VLOOKUP($A31,'Dados ClubeFII'!$A:$AU,column(P31)-$A$5,0)</f>
        <v>44971</v>
      </c>
      <c r="Q31" s="44">
        <f>VLOOKUP($A31,'Dados ClubeFII'!$A:$AU,column(Q31)-$A$5,0)/mid(VLOOKUP($A31,'Dados ClubeFII'!$A:$AU,2,0),3,SEARCH(",",VLOOKUP($A31,'Dados ClubeFII'!$A:$AU,2,0)))*B31</f>
        <v>0.1175337092</v>
      </c>
      <c r="R31" s="44">
        <f>VLOOKUP($A31,'Dados ClubeFII'!$A:$AU,column(R31)-$A$5,0)/mid(VLOOKUP($A31,'Dados ClubeFII'!$A:$AU,2,0),3,SEARCH(",",VLOOKUP($A31,'Dados ClubeFII'!$A:$AU,2,0)))*B31</f>
        <v>0.1164162755</v>
      </c>
      <c r="S31" s="43">
        <f>VLOOKUP($A31,'Dados ClubeFII'!$A:$AU,column(S31)-$A$5,0)</f>
        <v>43826</v>
      </c>
      <c r="T31" s="41">
        <f>MID(VLOOKUP($A31,'Dados ClubeFII'!$A:$AU,column(T31)-$A$5,0),3,100)/1</f>
        <v>100</v>
      </c>
      <c r="U31" s="45">
        <f>VLOOKUP($A31,'Dados ClubeFII'!$A:$AU,column(U31)-$A$5,0)/mid(VLOOKUP($A31,'Dados ClubeFII'!$A:$AU,2,0),4,SEARCH(",",VLOOKUP($A31,'Dados ClubeFII'!$A:$AU,2,0))-1)*B31</f>
        <v>0.4791928826</v>
      </c>
      <c r="V31" s="42">
        <f>VLOOKUP($A31,'Dados ClubeFII'!$A:$AU,column(V31)-$A$5,0)</f>
        <v>0</v>
      </c>
      <c r="W31" s="43">
        <f>VLOOKUP($A31,'Dados ClubeFII'!$A:$AU,column(W31)-$A$5,0)</f>
        <v>44957</v>
      </c>
      <c r="X31" s="45">
        <f>VLOOKUP($A31,'Dados ClubeFII'!$A:$AU,column(X31)-$A$5,0)</f>
        <v>0</v>
      </c>
      <c r="Y31" s="41">
        <f>MID(VLOOKUP($A31,'Dados ClubeFII'!$A:$AU,column(Y31)-$A$5,0),3,100)/1</f>
        <v>124369.04</v>
      </c>
      <c r="Z31" s="46">
        <f>VLOOKUP($A31,'Dados ClubeFII'!$A:$AU,column(Z31)-$A$5,0)</f>
        <v>3732</v>
      </c>
      <c r="AA31" s="47">
        <f t="shared" si="2"/>
        <v>2095271</v>
      </c>
      <c r="AB31" s="48">
        <f t="shared" si="3"/>
        <v>116.5373311</v>
      </c>
      <c r="AC31" s="48"/>
      <c r="AD31" s="48"/>
      <c r="AE31" s="48"/>
    </row>
    <row r="32">
      <c r="A32" s="49" t="s">
        <v>56</v>
      </c>
      <c r="B32" s="38">
        <f>IFERROR(__xludf.DUMMYFUNCTION("GOOGLEFINANCE(A32)"),1520.0)</f>
        <v>1520</v>
      </c>
      <c r="C32" s="38">
        <f>IFERROR(__xludf.DUMMYFUNCTION("GOOGLEFINANCE($A32,""high52"")"),1520.0)</f>
        <v>1520</v>
      </c>
      <c r="D32" s="52" t="b">
        <v>0</v>
      </c>
      <c r="E32" s="40" t="str">
        <f>VLOOKUP($A32,'Dados ClubeFII'!$A:$AU,column(E32)-$A$5,0)</f>
        <v>General Severiano</v>
      </c>
      <c r="F32" s="40" t="str">
        <f>VLOOKUP($A32,'Dados ClubeFII'!$A:$AU,column(F32)-$A$5,0)</f>
        <v>BTG PACTUAL</v>
      </c>
      <c r="G32" s="40" t="str">
        <f>VLOOKUP($A32,'Dados ClubeFII'!$A:$AU,column(G32)-$A$5,0)</f>
        <v>Outros</v>
      </c>
      <c r="H32" s="41" t="str">
        <f>MID(VLOOKUP($A32,'Dados ClubeFII'!$A:$AU,column(H32)-$A$5,0),3,100)/mid(VLOOKUP($A32,'Dados ClubeFII'!$A:$AU,2,0),4,SEARCH(",",VLOOKUP($A32,'Dados ClubeFII'!$A:$AU,2,0))-1)*B32</f>
        <v>#DIV/0!</v>
      </c>
      <c r="I32" s="41">
        <f>MID(VLOOKUP($A32,'Dados ClubeFII'!$A:$AU,column(I32)-$A$5,0),3,100)/1</f>
        <v>92165204.01</v>
      </c>
      <c r="J32" s="42" t="str">
        <f>VLOOKUP($A32,'Dados ClubeFII'!$A:$AU,column(J32)-$A$5,0)/mid(VLOOKUP($A32,'Dados ClubeFII'!$A:$AU,2,0),3,SEARCH(",",VLOOKUP($A32,'Dados ClubeFII'!$A:$AU,2,0)))*B32</f>
        <v>#DIV/0!</v>
      </c>
      <c r="K32" s="41" t="str">
        <f>if(VLOOKUP($A32,'Dados ClubeFII'!$A:$AU,column(K32)-$A$5,0)="N/D",0,MID(VLOOKUP($A32,'Dados ClubeFII'!$A:$AU,column(K32)-$A$5,0),3,100)/1)/mid(VLOOKUP($A32,'Dados ClubeFII'!$A:$AU,2,0),3,SEARCH(",",VLOOKUP($A32,'Dados ClubeFII'!$A:$AU,2,0)))*B32</f>
        <v>#DIV/0!</v>
      </c>
      <c r="L32" s="41">
        <f>if(VLOOKUP($A32,'Dados ClubeFII'!$A:$AU,column(L32)-$A$5,0)="N/D",0,MID(VLOOKUP($A32,'Dados ClubeFII'!$A:$AU,column(L32)-$A$5,0),3,100)/1)</f>
        <v>8496.05</v>
      </c>
      <c r="M32" s="41">
        <f>MID(VLOOKUP($A32,'Dados ClubeFII'!$A:$AU,column(M32)-$A$5,0),3,100)/1</f>
        <v>13.9</v>
      </c>
      <c r="N32" s="41">
        <f>MID(VLOOKUP($A32,'Dados ClubeFII'!$A:$AU,column(N32)-$A$5,0),3,100)/1</f>
        <v>66.65</v>
      </c>
      <c r="O32" s="41">
        <f>LEFT(VLOOKUP($A32,'Dados ClubeFII'!$A:$AU,column(O32)-$A$5,0),len(VLOOKUP($A32,'Dados ClubeFII'!$A:$AU,column(O32)-$A$5,0))-2)/1</f>
        <v>10848</v>
      </c>
      <c r="P32" s="43">
        <f>VLOOKUP($A32,'Dados ClubeFII'!$A:$AU,column(P32)-$A$5,0)</f>
        <v>44971</v>
      </c>
      <c r="Q32" s="44" t="str">
        <f>VLOOKUP($A32,'Dados ClubeFII'!$A:$AU,column(Q32)-$A$5,0)/mid(VLOOKUP($A32,'Dados ClubeFII'!$A:$AU,2,0),3,SEARCH(",",VLOOKUP($A32,'Dados ClubeFII'!$A:$AU,2,0)))*B32</f>
        <v>#DIV/0!</v>
      </c>
      <c r="R32" s="44" t="str">
        <f>VLOOKUP($A32,'Dados ClubeFII'!$A:$AU,column(R32)-$A$5,0)/mid(VLOOKUP($A32,'Dados ClubeFII'!$A:$AU,2,0),3,SEARCH(",",VLOOKUP($A32,'Dados ClubeFII'!$A:$AU,2,0)))*B32</f>
        <v>#DIV/0!</v>
      </c>
      <c r="S32" s="43">
        <f>VLOOKUP($A32,'Dados ClubeFII'!$A:$AU,column(S32)-$A$5,0)</f>
        <v>42555</v>
      </c>
      <c r="T32" s="41">
        <f>MID(VLOOKUP($A32,'Dados ClubeFII'!$A:$AU,column(T32)-$A$5,0),3,100)/1</f>
        <v>1000</v>
      </c>
      <c r="U32" s="45" t="str">
        <f>VLOOKUP($A32,'Dados ClubeFII'!$A:$AU,column(U32)-$A$5,0)/mid(VLOOKUP($A32,'Dados ClubeFII'!$A:$AU,2,0),4,SEARCH(",",VLOOKUP($A32,'Dados ClubeFII'!$A:$AU,2,0))-1)*B32</f>
        <v>#DIV/0!</v>
      </c>
      <c r="V32" s="42">
        <f>VLOOKUP($A32,'Dados ClubeFII'!$A:$AU,column(V32)-$A$5,0)</f>
        <v>0</v>
      </c>
      <c r="W32" s="43" t="str">
        <f>VLOOKUP($A32,'Dados ClubeFII'!$A:$AU,column(W32)-$A$5,0)</f>
        <v>N/D</v>
      </c>
      <c r="X32" s="45">
        <f>VLOOKUP($A32,'Dados ClubeFII'!$A:$AU,column(X32)-$A$5,0)</f>
        <v>0</v>
      </c>
      <c r="Y32" s="41">
        <f>MID(VLOOKUP($A32,'Dados ClubeFII'!$A:$AU,column(Y32)-$A$5,0),3,100)/1</f>
        <v>0</v>
      </c>
      <c r="Z32" s="46">
        <f>VLOOKUP($A32,'Dados ClubeFII'!$A:$AU,column(Z32)-$A$5,0)</f>
        <v>55</v>
      </c>
      <c r="AA32" s="47" t="str">
        <f t="shared" si="2"/>
        <v>#DIV/0!</v>
      </c>
      <c r="AB32" s="48" t="str">
        <f t="shared" si="3"/>
        <v>#DIV/0!</v>
      </c>
      <c r="AC32" s="48"/>
      <c r="AD32" s="48"/>
      <c r="AE32" s="48"/>
    </row>
    <row r="33">
      <c r="A33" s="55" t="s">
        <v>57</v>
      </c>
      <c r="B33" s="38">
        <f>IFERROR(__xludf.DUMMYFUNCTION("GOOGLEFINANCE(A33)"),79.32)</f>
        <v>79.32</v>
      </c>
      <c r="C33" s="38">
        <f>IFERROR(__xludf.DUMMYFUNCTION("GOOGLEFINANCE($A33,""high52"")"),89.07)</f>
        <v>89.07</v>
      </c>
      <c r="D33" s="52" t="b">
        <v>0</v>
      </c>
      <c r="E33" s="40" t="str">
        <f>VLOOKUP($A33,'Dados ClubeFII'!$A:$AU,column(E33)-$A$5,0)</f>
        <v>XP Crédito</v>
      </c>
      <c r="F33" s="40" t="str">
        <f>VLOOKUP($A33,'Dados ClubeFII'!$A:$AU,column(F33)-$A$5,0)</f>
        <v>XP Vista</v>
      </c>
      <c r="G33" s="40" t="str">
        <f>VLOOKUP($A33,'Dados ClubeFII'!$A:$AU,column(G33)-$A$5,0)</f>
        <v>Recebíveis Imobiliários</v>
      </c>
      <c r="H33" s="41">
        <f>MID(VLOOKUP($A33,'Dados ClubeFII'!$A:$AU,column(H33)-$A$5,0),3,100)/mid(VLOOKUP($A33,'Dados ClubeFII'!$A:$AU,2,0),4,SEARCH(",",VLOOKUP($A33,'Dados ClubeFII'!$A:$AU,2,0))-1)*B33</f>
        <v>6138636551</v>
      </c>
      <c r="I33" s="41">
        <f>MID(VLOOKUP($A33,'Dados ClubeFII'!$A:$AU,column(I33)-$A$5,0),3,100)/1</f>
        <v>789309106.5</v>
      </c>
      <c r="J33" s="42">
        <f>VLOOKUP($A33,'Dados ClubeFII'!$A:$AU,column(J33)-$A$5,0)/mid(VLOOKUP($A33,'Dados ClubeFII'!$A:$AU,2,0),3,SEARCH(",",VLOOKUP($A33,'Dados ClubeFII'!$A:$AU,2,0)))*B33</f>
        <v>0.8750748161</v>
      </c>
      <c r="K33" s="41">
        <f>if(VLOOKUP($A33,'Dados ClubeFII'!$A:$AU,column(K33)-$A$5,0)="N/D",0,MID(VLOOKUP($A33,'Dados ClubeFII'!$A:$AU,column(K33)-$A$5,0),3,100)/1)/mid(VLOOKUP($A33,'Dados ClubeFII'!$A:$AU,2,0),3,SEARCH(",",VLOOKUP($A33,'Dados ClubeFII'!$A:$AU,2,0)))*B33</f>
        <v>0</v>
      </c>
      <c r="L33" s="41">
        <f>if(VLOOKUP($A33,'Dados ClubeFII'!$A:$AU,column(L33)-$A$5,0)="N/D",0,MID(VLOOKUP($A33,'Dados ClubeFII'!$A:$AU,column(L33)-$A$5,0),3,100)/1)</f>
        <v>0</v>
      </c>
      <c r="M33" s="41">
        <f>MID(VLOOKUP($A33,'Dados ClubeFII'!$A:$AU,column(M33)-$A$5,0),3,100)/1</f>
        <v>0.96</v>
      </c>
      <c r="N33" s="41">
        <f>MID(VLOOKUP($A33,'Dados ClubeFII'!$A:$AU,column(N33)-$A$5,0),3,100)/1</f>
        <v>0</v>
      </c>
      <c r="O33" s="41">
        <f>LEFT(VLOOKUP($A33,'Dados ClubeFII'!$A:$AU,column(O33)-$A$5,0),len(VLOOKUP($A33,'Dados ClubeFII'!$A:$AU,column(O33)-$A$5,0))-2)/1</f>
        <v>0</v>
      </c>
      <c r="P33" s="43">
        <f>VLOOKUP($A33,'Dados ClubeFII'!$A:$AU,column(P33)-$A$5,0)</f>
        <v>44971</v>
      </c>
      <c r="Q33" s="44">
        <f>VLOOKUP($A33,'Dados ClubeFII'!$A:$AU,column(Q33)-$A$5,0)/mid(VLOOKUP($A33,'Dados ClubeFII'!$A:$AU,2,0),3,SEARCH(",",VLOOKUP($A33,'Dados ClubeFII'!$A:$AU,2,0)))*B33</f>
        <v>0.1573123003</v>
      </c>
      <c r="R33" s="44">
        <f>VLOOKUP($A33,'Dados ClubeFII'!$A:$AU,column(R33)-$A$5,0)/mid(VLOOKUP($A33,'Dados ClubeFII'!$A:$AU,2,0),3,SEARCH(",",VLOOKUP($A33,'Dados ClubeFII'!$A:$AU,2,0)))*B33</f>
        <v>0.1466504692</v>
      </c>
      <c r="S33" s="43">
        <f>VLOOKUP($A33,'Dados ClubeFII'!$A:$AU,column(S33)-$A$5,0)</f>
        <v>43816</v>
      </c>
      <c r="T33" s="41">
        <f>MID(VLOOKUP($A33,'Dados ClubeFII'!$A:$AU,column(T33)-$A$5,0),3,100)/1</f>
        <v>100</v>
      </c>
      <c r="U33" s="45">
        <f>VLOOKUP($A33,'Dados ClubeFII'!$A:$AU,column(U33)-$A$5,0)/mid(VLOOKUP($A33,'Dados ClubeFII'!$A:$AU,2,0),4,SEARCH(",",VLOOKUP($A33,'Dados ClubeFII'!$A:$AU,2,0))-1)*B33</f>
        <v>-0.2739494357</v>
      </c>
      <c r="V33" s="42" t="str">
        <f>VLOOKUP($A33,'Dados ClubeFII'!$A:$AU,column(V33)-$A$5,0)</f>
        <v>N/D</v>
      </c>
      <c r="W33" s="43" t="str">
        <f>VLOOKUP($A33,'Dados ClubeFII'!$A:$AU,column(W33)-$A$5,0)</f>
        <v>N/D</v>
      </c>
      <c r="X33" s="45">
        <f>VLOOKUP($A33,'Dados ClubeFII'!$A:$AU,column(X33)-$A$5,0)</f>
        <v>0.0064</v>
      </c>
      <c r="Y33" s="41">
        <f>MID(VLOOKUP($A33,'Dados ClubeFII'!$A:$AU,column(Y33)-$A$5,0),3,100)/1</f>
        <v>2335808.64</v>
      </c>
      <c r="Z33" s="46">
        <f>VLOOKUP($A33,'Dados ClubeFII'!$A:$AU,column(Z33)-$A$5,0)</f>
        <v>71969</v>
      </c>
      <c r="AA33" s="47">
        <f t="shared" si="2"/>
        <v>77390778</v>
      </c>
      <c r="AB33" s="48">
        <f t="shared" si="3"/>
        <v>10.19900726</v>
      </c>
      <c r="AC33" s="48"/>
      <c r="AD33" s="48"/>
      <c r="AE33" s="48"/>
    </row>
    <row r="34">
      <c r="A34" s="37" t="s">
        <v>58</v>
      </c>
      <c r="B34" s="38">
        <f>IFERROR(__xludf.DUMMYFUNCTION("GOOGLEFINANCE(A34)"),77.45)</f>
        <v>77.45</v>
      </c>
      <c r="C34" s="38">
        <f>IFERROR(__xludf.DUMMYFUNCTION("GOOGLEFINANCE($A34,""high52"")"),87.2)</f>
        <v>87.2</v>
      </c>
      <c r="D34" s="52" t="b">
        <v>0</v>
      </c>
      <c r="E34" s="40" t="str">
        <f>VLOOKUP($A34,'Dados ClubeFII'!$A:$AU,column(E34)-$A$5,0)</f>
        <v>HSI Ativos Financeiros</v>
      </c>
      <c r="F34" s="40" t="str">
        <f>VLOOKUP($A34,'Dados ClubeFII'!$A:$AU,column(F34)-$A$5,0)</f>
        <v>HSI GESTORA DE ATIVOS FINANCEIROS</v>
      </c>
      <c r="G34" s="40" t="str">
        <f>VLOOKUP($A34,'Dados ClubeFII'!$A:$AU,column(G34)-$A$5,0)</f>
        <v>Recebíveis Imobiliários</v>
      </c>
      <c r="H34" s="41">
        <f>MID(VLOOKUP($A34,'Dados ClubeFII'!$A:$AU,column(H34)-$A$5,0),3,100)/mid(VLOOKUP($A34,'Dados ClubeFII'!$A:$AU,2,0),4,SEARCH(",",VLOOKUP($A34,'Dados ClubeFII'!$A:$AU,2,0))-1)*B34</f>
        <v>2498411565</v>
      </c>
      <c r="I34" s="41">
        <f>MID(VLOOKUP($A34,'Dados ClubeFII'!$A:$AU,column(I34)-$A$5,0),3,100)/1</f>
        <v>230072809.2</v>
      </c>
      <c r="J34" s="42">
        <f>VLOOKUP($A34,'Dados ClubeFII'!$A:$AU,column(J34)-$A$5,0)/mid(VLOOKUP($A34,'Dados ClubeFII'!$A:$AU,2,0),3,SEARCH(",",VLOOKUP($A34,'Dados ClubeFII'!$A:$AU,2,0)))*B34</f>
        <v>0.8559136956</v>
      </c>
      <c r="K34" s="41">
        <f>if(VLOOKUP($A34,'Dados ClubeFII'!$A:$AU,column(K34)-$A$5,0)="N/D",0,MID(VLOOKUP($A34,'Dados ClubeFII'!$A:$AU,column(K34)-$A$5,0),3,100)/1)/mid(VLOOKUP($A34,'Dados ClubeFII'!$A:$AU,2,0),3,SEARCH(",",VLOOKUP($A34,'Dados ClubeFII'!$A:$AU,2,0)))*B34</f>
        <v>0</v>
      </c>
      <c r="L34" s="41">
        <f>if(VLOOKUP($A34,'Dados ClubeFII'!$A:$AU,column(L34)-$A$5,0)="N/D",0,MID(VLOOKUP($A34,'Dados ClubeFII'!$A:$AU,column(L34)-$A$5,0),3,100)/1)</f>
        <v>0</v>
      </c>
      <c r="M34" s="41">
        <f>MID(VLOOKUP($A34,'Dados ClubeFII'!$A:$AU,column(M34)-$A$5,0),3,100)/1</f>
        <v>0.9</v>
      </c>
      <c r="N34" s="41">
        <f>MID(VLOOKUP($A34,'Dados ClubeFII'!$A:$AU,column(N34)-$A$5,0),3,100)/1</f>
        <v>0</v>
      </c>
      <c r="O34" s="41">
        <f>LEFT(VLOOKUP($A34,'Dados ClubeFII'!$A:$AU,column(O34)-$A$5,0),len(VLOOKUP($A34,'Dados ClubeFII'!$A:$AU,column(O34)-$A$5,0))-2)/1</f>
        <v>0</v>
      </c>
      <c r="P34" s="43">
        <f>VLOOKUP($A34,'Dados ClubeFII'!$A:$AU,column(P34)-$A$5,0)</f>
        <v>44964</v>
      </c>
      <c r="Q34" s="44">
        <f>VLOOKUP($A34,'Dados ClubeFII'!$A:$AU,column(Q34)-$A$5,0)/mid(VLOOKUP($A34,'Dados ClubeFII'!$A:$AU,2,0),3,SEARCH(",",VLOOKUP($A34,'Dados ClubeFII'!$A:$AU,2,0)))*B34</f>
        <v>0.1530455203</v>
      </c>
      <c r="R34" s="44">
        <f>VLOOKUP($A34,'Dados ClubeFII'!$A:$AU,column(R34)-$A$5,0)/mid(VLOOKUP($A34,'Dados ClubeFII'!$A:$AU,2,0),3,SEARCH(",",VLOOKUP($A34,'Dados ClubeFII'!$A:$AU,2,0)))*B34</f>
        <v>0.1626236022</v>
      </c>
      <c r="S34" s="43">
        <f>VLOOKUP($A34,'Dados ClubeFII'!$A:$AU,column(S34)-$A$5,0)</f>
        <v>44092</v>
      </c>
      <c r="T34" s="41">
        <f>MID(VLOOKUP($A34,'Dados ClubeFII'!$A:$AU,column(T34)-$A$5,0),3,100)/1</f>
        <v>100</v>
      </c>
      <c r="U34" s="45">
        <f>VLOOKUP($A34,'Dados ClubeFII'!$A:$AU,column(U34)-$A$5,0)/mid(VLOOKUP($A34,'Dados ClubeFII'!$A:$AU,2,0),4,SEARCH(",",VLOOKUP($A34,'Dados ClubeFII'!$A:$AU,2,0))-1)*B34</f>
        <v>-0.3530998336</v>
      </c>
      <c r="V34" s="42" t="str">
        <f>VLOOKUP($A34,'Dados ClubeFII'!$A:$AU,column(V34)-$A$5,0)</f>
        <v>N/D</v>
      </c>
      <c r="W34" s="43" t="str">
        <f>VLOOKUP($A34,'Dados ClubeFII'!$A:$AU,column(W34)-$A$5,0)</f>
        <v>N/D</v>
      </c>
      <c r="X34" s="45">
        <f>VLOOKUP($A34,'Dados ClubeFII'!$A:$AU,column(X34)-$A$5,0)</f>
        <v>0.0018</v>
      </c>
      <c r="Y34" s="41">
        <f>MID(VLOOKUP($A34,'Dados ClubeFII'!$A:$AU,column(Y34)-$A$5,0),3,100)/1</f>
        <v>327183.75</v>
      </c>
      <c r="Z34" s="46">
        <f>VLOOKUP($A34,'Dados ClubeFII'!$A:$AU,column(Z34)-$A$5,0)</f>
        <v>8233</v>
      </c>
      <c r="AA34" s="47">
        <f t="shared" si="2"/>
        <v>32258380</v>
      </c>
      <c r="AB34" s="48">
        <f t="shared" si="3"/>
        <v>7.132187332</v>
      </c>
      <c r="AC34" s="48"/>
      <c r="AD34" s="48"/>
      <c r="AE34" s="48"/>
    </row>
    <row r="35">
      <c r="A35" s="49" t="s">
        <v>59</v>
      </c>
      <c r="B35" s="38">
        <f>IFERROR(__xludf.DUMMYFUNCTION("GOOGLEFINANCE(A35)"),86.88)</f>
        <v>86.88</v>
      </c>
      <c r="C35" s="38">
        <f>IFERROR(__xludf.DUMMYFUNCTION("GOOGLEFINANCE($A35,""high52"")"),94.23)</f>
        <v>94.23</v>
      </c>
      <c r="D35" s="52" t="b">
        <v>0</v>
      </c>
      <c r="E35" s="40" t="str">
        <f>VLOOKUP($A35,'Dados ClubeFII'!$A:$AU,column(E35)-$A$5,0)</f>
        <v>Vectis Juros Real</v>
      </c>
      <c r="F35" s="40" t="str">
        <f>VLOOKUP($A35,'Dados ClubeFII'!$A:$AU,column(F35)-$A$5,0)</f>
        <v>Vectis Gestão de Recursos</v>
      </c>
      <c r="G35" s="40" t="str">
        <f>VLOOKUP($A35,'Dados ClubeFII'!$A:$AU,column(G35)-$A$5,0)</f>
        <v>Recebíveis Imobiliários</v>
      </c>
      <c r="H35" s="41">
        <f>MID(VLOOKUP($A35,'Dados ClubeFII'!$A:$AU,column(H35)-$A$5,0),3,100)/mid(VLOOKUP($A35,'Dados ClubeFII'!$A:$AU,2,0),4,SEARCH(",",VLOOKUP($A35,'Dados ClubeFII'!$A:$AU,2,0))-1)*B35</f>
        <v>13975820697</v>
      </c>
      <c r="I35" s="41">
        <f>MID(VLOOKUP($A35,'Dados ClubeFII'!$A:$AU,column(I35)-$A$5,0),3,100)/1</f>
        <v>1389190345</v>
      </c>
      <c r="J35" s="42">
        <f>VLOOKUP($A35,'Dados ClubeFII'!$A:$AU,column(J35)-$A$5,0)/mid(VLOOKUP($A35,'Dados ClubeFII'!$A:$AU,2,0),3,SEARCH(",",VLOOKUP($A35,'Dados ClubeFII'!$A:$AU,2,0)))*B35</f>
        <v>0.9178507327</v>
      </c>
      <c r="K35" s="41">
        <f>if(VLOOKUP($A35,'Dados ClubeFII'!$A:$AU,column(K35)-$A$5,0)="N/D",0,MID(VLOOKUP($A35,'Dados ClubeFII'!$A:$AU,column(K35)-$A$5,0),3,100)/1)/mid(VLOOKUP($A35,'Dados ClubeFII'!$A:$AU,2,0),3,SEARCH(",",VLOOKUP($A35,'Dados ClubeFII'!$A:$AU,2,0)))*B35</f>
        <v>0</v>
      </c>
      <c r="L35" s="41">
        <f>if(VLOOKUP($A35,'Dados ClubeFII'!$A:$AU,column(L35)-$A$5,0)="N/D",0,MID(VLOOKUP($A35,'Dados ClubeFII'!$A:$AU,column(L35)-$A$5,0),3,100)/1)</f>
        <v>0</v>
      </c>
      <c r="M35" s="41">
        <f>MID(VLOOKUP($A35,'Dados ClubeFII'!$A:$AU,column(M35)-$A$5,0),3,100)/1</f>
        <v>1.08</v>
      </c>
      <c r="N35" s="41">
        <f>MID(VLOOKUP($A35,'Dados ClubeFII'!$A:$AU,column(N35)-$A$5,0),3,100)/1</f>
        <v>0</v>
      </c>
      <c r="O35" s="41">
        <f>LEFT(VLOOKUP($A35,'Dados ClubeFII'!$A:$AU,column(O35)-$A$5,0),len(VLOOKUP($A35,'Dados ClubeFII'!$A:$AU,column(O35)-$A$5,0))-2)/1</f>
        <v>0</v>
      </c>
      <c r="P35" s="43">
        <f>VLOOKUP($A35,'Dados ClubeFII'!$A:$AU,column(P35)-$A$5,0)</f>
        <v>44970</v>
      </c>
      <c r="Q35" s="44">
        <f>VLOOKUP($A35,'Dados ClubeFII'!$A:$AU,column(Q35)-$A$5,0)/mid(VLOOKUP($A35,'Dados ClubeFII'!$A:$AU,2,0),3,SEARCH(",",VLOOKUP($A35,'Dados ClubeFII'!$A:$AU,2,0)))*B35</f>
        <v>0.1561333182</v>
      </c>
      <c r="R35" s="44">
        <f>VLOOKUP($A35,'Dados ClubeFII'!$A:$AU,column(R35)-$A$5,0)/mid(VLOOKUP($A35,'Dados ClubeFII'!$A:$AU,2,0),3,SEARCH(",",VLOOKUP($A35,'Dados ClubeFII'!$A:$AU,2,0)))*B35</f>
        <v>0.1278082472</v>
      </c>
      <c r="S35" s="43">
        <f>VLOOKUP($A35,'Dados ClubeFII'!$A:$AU,column(S35)-$A$5,0)</f>
        <v>43858</v>
      </c>
      <c r="T35" s="41">
        <f>MID(VLOOKUP($A35,'Dados ClubeFII'!$A:$AU,column(T35)-$A$5,0),3,100)/1</f>
        <v>100</v>
      </c>
      <c r="U35" s="45">
        <f>VLOOKUP($A35,'Dados ClubeFII'!$A:$AU,column(U35)-$A$5,0)/mid(VLOOKUP($A35,'Dados ClubeFII'!$A:$AU,2,0),4,SEARCH(",",VLOOKUP($A35,'Dados ClubeFII'!$A:$AU,2,0))-1)*B35</f>
        <v>-0.3321564134</v>
      </c>
      <c r="V35" s="42" t="str">
        <f>VLOOKUP($A35,'Dados ClubeFII'!$A:$AU,column(V35)-$A$5,0)</f>
        <v>N/D</v>
      </c>
      <c r="W35" s="43" t="str">
        <f>VLOOKUP($A35,'Dados ClubeFII'!$A:$AU,column(W35)-$A$5,0)</f>
        <v>N/D</v>
      </c>
      <c r="X35" s="45">
        <f>VLOOKUP($A35,'Dados ClubeFII'!$A:$AU,column(X35)-$A$5,0)</f>
        <v>0.0121</v>
      </c>
      <c r="Y35" s="41">
        <f>MID(VLOOKUP($A35,'Dados ClubeFII'!$A:$AU,column(Y35)-$A$5,0),3,100)/1</f>
        <v>1063086.31</v>
      </c>
      <c r="Z35" s="46">
        <f>VLOOKUP($A35,'Dados ClubeFII'!$A:$AU,column(Z35)-$A$5,0)</f>
        <v>13874</v>
      </c>
      <c r="AA35" s="47">
        <f t="shared" si="2"/>
        <v>160863497</v>
      </c>
      <c r="AB35" s="48">
        <f t="shared" si="3"/>
        <v>8.635833303</v>
      </c>
      <c r="AC35" s="48"/>
      <c r="AD35" s="48"/>
      <c r="AE35" s="48"/>
    </row>
    <row r="36">
      <c r="A36" s="37" t="s">
        <v>60</v>
      </c>
      <c r="B36" s="38">
        <f>IFERROR(__xludf.DUMMYFUNCTION("GOOGLEFINANCE(A36)"),91.39)</f>
        <v>91.39</v>
      </c>
      <c r="C36" s="38">
        <f>IFERROR(__xludf.DUMMYFUNCTION("GOOGLEFINANCE($A36,""high52"")"),95.52)</f>
        <v>95.52</v>
      </c>
      <c r="D36" s="52" t="b">
        <v>0</v>
      </c>
      <c r="E36" s="40" t="str">
        <f>VLOOKUP($A36,'Dados ClubeFII'!$A:$AU,column(E36)-$A$5,0)</f>
        <v>Rio Bravo Renda Varejo</v>
      </c>
      <c r="F36" s="40" t="str">
        <f>VLOOKUP($A36,'Dados ClubeFII'!$A:$AU,column(F36)-$A$5,0)</f>
        <v>RIO BRAVO</v>
      </c>
      <c r="G36" s="40" t="str">
        <f>VLOOKUP($A36,'Dados ClubeFII'!$A:$AU,column(G36)-$A$5,0)</f>
        <v>Híbrido</v>
      </c>
      <c r="H36" s="41">
        <f>MID(VLOOKUP($A36,'Dados ClubeFII'!$A:$AU,column(H36)-$A$5,0),3,100)/mid(VLOOKUP($A36,'Dados ClubeFII'!$A:$AU,2,0),4,SEARCH(",",VLOOKUP($A36,'Dados ClubeFII'!$A:$AU,2,0))-1)*B36</f>
        <v>50182464006</v>
      </c>
      <c r="I36" s="41">
        <f>MID(VLOOKUP($A36,'Dados ClubeFII'!$A:$AU,column(I36)-$A$5,0),3,100)/1</f>
        <v>1235324531</v>
      </c>
      <c r="J36" s="42">
        <f>VLOOKUP($A36,'Dados ClubeFII'!$A:$AU,column(J36)-$A$5,0)/mid(VLOOKUP($A36,'Dados ClubeFII'!$A:$AU,2,0),3,SEARCH(",",VLOOKUP($A36,'Dados ClubeFII'!$A:$AU,2,0)))*B36</f>
        <v>0.8647014682</v>
      </c>
      <c r="K36" s="41">
        <f>if(VLOOKUP($A36,'Dados ClubeFII'!$A:$AU,column(K36)-$A$5,0)="N/D",0,MID(VLOOKUP($A36,'Dados ClubeFII'!$A:$AU,column(K36)-$A$5,0),3,100)/1)/mid(VLOOKUP($A36,'Dados ClubeFII'!$A:$AU,2,0),3,SEARCH(",",VLOOKUP($A36,'Dados ClubeFII'!$A:$AU,2,0)))*B36</f>
        <v>5364.488639</v>
      </c>
      <c r="L36" s="41">
        <f>if(VLOOKUP($A36,'Dados ClubeFII'!$A:$AU,column(L36)-$A$5,0)="N/D",0,MID(VLOOKUP($A36,'Dados ClubeFII'!$A:$AU,column(L36)-$A$5,0),3,100)/1)</f>
        <v>6226.94</v>
      </c>
      <c r="M36" s="41">
        <f>MID(VLOOKUP($A36,'Dados ClubeFII'!$A:$AU,column(M36)-$A$5,0),3,100)/1</f>
        <v>0.95</v>
      </c>
      <c r="N36" s="41">
        <f>MID(VLOOKUP($A36,'Dados ClubeFII'!$A:$AU,column(N36)-$A$5,0),3,100)/1</f>
        <v>55.49</v>
      </c>
      <c r="O36" s="41">
        <f>LEFT(VLOOKUP($A36,'Dados ClubeFII'!$A:$AU,column(O36)-$A$5,0),len(VLOOKUP($A36,'Dados ClubeFII'!$A:$AU,column(O36)-$A$5,0))-2)/1</f>
        <v>198384</v>
      </c>
      <c r="P36" s="43">
        <f>VLOOKUP($A36,'Dados ClubeFII'!$A:$AU,column(P36)-$A$5,0)</f>
        <v>44972</v>
      </c>
      <c r="Q36" s="44">
        <f>VLOOKUP($A36,'Dados ClubeFII'!$A:$AU,column(Q36)-$A$5,0)/mid(VLOOKUP($A36,'Dados ClubeFII'!$A:$AU,2,0),3,SEARCH(",",VLOOKUP($A36,'Dados ClubeFII'!$A:$AU,2,0)))*B36</f>
        <v>0.1298046112</v>
      </c>
      <c r="R36" s="44">
        <f>VLOOKUP($A36,'Dados ClubeFII'!$A:$AU,column(R36)-$A$5,0)/mid(VLOOKUP($A36,'Dados ClubeFII'!$A:$AU,2,0),3,SEARCH(",",VLOOKUP($A36,'Dados ClubeFII'!$A:$AU,2,0)))*B36</f>
        <v>0.1294070473</v>
      </c>
      <c r="S36" s="43">
        <f>VLOOKUP($A36,'Dados ClubeFII'!$A:$AU,column(S36)-$A$5,0)</f>
        <v>41227</v>
      </c>
      <c r="T36" s="41">
        <f>MID(VLOOKUP($A36,'Dados ClubeFII'!$A:$AU,column(T36)-$A$5,0),3,100)/1</f>
        <v>100</v>
      </c>
      <c r="U36" s="45">
        <f>VLOOKUP($A36,'Dados ClubeFII'!$A:$AU,column(U36)-$A$5,0)/mid(VLOOKUP($A36,'Dados ClubeFII'!$A:$AU,2,0),4,SEARCH(",",VLOOKUP($A36,'Dados ClubeFII'!$A:$AU,2,0))-1)*B36</f>
        <v>0.09373333333</v>
      </c>
      <c r="V36" s="42">
        <f>VLOOKUP($A36,'Dados ClubeFII'!$A:$AU,column(V36)-$A$5,0)</f>
        <v>0.051</v>
      </c>
      <c r="W36" s="43" t="str">
        <f>VLOOKUP($A36,'Dados ClubeFII'!$A:$AU,column(W36)-$A$5,0)</f>
        <v>N/D</v>
      </c>
      <c r="X36" s="45">
        <f>VLOOKUP($A36,'Dados ClubeFII'!$A:$AU,column(X36)-$A$5,0)</f>
        <v>0.0097</v>
      </c>
      <c r="Y36" s="41">
        <f>MID(VLOOKUP($A36,'Dados ClubeFII'!$A:$AU,column(Y36)-$A$5,0),3,100)/1</f>
        <v>848917.32</v>
      </c>
      <c r="Z36" s="46">
        <f>VLOOKUP($A36,'Dados ClubeFII'!$A:$AU,column(Z36)-$A$5,0)</f>
        <v>45953</v>
      </c>
      <c r="AA36" s="47">
        <f t="shared" si="2"/>
        <v>549102352</v>
      </c>
      <c r="AB36" s="48">
        <f t="shared" si="3"/>
        <v>2.249716336</v>
      </c>
      <c r="AC36" s="48"/>
      <c r="AD36" s="48"/>
      <c r="AE36" s="48"/>
    </row>
    <row r="37">
      <c r="A37" s="49" t="s">
        <v>61</v>
      </c>
      <c r="B37" s="38">
        <f>IFERROR(__xludf.DUMMYFUNCTION("GOOGLEFINANCE(A37)"),83.57)</f>
        <v>83.57</v>
      </c>
      <c r="C37" s="38">
        <f>IFERROR(__xludf.DUMMYFUNCTION("GOOGLEFINANCE($A37,""high52"")"),84.93)</f>
        <v>84.93</v>
      </c>
      <c r="D37" s="52" t="b">
        <v>0</v>
      </c>
      <c r="E37" s="40" t="str">
        <f>VLOOKUP($A37,'Dados ClubeFII'!$A:$AU,column(E37)-$A$5,0)</f>
        <v>Plural Recebíveis Imobiliários</v>
      </c>
      <c r="F37" s="40" t="str">
        <f>VLOOKUP($A37,'Dados ClubeFII'!$A:$AU,column(F37)-$A$5,0)</f>
        <v>PLURAL GESTÃO DE RECURSOS</v>
      </c>
      <c r="G37" s="40" t="str">
        <f>VLOOKUP($A37,'Dados ClubeFII'!$A:$AU,column(G37)-$A$5,0)</f>
        <v>Recebíveis Imobiliários</v>
      </c>
      <c r="H37" s="41">
        <f>MID(VLOOKUP($A37,'Dados ClubeFII'!$A:$AU,column(H37)-$A$5,0),3,100)/mid(VLOOKUP($A37,'Dados ClubeFII'!$A:$AU,2,0),4,SEARCH(",",VLOOKUP($A37,'Dados ClubeFII'!$A:$AU,2,0))-1)*B37</f>
        <v>3729055579</v>
      </c>
      <c r="I37" s="41">
        <f>MID(VLOOKUP($A37,'Dados ClubeFII'!$A:$AU,column(I37)-$A$5,0),3,100)/1</f>
        <v>190717731.4</v>
      </c>
      <c r="J37" s="42">
        <f>VLOOKUP($A37,'Dados ClubeFII'!$A:$AU,column(J37)-$A$5,0)/mid(VLOOKUP($A37,'Dados ClubeFII'!$A:$AU,2,0),3,SEARCH(",",VLOOKUP($A37,'Dados ClubeFII'!$A:$AU,2,0)))*B37</f>
        <v>0.9255698464</v>
      </c>
      <c r="K37" s="41">
        <f>if(VLOOKUP($A37,'Dados ClubeFII'!$A:$AU,column(K37)-$A$5,0)="N/D",0,MID(VLOOKUP($A37,'Dados ClubeFII'!$A:$AU,column(K37)-$A$5,0),3,100)/1)/mid(VLOOKUP($A37,'Dados ClubeFII'!$A:$AU,2,0),3,SEARCH(",",VLOOKUP($A37,'Dados ClubeFII'!$A:$AU,2,0)))*B37</f>
        <v>0</v>
      </c>
      <c r="L37" s="41">
        <f>if(VLOOKUP($A37,'Dados ClubeFII'!$A:$AU,column(L37)-$A$5,0)="N/D",0,MID(VLOOKUP($A37,'Dados ClubeFII'!$A:$AU,column(L37)-$A$5,0),3,100)/1)</f>
        <v>0</v>
      </c>
      <c r="M37" s="41">
        <f>MID(VLOOKUP($A37,'Dados ClubeFII'!$A:$AU,column(M37)-$A$5,0),3,100)/1</f>
        <v>1</v>
      </c>
      <c r="N37" s="41">
        <f>MID(VLOOKUP($A37,'Dados ClubeFII'!$A:$AU,column(N37)-$A$5,0),3,100)/1</f>
        <v>0</v>
      </c>
      <c r="O37" s="41">
        <f>LEFT(VLOOKUP($A37,'Dados ClubeFII'!$A:$AU,column(O37)-$A$5,0),len(VLOOKUP($A37,'Dados ClubeFII'!$A:$AU,column(O37)-$A$5,0))-2)/1</f>
        <v>0</v>
      </c>
      <c r="P37" s="43">
        <f>VLOOKUP($A37,'Dados ClubeFII'!$A:$AU,column(P37)-$A$5,0)</f>
        <v>44971</v>
      </c>
      <c r="Q37" s="44">
        <f>VLOOKUP($A37,'Dados ClubeFII'!$A:$AU,column(Q37)-$A$5,0)/mid(VLOOKUP($A37,'Dados ClubeFII'!$A:$AU,2,0),3,SEARCH(",",VLOOKUP($A37,'Dados ClubeFII'!$A:$AU,2,0)))*B37</f>
        <v>0.1518730737</v>
      </c>
      <c r="R37" s="44">
        <f>VLOOKUP($A37,'Dados ClubeFII'!$A:$AU,column(R37)-$A$5,0)/mid(VLOOKUP($A37,'Dados ClubeFII'!$A:$AU,2,0),3,SEARCH(",",VLOOKUP($A37,'Dados ClubeFII'!$A:$AU,2,0)))*B37</f>
        <v>0.1540625938</v>
      </c>
      <c r="S37" s="43">
        <f>VLOOKUP($A37,'Dados ClubeFII'!$A:$AU,column(S37)-$A$5,0)</f>
        <v>43781</v>
      </c>
      <c r="T37" s="41">
        <f>MID(VLOOKUP($A37,'Dados ClubeFII'!$A:$AU,column(T37)-$A$5,0),3,100)/1</f>
        <v>100</v>
      </c>
      <c r="U37" s="45">
        <f>VLOOKUP($A37,'Dados ClubeFII'!$A:$AU,column(U37)-$A$5,0)/mid(VLOOKUP($A37,'Dados ClubeFII'!$A:$AU,2,0),4,SEARCH(",",VLOOKUP($A37,'Dados ClubeFII'!$A:$AU,2,0))-1)*B37</f>
        <v>-0.2504994962</v>
      </c>
      <c r="V37" s="42" t="str">
        <f>VLOOKUP($A37,'Dados ClubeFII'!$A:$AU,column(V37)-$A$5,0)</f>
        <v>N/D</v>
      </c>
      <c r="W37" s="43" t="str">
        <f>VLOOKUP($A37,'Dados ClubeFII'!$A:$AU,column(W37)-$A$5,0)</f>
        <v>N/D</v>
      </c>
      <c r="X37" s="45">
        <f>VLOOKUP($A37,'Dados ClubeFII'!$A:$AU,column(X37)-$A$5,0)</f>
        <v>0.0016</v>
      </c>
      <c r="Y37" s="41">
        <f>MID(VLOOKUP($A37,'Dados ClubeFII'!$A:$AU,column(Y37)-$A$5,0),3,100)/1</f>
        <v>373357.09</v>
      </c>
      <c r="Z37" s="46">
        <f>VLOOKUP($A37,'Dados ClubeFII'!$A:$AU,column(Z37)-$A$5,0)</f>
        <v>13410</v>
      </c>
      <c r="AA37" s="47">
        <f t="shared" si="2"/>
        <v>44621940</v>
      </c>
      <c r="AB37" s="48">
        <f t="shared" si="3"/>
        <v>4.274079778</v>
      </c>
      <c r="AC37" s="17"/>
      <c r="AD37" s="17"/>
      <c r="AE37" s="17"/>
    </row>
    <row r="38">
      <c r="A38" s="49" t="s">
        <v>62</v>
      </c>
      <c r="B38" s="38">
        <f>IFERROR(__xludf.DUMMYFUNCTION("GOOGLEFINANCE(A38)"),41.35)</f>
        <v>41.35</v>
      </c>
      <c r="C38" s="38">
        <f>IFERROR(__xludf.DUMMYFUNCTION("GOOGLEFINANCE($A38,""high52"")"),45.49)</f>
        <v>45.49</v>
      </c>
      <c r="D38" s="52" t="b">
        <v>0</v>
      </c>
      <c r="E38" s="40" t="str">
        <f>VLOOKUP($A38,'Dados ClubeFII'!$A:$AU,column(E38)-$A$5,0)</f>
        <v>Quasar Agro</v>
      </c>
      <c r="F38" s="40" t="str">
        <f>VLOOKUP($A38,'Dados ClubeFII'!$A:$AU,column(F38)-$A$5,0)</f>
        <v>QUASAR ASSET MANAGEMENT</v>
      </c>
      <c r="G38" s="40" t="str">
        <f>VLOOKUP($A38,'Dados ClubeFII'!$A:$AU,column(G38)-$A$5,0)</f>
        <v>Agronegócio</v>
      </c>
      <c r="H38" s="41">
        <f>MID(VLOOKUP($A38,'Dados ClubeFII'!$A:$AU,column(H38)-$A$5,0),3,100)/mid(VLOOKUP($A38,'Dados ClubeFII'!$A:$AU,2,0),4,SEARCH(",",VLOOKUP($A38,'Dados ClubeFII'!$A:$AU,2,0))-1)*B38</f>
        <v>5972800750</v>
      </c>
      <c r="I38" s="41">
        <f>MID(VLOOKUP($A38,'Dados ClubeFII'!$A:$AU,column(I38)-$A$5,0),3,100)/1</f>
        <v>281368849.2</v>
      </c>
      <c r="J38" s="42">
        <f>VLOOKUP($A38,'Dados ClubeFII'!$A:$AU,column(J38)-$A$5,0)/mid(VLOOKUP($A38,'Dados ClubeFII'!$A:$AU,2,0),3,SEARCH(",",VLOOKUP($A38,'Dados ClubeFII'!$A:$AU,2,0)))*B38</f>
        <v>0.7383928571</v>
      </c>
      <c r="K38" s="41">
        <f>if(VLOOKUP($A38,'Dados ClubeFII'!$A:$AU,column(K38)-$A$5,0)="N/D",0,MID(VLOOKUP($A38,'Dados ClubeFII'!$A:$AU,column(K38)-$A$5,0),3,100)/1)/mid(VLOOKUP($A38,'Dados ClubeFII'!$A:$AU,2,0),3,SEARCH(",",VLOOKUP($A38,'Dados ClubeFII'!$A:$AU,2,0)))*B38</f>
        <v>0</v>
      </c>
      <c r="L38" s="41">
        <f>if(VLOOKUP($A38,'Dados ClubeFII'!$A:$AU,column(L38)-$A$5,0)="N/D",0,MID(VLOOKUP($A38,'Dados ClubeFII'!$A:$AU,column(L38)-$A$5,0),3,100)/1)</f>
        <v>0</v>
      </c>
      <c r="M38" s="41">
        <f>MID(VLOOKUP($A38,'Dados ClubeFII'!$A:$AU,column(M38)-$A$5,0),3,100)/1</f>
        <v>0.42</v>
      </c>
      <c r="N38" s="41">
        <f>MID(VLOOKUP($A38,'Dados ClubeFII'!$A:$AU,column(N38)-$A$5,0),3,100)/1</f>
        <v>0</v>
      </c>
      <c r="O38" s="41">
        <f>LEFT(VLOOKUP($A38,'Dados ClubeFII'!$A:$AU,column(O38)-$A$5,0),len(VLOOKUP($A38,'Dados ClubeFII'!$A:$AU,column(O38)-$A$5,0))-2)/1</f>
        <v>0</v>
      </c>
      <c r="P38" s="43">
        <f>VLOOKUP($A38,'Dados ClubeFII'!$A:$AU,column(P38)-$A$5,0)</f>
        <v>44965</v>
      </c>
      <c r="Q38" s="44">
        <f>VLOOKUP($A38,'Dados ClubeFII'!$A:$AU,column(Q38)-$A$5,0)/mid(VLOOKUP($A38,'Dados ClubeFII'!$A:$AU,2,0),3,SEARCH(",",VLOOKUP($A38,'Dados ClubeFII'!$A:$AU,2,0)))*B38</f>
        <v>0.1289194015</v>
      </c>
      <c r="R38" s="44">
        <f>VLOOKUP($A38,'Dados ClubeFII'!$A:$AU,column(R38)-$A$5,0)/mid(VLOOKUP($A38,'Dados ClubeFII'!$A:$AU,2,0),3,SEARCH(",",VLOOKUP($A38,'Dados ClubeFII'!$A:$AU,2,0)))*B38</f>
        <v>0.1167458977</v>
      </c>
      <c r="S38" s="43">
        <f>VLOOKUP($A38,'Dados ClubeFII'!$A:$AU,column(S38)-$A$5,0)</f>
        <v>43781</v>
      </c>
      <c r="T38" s="41">
        <f>MID(VLOOKUP($A38,'Dados ClubeFII'!$A:$AU,column(T38)-$A$5,0),3,100)/1</f>
        <v>100</v>
      </c>
      <c r="U38" s="45">
        <f>VLOOKUP($A38,'Dados ClubeFII'!$A:$AU,column(U38)-$A$5,0)/mid(VLOOKUP($A38,'Dados ClubeFII'!$A:$AU,2,0),4,SEARCH(",",VLOOKUP($A38,'Dados ClubeFII'!$A:$AU,2,0))-1)*B38</f>
        <v>-1.185940972</v>
      </c>
      <c r="V38" s="42">
        <f>VLOOKUP($A38,'Dados ClubeFII'!$A:$AU,column(V38)-$A$5,0)</f>
        <v>0</v>
      </c>
      <c r="W38" s="43" t="str">
        <f>VLOOKUP($A38,'Dados ClubeFII'!$A:$AU,column(W38)-$A$5,0)</f>
        <v>N/D</v>
      </c>
      <c r="X38" s="45">
        <f>VLOOKUP($A38,'Dados ClubeFII'!$A:$AU,column(X38)-$A$5,0)</f>
        <v>0.002</v>
      </c>
      <c r="Y38" s="41">
        <f>MID(VLOOKUP($A38,'Dados ClubeFII'!$A:$AU,column(Y38)-$A$5,0),3,100)/1</f>
        <v>299963.4</v>
      </c>
      <c r="Z38" s="46">
        <f>VLOOKUP($A38,'Dados ClubeFII'!$A:$AU,column(Z38)-$A$5,0)</f>
        <v>24367</v>
      </c>
      <c r="AA38" s="47">
        <f t="shared" si="2"/>
        <v>144445000</v>
      </c>
      <c r="AB38" s="48">
        <f t="shared" si="3"/>
        <v>1.947930695</v>
      </c>
      <c r="AC38" s="48"/>
      <c r="AD38" s="48"/>
      <c r="AE38" s="48"/>
    </row>
    <row r="39">
      <c r="A39" s="37" t="s">
        <v>63</v>
      </c>
      <c r="B39" s="38" t="str">
        <f>IFERROR(__xludf.DUMMYFUNCTION("GOOGLEFINANCE(A39)"),"#N/A")</f>
        <v>#N/A</v>
      </c>
      <c r="C39" s="38" t="str">
        <f>IFERROR(__xludf.DUMMYFUNCTION("GOOGLEFINANCE($A39,""high52"")"),"#N/A")</f>
        <v>#N/A</v>
      </c>
      <c r="D39" s="52" t="b">
        <v>0</v>
      </c>
      <c r="E39" s="40" t="str">
        <f>VLOOKUP($A39,'Dados ClubeFII'!$A:$AU,column(E39)-$A$5,0)</f>
        <v>#N/A</v>
      </c>
      <c r="F39" s="40" t="str">
        <f>VLOOKUP($A39,'Dados ClubeFII'!$A:$AU,column(F39)-$A$5,0)</f>
        <v>#N/A</v>
      </c>
      <c r="G39" s="40" t="str">
        <f>VLOOKUP($A39,'Dados ClubeFII'!$A:$AU,column(G39)-$A$5,0)</f>
        <v>#N/A</v>
      </c>
      <c r="H39" s="41" t="str">
        <f>MID(VLOOKUP($A39,'Dados ClubeFII'!$A:$AU,column(H39)-$A$5,0),3,100)/mid(VLOOKUP($A39,'Dados ClubeFII'!$A:$AU,2,0),4,SEARCH(",",VLOOKUP($A39,'Dados ClubeFII'!$A:$AU,2,0))-1)*B39</f>
        <v>#N/A</v>
      </c>
      <c r="I39" s="41" t="str">
        <f>MID(VLOOKUP($A39,'Dados ClubeFII'!$A:$AU,column(I39)-$A$5,0),3,100)/1</f>
        <v>#N/A</v>
      </c>
      <c r="J39" s="42" t="str">
        <f>VLOOKUP($A39,'Dados ClubeFII'!$A:$AU,column(J39)-$A$5,0)/mid(VLOOKUP($A39,'Dados ClubeFII'!$A:$AU,2,0),3,SEARCH(",",VLOOKUP($A39,'Dados ClubeFII'!$A:$AU,2,0)))*B39</f>
        <v>#N/A</v>
      </c>
      <c r="K39" s="41" t="str">
        <f>if(VLOOKUP($A39,'Dados ClubeFII'!$A:$AU,column(K39)-$A$5,0)="N/D",0,MID(VLOOKUP($A39,'Dados ClubeFII'!$A:$AU,column(K39)-$A$5,0),3,100)/1)/mid(VLOOKUP($A39,'Dados ClubeFII'!$A:$AU,2,0),3,SEARCH(",",VLOOKUP($A39,'Dados ClubeFII'!$A:$AU,2,0)))*B39</f>
        <v>#N/A</v>
      </c>
      <c r="L39" s="41" t="str">
        <f>if(VLOOKUP($A39,'Dados ClubeFII'!$A:$AU,column(L39)-$A$5,0)="N/D",0,MID(VLOOKUP($A39,'Dados ClubeFII'!$A:$AU,column(L39)-$A$5,0),3,100)/1)</f>
        <v>#N/A</v>
      </c>
      <c r="M39" s="41" t="str">
        <f>MID(VLOOKUP($A39,'Dados ClubeFII'!$A:$AU,column(M39)-$A$5,0),3,100)/1</f>
        <v>#N/A</v>
      </c>
      <c r="N39" s="41" t="str">
        <f>MID(VLOOKUP($A39,'Dados ClubeFII'!$A:$AU,column(N39)-$A$5,0),3,100)/1</f>
        <v>#N/A</v>
      </c>
      <c r="O39" s="41" t="str">
        <f>LEFT(VLOOKUP($A39,'Dados ClubeFII'!$A:$AU,column(O39)-$A$5,0),len(VLOOKUP($A39,'Dados ClubeFII'!$A:$AU,column(O39)-$A$5,0))-2)/1</f>
        <v>#N/A</v>
      </c>
      <c r="P39" s="43" t="str">
        <f>VLOOKUP($A39,'Dados ClubeFII'!$A:$AU,column(P39)-$A$5,0)</f>
        <v>#N/A</v>
      </c>
      <c r="Q39" s="44" t="str">
        <f>VLOOKUP($A39,'Dados ClubeFII'!$A:$AU,column(Q39)-$A$5,0)/mid(VLOOKUP($A39,'Dados ClubeFII'!$A:$AU,2,0),3,SEARCH(",",VLOOKUP($A39,'Dados ClubeFII'!$A:$AU,2,0)))*B39</f>
        <v>#N/A</v>
      </c>
      <c r="R39" s="44" t="str">
        <f>VLOOKUP($A39,'Dados ClubeFII'!$A:$AU,column(R39)-$A$5,0)/mid(VLOOKUP($A39,'Dados ClubeFII'!$A:$AU,2,0),3,SEARCH(",",VLOOKUP($A39,'Dados ClubeFII'!$A:$AU,2,0)))*B39</f>
        <v>#N/A</v>
      </c>
      <c r="S39" s="43" t="str">
        <f>VLOOKUP($A39,'Dados ClubeFII'!$A:$AU,column(S39)-$A$5,0)</f>
        <v>#N/A</v>
      </c>
      <c r="T39" s="41" t="str">
        <f>MID(VLOOKUP($A39,'Dados ClubeFII'!$A:$AU,column(T39)-$A$5,0),3,100)/1</f>
        <v>#N/A</v>
      </c>
      <c r="U39" s="45" t="str">
        <f>VLOOKUP($A39,'Dados ClubeFII'!$A:$AU,column(U39)-$A$5,0)/mid(VLOOKUP($A39,'Dados ClubeFII'!$A:$AU,2,0),4,SEARCH(",",VLOOKUP($A39,'Dados ClubeFII'!$A:$AU,2,0))-1)*B39</f>
        <v>#N/A</v>
      </c>
      <c r="V39" s="42" t="str">
        <f>VLOOKUP($A39,'Dados ClubeFII'!$A:$AU,column(V39)-$A$5,0)</f>
        <v>#N/A</v>
      </c>
      <c r="W39" s="43" t="str">
        <f>VLOOKUP($A39,'Dados ClubeFII'!$A:$AU,column(W39)-$A$5,0)</f>
        <v>#N/A</v>
      </c>
      <c r="X39" s="45" t="str">
        <f>VLOOKUP($A39,'Dados ClubeFII'!$A:$AU,column(X39)-$A$5,0)</f>
        <v>#N/A</v>
      </c>
      <c r="Y39" s="41" t="str">
        <f>MID(VLOOKUP($A39,'Dados ClubeFII'!$A:$AU,column(Y39)-$A$5,0),3,100)/1</f>
        <v>#N/A</v>
      </c>
      <c r="Z39" s="40" t="str">
        <f>VLOOKUP($A39,'Dados ClubeFII'!$A:$AU,column(Z39)-$A$5,0)</f>
        <v>#N/A</v>
      </c>
      <c r="AA39" s="47" t="str">
        <f t="shared" si="2"/>
        <v>#N/A</v>
      </c>
      <c r="AB39" s="48" t="str">
        <f t="shared" si="3"/>
        <v>#N/A</v>
      </c>
      <c r="AC39" s="48"/>
      <c r="AD39" s="48"/>
      <c r="AE39" s="48"/>
    </row>
    <row r="40">
      <c r="A40" s="37" t="s">
        <v>64</v>
      </c>
      <c r="B40" s="38">
        <f>IFERROR(__xludf.DUMMYFUNCTION("GOOGLEFINANCE(A40)"),87.22)</f>
        <v>87.22</v>
      </c>
      <c r="C40" s="38">
        <f>IFERROR(__xludf.DUMMYFUNCTION("GOOGLEFINANCE($A40,""high52"")"),93.71)</f>
        <v>93.71</v>
      </c>
      <c r="D40" s="52" t="b">
        <v>0</v>
      </c>
      <c r="E40" s="40" t="str">
        <f>VLOOKUP($A40,'Dados ClubeFII'!$A:$AU,column(E40)-$A$5,0)</f>
        <v>Fator Verità</v>
      </c>
      <c r="F40" s="40" t="str">
        <f>VLOOKUP($A40,'Dados ClubeFII'!$A:$AU,column(F40)-$A$5,0)</f>
        <v>FATOR ADMINISTRAÇÃO DE RECURSOS</v>
      </c>
      <c r="G40" s="40" t="str">
        <f>VLOOKUP($A40,'Dados ClubeFII'!$A:$AU,column(G40)-$A$5,0)</f>
        <v>Recebíveis Imobiliários</v>
      </c>
      <c r="H40" s="41">
        <f>MID(VLOOKUP($A40,'Dados ClubeFII'!$A:$AU,column(H40)-$A$5,0),3,100)/mid(VLOOKUP($A40,'Dados ClubeFII'!$A:$AU,2,0),4,SEARCH(",",VLOOKUP($A40,'Dados ClubeFII'!$A:$AU,2,0))-1)*B40</f>
        <v>15229588094</v>
      </c>
      <c r="I40" s="41">
        <f>MID(VLOOKUP($A40,'Dados ClubeFII'!$A:$AU,column(I40)-$A$5,0),3,100)/1</f>
        <v>1415905409</v>
      </c>
      <c r="J40" s="42">
        <f>VLOOKUP($A40,'Dados ClubeFII'!$A:$AU,column(J40)-$A$5,0)/mid(VLOOKUP($A40,'Dados ClubeFII'!$A:$AU,2,0),3,SEARCH(",",VLOOKUP($A40,'Dados ClubeFII'!$A:$AU,2,0)))*B40</f>
        <v>0.9535497096</v>
      </c>
      <c r="K40" s="41">
        <f>if(VLOOKUP($A40,'Dados ClubeFII'!$A:$AU,column(K40)-$A$5,0)="N/D",0,MID(VLOOKUP($A40,'Dados ClubeFII'!$A:$AU,column(K40)-$A$5,0),3,100)/1)/mid(VLOOKUP($A40,'Dados ClubeFII'!$A:$AU,2,0),3,SEARCH(",",VLOOKUP($A40,'Dados ClubeFII'!$A:$AU,2,0)))*B40</f>
        <v>0</v>
      </c>
      <c r="L40" s="41">
        <f>if(VLOOKUP($A40,'Dados ClubeFII'!$A:$AU,column(L40)-$A$5,0)="N/D",0,MID(VLOOKUP($A40,'Dados ClubeFII'!$A:$AU,column(L40)-$A$5,0),3,100)/1)</f>
        <v>0</v>
      </c>
      <c r="M40" s="41">
        <f>MID(VLOOKUP($A40,'Dados ClubeFII'!$A:$AU,column(M40)-$A$5,0),3,100)/1</f>
        <v>1</v>
      </c>
      <c r="N40" s="41">
        <f>MID(VLOOKUP($A40,'Dados ClubeFII'!$A:$AU,column(N40)-$A$5,0),3,100)/1</f>
        <v>0</v>
      </c>
      <c r="O40" s="41">
        <f>LEFT(VLOOKUP($A40,'Dados ClubeFII'!$A:$AU,column(O40)-$A$5,0),len(VLOOKUP($A40,'Dados ClubeFII'!$A:$AU,column(O40)-$A$5,0))-2)/1</f>
        <v>0</v>
      </c>
      <c r="P40" s="43">
        <f>VLOOKUP($A40,'Dados ClubeFII'!$A:$AU,column(P40)-$A$5,0)</f>
        <v>44972</v>
      </c>
      <c r="Q40" s="44">
        <f>VLOOKUP($A40,'Dados ClubeFII'!$A:$AU,column(Q40)-$A$5,0)/mid(VLOOKUP($A40,'Dados ClubeFII'!$A:$AU,2,0),3,SEARCH(",",VLOOKUP($A40,'Dados ClubeFII'!$A:$AU,2,0)))*B40</f>
        <v>0.1452176745</v>
      </c>
      <c r="R40" s="44">
        <f>VLOOKUP($A40,'Dados ClubeFII'!$A:$AU,column(R40)-$A$5,0)/mid(VLOOKUP($A40,'Dados ClubeFII'!$A:$AU,2,0),3,SEARCH(",",VLOOKUP($A40,'Dados ClubeFII'!$A:$AU,2,0)))*B40</f>
        <v>0.1482968455</v>
      </c>
      <c r="S40" s="43">
        <f>VLOOKUP($A40,'Dados ClubeFII'!$A:$AU,column(S40)-$A$5,0)</f>
        <v>40544</v>
      </c>
      <c r="T40" s="41">
        <f>MID(VLOOKUP($A40,'Dados ClubeFII'!$A:$AU,column(T40)-$A$5,0),3,100)/1</f>
        <v>100</v>
      </c>
      <c r="U40" s="45">
        <f>VLOOKUP($A40,'Dados ClubeFII'!$A:$AU,column(U40)-$A$5,0)/mid(VLOOKUP($A40,'Dados ClubeFII'!$A:$AU,2,0),4,SEARCH(",",VLOOKUP($A40,'Dados ClubeFII'!$A:$AU,2,0))-1)*B40</f>
        <v>-0.1786837388</v>
      </c>
      <c r="V40" s="42" t="str">
        <f>VLOOKUP($A40,'Dados ClubeFII'!$A:$AU,column(V40)-$A$5,0)</f>
        <v>N/D</v>
      </c>
      <c r="W40" s="43" t="str">
        <f>VLOOKUP($A40,'Dados ClubeFII'!$A:$AU,column(W40)-$A$5,0)</f>
        <v>N/D</v>
      </c>
      <c r="X40" s="45">
        <f>VLOOKUP($A40,'Dados ClubeFII'!$A:$AU,column(X40)-$A$5,0)</f>
        <v>0.0126</v>
      </c>
      <c r="Y40" s="41">
        <f>MID(VLOOKUP($A40,'Dados ClubeFII'!$A:$AU,column(Y40)-$A$5,0),3,100)/1</f>
        <v>2106000.28</v>
      </c>
      <c r="Z40" s="46">
        <f>VLOOKUP($A40,'Dados ClubeFII'!$A:$AU,column(Z40)-$A$5,0)</f>
        <v>119228</v>
      </c>
      <c r="AA40" s="47">
        <f t="shared" si="2"/>
        <v>174611191</v>
      </c>
      <c r="AB40" s="48">
        <f t="shared" si="3"/>
        <v>8.108904135</v>
      </c>
      <c r="AC40" s="48"/>
      <c r="AD40" s="48"/>
      <c r="AE40" s="48"/>
    </row>
    <row r="41">
      <c r="A41" s="49" t="s">
        <v>65</v>
      </c>
      <c r="B41" s="38">
        <f>IFERROR(__xludf.DUMMYFUNCTION("GOOGLEFINANCE(A41)"),66.2)</f>
        <v>66.2</v>
      </c>
      <c r="C41" s="38">
        <f>IFERROR(__xludf.DUMMYFUNCTION("GOOGLEFINANCE($A41,""high52"")"),75.83)</f>
        <v>75.83</v>
      </c>
      <c r="D41" s="52" t="b">
        <v>0</v>
      </c>
      <c r="E41" s="40" t="str">
        <f>VLOOKUP($A41,'Dados ClubeFII'!$A:$AU,column(E41)-$A$5,0)</f>
        <v>Grand Plaza Shopping</v>
      </c>
      <c r="F41" s="40" t="str">
        <f>VLOOKUP($A41,'Dados ClubeFII'!$A:$AU,column(F41)-$A$5,0)</f>
        <v>RIO BRAVO</v>
      </c>
      <c r="G41" s="40" t="str">
        <f>VLOOKUP($A41,'Dados ClubeFII'!$A:$AU,column(G41)-$A$5,0)</f>
        <v>Shopping/Varejo</v>
      </c>
      <c r="H41" s="41">
        <f>MID(VLOOKUP($A41,'Dados ClubeFII'!$A:$AU,COLUMN(H41)-$A$5,0),3,100)/MID(VLOOKUP($A41,'Dados ClubeFII'!$A:$AU,2,0),3,SEARCH(",",VLOOKUP($A41,'Dados ClubeFII'!$A:$AU,2,0)))*B41</f>
        <v>311498439.3</v>
      </c>
      <c r="I41" s="41">
        <f>MID(VLOOKUP($A41,'Dados ClubeFII'!$A:$AU,column(I41)-$A$5,0),3,100)/1</f>
        <v>430917128</v>
      </c>
      <c r="J41" s="42">
        <f>VLOOKUP($A41,'Dados ClubeFII'!$A:$AU,column(J41)-$A$5,0)/mid(VLOOKUP($A41,'Dados ClubeFII'!$A:$AU,2,0),3,SEARCH(",",VLOOKUP($A41,'Dados ClubeFII'!$A:$AU,2,0)))*B41</f>
        <v>0.7218068536</v>
      </c>
      <c r="K41" s="41">
        <f>if(VLOOKUP($A41,'Dados ClubeFII'!$A:$AU,column(K41)-$A$5,0)="N/D",0,MID(VLOOKUP($A41,'Dados ClubeFII'!$A:$AU,column(K41)-$A$5,0),3,100)/1)/mid(VLOOKUP($A41,'Dados ClubeFII'!$A:$AU,2,0),3,SEARCH(",",VLOOKUP($A41,'Dados ClubeFII'!$A:$AU,2,0)))*B41</f>
        <v>4540.134174</v>
      </c>
      <c r="L41" s="41">
        <f>if(VLOOKUP($A41,'Dados ClubeFII'!$A:$AU,column(L41)-$A$5,0)="N/D",0,MID(VLOOKUP($A41,'Dados ClubeFII'!$A:$AU,column(L41)-$A$5,0),3,100)/1)</f>
        <v>6280.68</v>
      </c>
      <c r="M41" s="41">
        <f>MID(VLOOKUP($A41,'Dados ClubeFII'!$A:$AU,column(M41)-$A$5,0),3,100)/1</f>
        <v>0.5</v>
      </c>
      <c r="N41" s="41">
        <f>MID(VLOOKUP($A41,'Dados ClubeFII'!$A:$AU,column(N41)-$A$5,0),3,100)/1</f>
        <v>34.32</v>
      </c>
      <c r="O41" s="41">
        <f>LEFT(VLOOKUP($A41,'Dados ClubeFII'!$A:$AU,column(O41)-$A$5,0),len(VLOOKUP($A41,'Dados ClubeFII'!$A:$AU,column(O41)-$A$5,0))-2)/1</f>
        <v>68610</v>
      </c>
      <c r="P41" s="43">
        <f>VLOOKUP($A41,'Dados ClubeFII'!$A:$AU,column(P41)-$A$5,0)</f>
        <v>44964</v>
      </c>
      <c r="Q41" s="44">
        <f>VLOOKUP($A41,'Dados ClubeFII'!$A:$AU,column(Q41)-$A$5,0)/mid(VLOOKUP($A41,'Dados ClubeFII'!$A:$AU,2,0),3,SEARCH(",",VLOOKUP($A41,'Dados ClubeFII'!$A:$AU,2,0)))*B41</f>
        <v>0.1007436137</v>
      </c>
      <c r="R41" s="44">
        <f>VLOOKUP($A41,'Dados ClubeFII'!$A:$AU,column(R41)-$A$5,0)/mid(VLOOKUP($A41,'Dados ClubeFII'!$A:$AU,2,0),3,SEARCH(",",VLOOKUP($A41,'Dados ClubeFII'!$A:$AU,2,0)))*B41</f>
        <v>0.09610342679</v>
      </c>
      <c r="S41" s="43">
        <f>VLOOKUP($A41,'Dados ClubeFII'!$A:$AU,column(S41)-$A$5,0)</f>
        <v>38058</v>
      </c>
      <c r="T41" s="41">
        <f>MID(VLOOKUP($A41,'Dados ClubeFII'!$A:$AU,column(T41)-$A$5,0),3,100)/1</f>
        <v>18.5</v>
      </c>
      <c r="U41" s="45">
        <f>VLOOKUP($A41,'Dados ClubeFII'!$A:$AU,column(U41)-$A$5,0)/mid(VLOOKUP($A41,'Dados ClubeFII'!$A:$AU,2,0),4,SEARCH(",",VLOOKUP($A41,'Dados ClubeFII'!$A:$AU,2,0))-1)*B41</f>
        <v>-1.55412381</v>
      </c>
      <c r="V41" s="42">
        <f>VLOOKUP($A41,'Dados ClubeFII'!$A:$AU,column(V41)-$A$5,0)</f>
        <v>0.03</v>
      </c>
      <c r="W41" s="43" t="str">
        <f>VLOOKUP($A41,'Dados ClubeFII'!$A:$AU,column(W41)-$A$5,0)</f>
        <v>N/D</v>
      </c>
      <c r="X41" s="45">
        <f>VLOOKUP($A41,'Dados ClubeFII'!$A:$AU,column(X41)-$A$5,0)</f>
        <v>0</v>
      </c>
      <c r="Y41" s="41">
        <f>MID(VLOOKUP($A41,'Dados ClubeFII'!$A:$AU,column(Y41)-$A$5,0),3,100)/1</f>
        <v>80710.6</v>
      </c>
      <c r="Z41" s="46">
        <f>VLOOKUP($A41,'Dados ClubeFII'!$A:$AU,column(Z41)-$A$5,0)</f>
        <v>19308</v>
      </c>
      <c r="AA41" s="47">
        <f t="shared" si="2"/>
        <v>4705414</v>
      </c>
      <c r="AB41" s="48">
        <f t="shared" si="3"/>
        <v>91.5790041</v>
      </c>
      <c r="AC41" s="48"/>
      <c r="AD41" s="48"/>
      <c r="AE41" s="48"/>
    </row>
    <row r="42">
      <c r="A42" s="37" t="s">
        <v>66</v>
      </c>
      <c r="B42" s="38">
        <f>IFERROR(__xludf.DUMMYFUNCTION("GOOGLEFINANCE(A42)"),101.06)</f>
        <v>101.06</v>
      </c>
      <c r="C42" s="38">
        <f>IFERROR(__xludf.DUMMYFUNCTION("GOOGLEFINANCE($A42,""high52"")"),109.48)</f>
        <v>109.48</v>
      </c>
      <c r="D42" s="52" t="b">
        <v>0</v>
      </c>
      <c r="E42" s="40" t="str">
        <f>VLOOKUP($A42,'Dados ClubeFII'!$A:$AU,column(E42)-$A$5,0)</f>
        <v>JPP Capital Recebíveis Imobiliários</v>
      </c>
      <c r="F42" s="40" t="str">
        <f>VLOOKUP($A42,'Dados ClubeFII'!$A:$AU,column(F42)-$A$5,0)</f>
        <v>JPP GESTÃO</v>
      </c>
      <c r="G42" s="40" t="str">
        <f>VLOOKUP($A42,'Dados ClubeFII'!$A:$AU,column(G42)-$A$5,0)</f>
        <v>Recebíveis Imobiliários</v>
      </c>
      <c r="H42" s="41">
        <f>MID(VLOOKUP($A42,'Dados ClubeFII'!$A:$AU,column(H42)-$A$5,0),3,100)/mid(VLOOKUP($A42,'Dados ClubeFII'!$A:$AU,2,0),4,SEARCH(",",VLOOKUP($A42,'Dados ClubeFII'!$A:$AU,2,0))-1)*B42</f>
        <v>4699672420</v>
      </c>
      <c r="I42" s="41">
        <f>MID(VLOOKUP($A42,'Dados ClubeFII'!$A:$AU,column(I42)-$A$5,0),3,100)/1</f>
        <v>88456979.33</v>
      </c>
      <c r="J42" s="42">
        <f>VLOOKUP($A42,'Dados ClubeFII'!$A:$AU,column(J42)-$A$5,0)/mid(VLOOKUP($A42,'Dados ClubeFII'!$A:$AU,2,0),3,SEARCH(",",VLOOKUP($A42,'Dados ClubeFII'!$A:$AU,2,0)))*B42</f>
        <v>1.030617768</v>
      </c>
      <c r="K42" s="41">
        <f>if(VLOOKUP($A42,'Dados ClubeFII'!$A:$AU,column(K42)-$A$5,0)="N/D",0,MID(VLOOKUP($A42,'Dados ClubeFII'!$A:$AU,column(K42)-$A$5,0),3,100)/1)/mid(VLOOKUP($A42,'Dados ClubeFII'!$A:$AU,2,0),3,SEARCH(",",VLOOKUP($A42,'Dados ClubeFII'!$A:$AU,2,0)))*B42</f>
        <v>0</v>
      </c>
      <c r="L42" s="41">
        <f>if(VLOOKUP($A42,'Dados ClubeFII'!$A:$AU,column(L42)-$A$5,0)="N/D",0,MID(VLOOKUP($A42,'Dados ClubeFII'!$A:$AU,column(L42)-$A$5,0),3,100)/1)</f>
        <v>0</v>
      </c>
      <c r="M42" s="41">
        <f>MID(VLOOKUP($A42,'Dados ClubeFII'!$A:$AU,column(M42)-$A$5,0),3,100)/1</f>
        <v>1.4</v>
      </c>
      <c r="N42" s="41">
        <f>MID(VLOOKUP($A42,'Dados ClubeFII'!$A:$AU,column(N42)-$A$5,0),3,100)/1</f>
        <v>0</v>
      </c>
      <c r="O42" s="41">
        <f>LEFT(VLOOKUP($A42,'Dados ClubeFII'!$A:$AU,column(O42)-$A$5,0),len(VLOOKUP($A42,'Dados ClubeFII'!$A:$AU,column(O42)-$A$5,0))-2)/1</f>
        <v>0</v>
      </c>
      <c r="P42" s="43">
        <f>VLOOKUP($A42,'Dados ClubeFII'!$A:$AU,column(P42)-$A$5,0)</f>
        <v>44971</v>
      </c>
      <c r="Q42" s="44">
        <f>VLOOKUP($A42,'Dados ClubeFII'!$A:$AU,column(Q42)-$A$5,0)/mid(VLOOKUP($A42,'Dados ClubeFII'!$A:$AU,2,0),3,SEARCH(",",VLOOKUP($A42,'Dados ClubeFII'!$A:$AU,2,0)))*B42</f>
        <v>0.1763941949</v>
      </c>
      <c r="R42" s="44">
        <f>VLOOKUP($A42,'Dados ClubeFII'!$A:$AU,column(R42)-$A$5,0)/mid(VLOOKUP($A42,'Dados ClubeFII'!$A:$AU,2,0),3,SEARCH(",",VLOOKUP($A42,'Dados ClubeFII'!$A:$AU,2,0)))*B42</f>
        <v>0.1903669935</v>
      </c>
      <c r="S42" s="43">
        <f>VLOOKUP($A42,'Dados ClubeFII'!$A:$AU,column(S42)-$A$5,0)</f>
        <v>43791</v>
      </c>
      <c r="T42" s="41">
        <f>MID(VLOOKUP($A42,'Dados ClubeFII'!$A:$AU,column(T42)-$A$5,0),3,100)/1</f>
        <v>100</v>
      </c>
      <c r="U42" s="45">
        <f>VLOOKUP($A42,'Dados ClubeFII'!$A:$AU,column(U42)-$A$5,0)/mid(VLOOKUP($A42,'Dados ClubeFII'!$A:$AU,2,0),4,SEARCH(",",VLOOKUP($A42,'Dados ClubeFII'!$A:$AU,2,0))-1)*B42</f>
        <v>-1.908911111</v>
      </c>
      <c r="V42" s="42" t="str">
        <f>VLOOKUP($A42,'Dados ClubeFII'!$A:$AU,column(V42)-$A$5,0)</f>
        <v>N/D</v>
      </c>
      <c r="W42" s="43" t="str">
        <f>VLOOKUP($A42,'Dados ClubeFII'!$A:$AU,column(W42)-$A$5,0)</f>
        <v>N/D</v>
      </c>
      <c r="X42" s="45">
        <f>VLOOKUP($A42,'Dados ClubeFII'!$A:$AU,column(X42)-$A$5,0)</f>
        <v>0</v>
      </c>
      <c r="Y42" s="41">
        <f>MID(VLOOKUP($A42,'Dados ClubeFII'!$A:$AU,column(Y42)-$A$5,0),3,100)/1</f>
        <v>380619</v>
      </c>
      <c r="Z42" s="46">
        <f>VLOOKUP($A42,'Dados ClubeFII'!$A:$AU,column(Z42)-$A$5,0)</f>
        <v>7680</v>
      </c>
      <c r="AA42" s="47">
        <f t="shared" si="2"/>
        <v>46503784</v>
      </c>
      <c r="AB42" s="48">
        <f t="shared" si="3"/>
        <v>1.902145841</v>
      </c>
      <c r="AC42" s="48"/>
      <c r="AD42" s="48"/>
      <c r="AE42" s="48"/>
    </row>
    <row r="43">
      <c r="A43" s="49" t="s">
        <v>67</v>
      </c>
      <c r="B43" s="38" t="str">
        <f>IFERROR(__xludf.DUMMYFUNCTION("GOOGLEFINANCE(A43)"),"#N/A")</f>
        <v>#N/A</v>
      </c>
      <c r="C43" s="38" t="str">
        <f>IFERROR(__xludf.DUMMYFUNCTION("GOOGLEFINANCE($A43,""high52"")"),"#N/A")</f>
        <v>#N/A</v>
      </c>
      <c r="D43" s="39" t="str">
        <f t="shared" ref="D43:D207" si="4">(B43-C43)/C43</f>
        <v>#N/A</v>
      </c>
      <c r="E43" s="40" t="str">
        <f>VLOOKUP($A43,'Dados ClubeFII'!$A:$AU,column(E43)-$A$5,0)</f>
        <v>#N/A</v>
      </c>
      <c r="F43" s="40" t="str">
        <f>VLOOKUP($A43,'Dados ClubeFII'!$A:$AU,column(F43)-$A$5,0)</f>
        <v>#N/A</v>
      </c>
      <c r="G43" s="40" t="str">
        <f>VLOOKUP($A43,'Dados ClubeFII'!$A:$AU,column(G43)-$A$5,0)</f>
        <v>#N/A</v>
      </c>
      <c r="H43" s="41" t="str">
        <f>MID(VLOOKUP($A43,'Dados ClubeFII'!$A:$AU,column(H43)-$A$5,0),3,100)/mid(VLOOKUP($A43,'Dados ClubeFII'!$A:$AU,2,0),4,SEARCH(",",VLOOKUP($A43,'Dados ClubeFII'!$A:$AU,2,0))-1)*B43</f>
        <v>#N/A</v>
      </c>
      <c r="I43" s="41" t="str">
        <f>MID(VLOOKUP($A43,'Dados ClubeFII'!$A:$AU,column(I43)-$A$5,0),3,100)/1</f>
        <v>#N/A</v>
      </c>
      <c r="J43" s="42" t="str">
        <f>VLOOKUP($A43,'Dados ClubeFII'!$A:$AU,column(J43)-$A$5,0)/mid(VLOOKUP($A43,'Dados ClubeFII'!$A:$AU,2,0),3,SEARCH(",",VLOOKUP($A43,'Dados ClubeFII'!$A:$AU,2,0)))*B43</f>
        <v>#N/A</v>
      </c>
      <c r="K43" s="41" t="str">
        <f>if(VLOOKUP($A43,'Dados ClubeFII'!$A:$AU,column(K43)-$A$5,0)="N/D",0,MID(VLOOKUP($A43,'Dados ClubeFII'!$A:$AU,column(K43)-$A$5,0),3,100)/1)/mid(VLOOKUP($A43,'Dados ClubeFII'!$A:$AU,2,0),3,SEARCH(",",VLOOKUP($A43,'Dados ClubeFII'!$A:$AU,2,0)))*B43</f>
        <v>#N/A</v>
      </c>
      <c r="L43" s="41" t="str">
        <f>if(VLOOKUP($A43,'Dados ClubeFII'!$A:$AU,column(L43)-$A$5,0)="N/D",0,MID(VLOOKUP($A43,'Dados ClubeFII'!$A:$AU,column(L43)-$A$5,0),3,100)/1)</f>
        <v>#N/A</v>
      </c>
      <c r="M43" s="41" t="str">
        <f>MID(VLOOKUP($A43,'Dados ClubeFII'!$A:$AU,column(M43)-$A$5,0),3,100)/1</f>
        <v>#N/A</v>
      </c>
      <c r="N43" s="41" t="str">
        <f>MID(VLOOKUP($A43,'Dados ClubeFII'!$A:$AU,column(N43)-$A$5,0),3,100)/1</f>
        <v>#N/A</v>
      </c>
      <c r="O43" s="41" t="str">
        <f>LEFT(VLOOKUP($A43,'Dados ClubeFII'!$A:$AU,column(O43)-$A$5,0),len(VLOOKUP($A43,'Dados ClubeFII'!$A:$AU,column(O43)-$A$5,0))-2)/1</f>
        <v>#N/A</v>
      </c>
      <c r="P43" s="43" t="str">
        <f>VLOOKUP($A43,'Dados ClubeFII'!$A:$AU,column(P43)-$A$5,0)</f>
        <v>#N/A</v>
      </c>
      <c r="Q43" s="44" t="str">
        <f>VLOOKUP($A43,'Dados ClubeFII'!$A:$AU,column(Q43)-$A$5,0)/mid(VLOOKUP($A43,'Dados ClubeFII'!$A:$AU,2,0),3,SEARCH(",",VLOOKUP($A43,'Dados ClubeFII'!$A:$AU,2,0)))*B43</f>
        <v>#N/A</v>
      </c>
      <c r="R43" s="44" t="str">
        <f>VLOOKUP($A43,'Dados ClubeFII'!$A:$AU,column(R43)-$A$5,0)/mid(VLOOKUP($A43,'Dados ClubeFII'!$A:$AU,2,0),3,SEARCH(",",VLOOKUP($A43,'Dados ClubeFII'!$A:$AU,2,0)))*B43</f>
        <v>#N/A</v>
      </c>
      <c r="S43" s="43" t="str">
        <f>VLOOKUP($A43,'Dados ClubeFII'!$A:$AU,column(S43)-$A$5,0)</f>
        <v>#N/A</v>
      </c>
      <c r="T43" s="41" t="str">
        <f>MID(VLOOKUP($A43,'Dados ClubeFII'!$A:$AU,column(T43)-$A$5,0),3,100)/1</f>
        <v>#N/A</v>
      </c>
      <c r="U43" s="45" t="str">
        <f>VLOOKUP($A43,'Dados ClubeFII'!$A:$AU,column(U43)-$A$5,0)/mid(VLOOKUP($A43,'Dados ClubeFII'!$A:$AU,2,0),4,SEARCH(",",VLOOKUP($A43,'Dados ClubeFII'!$A:$AU,2,0))-1)*B43</f>
        <v>#N/A</v>
      </c>
      <c r="V43" s="42" t="str">
        <f>VLOOKUP($A43,'Dados ClubeFII'!$A:$AU,column(V43)-$A$5,0)</f>
        <v>#N/A</v>
      </c>
      <c r="W43" s="43" t="str">
        <f>VLOOKUP($A43,'Dados ClubeFII'!$A:$AU,column(W43)-$A$5,0)</f>
        <v>#N/A</v>
      </c>
      <c r="X43" s="45" t="str">
        <f>VLOOKUP($A43,'Dados ClubeFII'!$A:$AU,column(X43)-$A$5,0)</f>
        <v>#N/A</v>
      </c>
      <c r="Y43" s="41" t="str">
        <f>MID(VLOOKUP($A43,'Dados ClubeFII'!$A:$AU,column(Y43)-$A$5,0),3,100)/1</f>
        <v>#N/A</v>
      </c>
      <c r="Z43" s="40" t="str">
        <f>VLOOKUP($A43,'Dados ClubeFII'!$A:$AU,column(Z43)-$A$5,0)</f>
        <v>#N/A</v>
      </c>
      <c r="AA43" s="47" t="str">
        <f t="shared" si="2"/>
        <v>#N/A</v>
      </c>
      <c r="AB43" s="48" t="str">
        <f t="shared" si="3"/>
        <v>#N/A</v>
      </c>
      <c r="AC43" s="48"/>
      <c r="AD43" s="48"/>
      <c r="AE43" s="48"/>
    </row>
    <row r="44">
      <c r="A44" s="37" t="s">
        <v>68</v>
      </c>
      <c r="B44" s="38">
        <f>IFERROR(__xludf.DUMMYFUNCTION("GOOGLEFINANCE(A44)"),6.99)</f>
        <v>6.99</v>
      </c>
      <c r="C44" s="38">
        <f>IFERROR(__xludf.DUMMYFUNCTION("GOOGLEFINANCE($A44,""high52"")"),7.53)</f>
        <v>7.53</v>
      </c>
      <c r="D44" s="39">
        <f t="shared" si="4"/>
        <v>-0.07171314741</v>
      </c>
      <c r="E44" s="40" t="str">
        <f>VLOOKUP($A44,'Dados ClubeFII'!$A:$AU,column(E44)-$A$5,0)</f>
        <v>XP Selection</v>
      </c>
      <c r="F44" s="40" t="str">
        <f>VLOOKUP($A44,'Dados ClubeFII'!$A:$AU,column(F44)-$A$5,0)</f>
        <v>XP Vista</v>
      </c>
      <c r="G44" s="40" t="str">
        <f>VLOOKUP($A44,'Dados ClubeFII'!$A:$AU,column(G44)-$A$5,0)</f>
        <v>Fundo de Fundos</v>
      </c>
      <c r="H44" s="41">
        <f>MID(VLOOKUP($A44,'Dados ClubeFII'!$A:$AU,column(H44)-$A$5,0),3,100)/mid(VLOOKUP($A44,'Dados ClubeFII'!$A:$AU,2,0),4,SEARCH(",",VLOOKUP($A44,'Dados ClubeFII'!$A:$AU,2,0))-1)*B44</f>
        <v>11470053168</v>
      </c>
      <c r="I44" s="41">
        <f>MID(VLOOKUP($A44,'Dados ClubeFII'!$A:$AU,column(I44)-$A$5,0),3,100)/1</f>
        <v>352455905.8</v>
      </c>
      <c r="J44" s="42">
        <f>VLOOKUP($A44,'Dados ClubeFII'!$A:$AU,column(J44)-$A$5,0)/mid(VLOOKUP($A44,'Dados ClubeFII'!$A:$AU,2,0),3,SEARCH(",",VLOOKUP($A44,'Dados ClubeFII'!$A:$AU,2,0)))*B44</f>
        <v>0.8555215577</v>
      </c>
      <c r="K44" s="41">
        <f>if(VLOOKUP($A44,'Dados ClubeFII'!$A:$AU,column(K44)-$A$5,0)="N/D",0,MID(VLOOKUP($A44,'Dados ClubeFII'!$A:$AU,column(K44)-$A$5,0),3,100)/1)/mid(VLOOKUP($A44,'Dados ClubeFII'!$A:$AU,2,0),3,SEARCH(",",VLOOKUP($A44,'Dados ClubeFII'!$A:$AU,2,0)))*B44</f>
        <v>0</v>
      </c>
      <c r="L44" s="41">
        <f>if(VLOOKUP($A44,'Dados ClubeFII'!$A:$AU,column(L44)-$A$5,0)="N/D",0,MID(VLOOKUP($A44,'Dados ClubeFII'!$A:$AU,column(L44)-$A$5,0),3,100)/1)</f>
        <v>0</v>
      </c>
      <c r="M44" s="41">
        <f>MID(VLOOKUP($A44,'Dados ClubeFII'!$A:$AU,column(M44)-$A$5,0),3,100)/1</f>
        <v>0.08</v>
      </c>
      <c r="N44" s="41">
        <f>MID(VLOOKUP($A44,'Dados ClubeFII'!$A:$AU,column(N44)-$A$5,0),3,100)/1</f>
        <v>0</v>
      </c>
      <c r="O44" s="41">
        <f>LEFT(VLOOKUP($A44,'Dados ClubeFII'!$A:$AU,column(O44)-$A$5,0),len(VLOOKUP($A44,'Dados ClubeFII'!$A:$AU,column(O44)-$A$5,0))-2)/1</f>
        <v>0</v>
      </c>
      <c r="P44" s="43">
        <f>VLOOKUP($A44,'Dados ClubeFII'!$A:$AU,column(P44)-$A$5,0)</f>
        <v>44971</v>
      </c>
      <c r="Q44" s="44">
        <f>VLOOKUP($A44,'Dados ClubeFII'!$A:$AU,column(Q44)-$A$5,0)/mid(VLOOKUP($A44,'Dados ClubeFII'!$A:$AU,2,0),3,SEARCH(",",VLOOKUP($A44,'Dados ClubeFII'!$A:$AU,2,0)))*B44</f>
        <v>0.1287171071</v>
      </c>
      <c r="R44" s="44">
        <f>VLOOKUP($A44,'Dados ClubeFII'!$A:$AU,column(R44)-$A$5,0)/mid(VLOOKUP($A44,'Dados ClubeFII'!$A:$AU,2,0),3,SEARCH(",",VLOOKUP($A44,'Dados ClubeFII'!$A:$AU,2,0)))*B44</f>
        <v>0.1172453408</v>
      </c>
      <c r="S44" s="43">
        <f>VLOOKUP($A44,'Dados ClubeFII'!$A:$AU,column(S44)-$A$5,0)</f>
        <v>43513</v>
      </c>
      <c r="T44" s="41">
        <f>MID(VLOOKUP($A44,'Dados ClubeFII'!$A:$AU,column(T44)-$A$5,0),3,100)/1</f>
        <v>10</v>
      </c>
      <c r="U44" s="45">
        <f>VLOOKUP($A44,'Dados ClubeFII'!$A:$AU,column(U44)-$A$5,0)/mid(VLOOKUP($A44,'Dados ClubeFII'!$A:$AU,2,0),4,SEARCH(",",VLOOKUP($A44,'Dados ClubeFII'!$A:$AU,2,0))-1)*B44</f>
        <v>-1.935126316</v>
      </c>
      <c r="V44" s="42" t="str">
        <f>VLOOKUP($A44,'Dados ClubeFII'!$A:$AU,column(V44)-$A$5,0)</f>
        <v>N/D</v>
      </c>
      <c r="W44" s="43" t="str">
        <f>VLOOKUP($A44,'Dados ClubeFII'!$A:$AU,column(W44)-$A$5,0)</f>
        <v>N/D</v>
      </c>
      <c r="X44" s="45">
        <f>VLOOKUP($A44,'Dados ClubeFII'!$A:$AU,column(X44)-$A$5,0)</f>
        <v>0.003</v>
      </c>
      <c r="Y44" s="41">
        <f>MID(VLOOKUP($A44,'Dados ClubeFII'!$A:$AU,column(Y44)-$A$5,0),3,100)/1</f>
        <v>483523.63</v>
      </c>
      <c r="Z44" s="46">
        <f>VLOOKUP($A44,'Dados ClubeFII'!$A:$AU,column(Z44)-$A$5,0)</f>
        <v>38832</v>
      </c>
      <c r="AA44" s="47">
        <f t="shared" si="2"/>
        <v>1640923200</v>
      </c>
      <c r="AB44" s="48">
        <f t="shared" si="3"/>
        <v>0.2147912259</v>
      </c>
      <c r="AC44" s="48"/>
      <c r="AD44" s="48"/>
      <c r="AE44" s="48"/>
    </row>
    <row r="45">
      <c r="A45" s="49" t="s">
        <v>69</v>
      </c>
      <c r="B45" s="38">
        <f>IFERROR(__xludf.DUMMYFUNCTION("GOOGLEFINANCE(A45)"),10.25)</f>
        <v>10.25</v>
      </c>
      <c r="C45" s="38">
        <f>IFERROR(__xludf.DUMMYFUNCTION("GOOGLEFINANCE($A45,""high52"")"),10.29)</f>
        <v>10.29</v>
      </c>
      <c r="D45" s="39">
        <f t="shared" si="4"/>
        <v>-0.003887269193</v>
      </c>
      <c r="E45" s="40" t="str">
        <f>VLOOKUP($A45,'Dados ClubeFII'!$A:$AU,column(E45)-$A$5,0)</f>
        <v>Maxi Renda</v>
      </c>
      <c r="F45" s="40" t="str">
        <f>VLOOKUP($A45,'Dados ClubeFII'!$A:$AU,column(F45)-$A$5,0)</f>
        <v>XP Vista</v>
      </c>
      <c r="G45" s="40" t="str">
        <f>VLOOKUP($A45,'Dados ClubeFII'!$A:$AU,column(G45)-$A$5,0)</f>
        <v>Recebíveis Imobiliários</v>
      </c>
      <c r="H45" s="41">
        <f>MID(VLOOKUP($A45,'Dados ClubeFII'!$A:$AU,column(H45)-$A$5,0),3,100)/mid(VLOOKUP($A45,'Dados ClubeFII'!$A:$AU,2,0),4,SEARCH(",",VLOOKUP($A45,'Dados ClubeFII'!$A:$AU,2,0))-1)*B45</f>
        <v>196164754207</v>
      </c>
      <c r="I45" s="41">
        <f>MID(VLOOKUP($A45,'Dados ClubeFII'!$A:$AU,column(I45)-$A$5,0),3,100)/1</f>
        <v>2286074354</v>
      </c>
      <c r="J45" s="42">
        <f>VLOOKUP($A45,'Dados ClubeFII'!$A:$AU,column(J45)-$A$5,0)/mid(VLOOKUP($A45,'Dados ClubeFII'!$A:$AU,2,0),3,SEARCH(",",VLOOKUP($A45,'Dados ClubeFII'!$A:$AU,2,0)))*B45</f>
        <v>1.01284585</v>
      </c>
      <c r="K45" s="41">
        <f>if(VLOOKUP($A45,'Dados ClubeFII'!$A:$AU,column(K45)-$A$5,0)="N/D",0,MID(VLOOKUP($A45,'Dados ClubeFII'!$A:$AU,column(K45)-$A$5,0),3,100)/1)/mid(VLOOKUP($A45,'Dados ClubeFII'!$A:$AU,2,0),3,SEARCH(",",VLOOKUP($A45,'Dados ClubeFII'!$A:$AU,2,0)))*B45</f>
        <v>0</v>
      </c>
      <c r="L45" s="41">
        <f>if(VLOOKUP($A45,'Dados ClubeFII'!$A:$AU,column(L45)-$A$5,0)="N/D",0,MID(VLOOKUP($A45,'Dados ClubeFII'!$A:$AU,column(L45)-$A$5,0),3,100)/1)</f>
        <v>0</v>
      </c>
      <c r="M45" s="41">
        <f>MID(VLOOKUP($A45,'Dados ClubeFII'!$A:$AU,column(M45)-$A$5,0),3,100)/1</f>
        <v>0.11</v>
      </c>
      <c r="N45" s="41">
        <f>MID(VLOOKUP($A45,'Dados ClubeFII'!$A:$AU,column(N45)-$A$5,0),3,100)/1</f>
        <v>0</v>
      </c>
      <c r="O45" s="41">
        <f>LEFT(VLOOKUP($A45,'Dados ClubeFII'!$A:$AU,column(O45)-$A$5,0),len(VLOOKUP($A45,'Dados ClubeFII'!$A:$AU,column(O45)-$A$5,0))-2)/1</f>
        <v>0</v>
      </c>
      <c r="P45" s="43">
        <f>VLOOKUP($A45,'Dados ClubeFII'!$A:$AU,column(P45)-$A$5,0)</f>
        <v>44971</v>
      </c>
      <c r="Q45" s="44">
        <f>VLOOKUP($A45,'Dados ClubeFII'!$A:$AU,column(Q45)-$A$5,0)/mid(VLOOKUP($A45,'Dados ClubeFII'!$A:$AU,2,0),3,SEARCH(",",VLOOKUP($A45,'Dados ClubeFII'!$A:$AU,2,0)))*B45</f>
        <v>0.1396714427</v>
      </c>
      <c r="R45" s="44">
        <f>VLOOKUP($A45,'Dados ClubeFII'!$A:$AU,column(R45)-$A$5,0)/mid(VLOOKUP($A45,'Dados ClubeFII'!$A:$AU,2,0),3,SEARCH(",",VLOOKUP($A45,'Dados ClubeFII'!$A:$AU,2,0)))*B45</f>
        <v>0.1116156126</v>
      </c>
      <c r="S45" s="43">
        <f>VLOOKUP($A45,'Dados ClubeFII'!$A:$AU,column(S45)-$A$5,0)</f>
        <v>40806</v>
      </c>
      <c r="T45" s="41">
        <f>MID(VLOOKUP($A45,'Dados ClubeFII'!$A:$AU,column(T45)-$A$5,0),3,100)/1</f>
        <v>10</v>
      </c>
      <c r="U45" s="45">
        <f>VLOOKUP($A45,'Dados ClubeFII'!$A:$AU,column(U45)-$A$5,0)/mid(VLOOKUP($A45,'Dados ClubeFII'!$A:$AU,2,0),4,SEARCH(",",VLOOKUP($A45,'Dados ClubeFII'!$A:$AU,2,0))-1)*B45</f>
        <v>0.589375</v>
      </c>
      <c r="V45" s="42" t="str">
        <f>VLOOKUP($A45,'Dados ClubeFII'!$A:$AU,column(V45)-$A$5,0)</f>
        <v>N/D</v>
      </c>
      <c r="W45" s="43" t="str">
        <f>VLOOKUP($A45,'Dados ClubeFII'!$A:$AU,column(W45)-$A$5,0)</f>
        <v>N/D</v>
      </c>
      <c r="X45" s="45">
        <f>VLOOKUP($A45,'Dados ClubeFII'!$A:$AU,column(X45)-$A$5,0)</f>
        <v>0.0207</v>
      </c>
      <c r="Y45" s="41">
        <f>MID(VLOOKUP($A45,'Dados ClubeFII'!$A:$AU,column(Y45)-$A$5,0),3,100)/1</f>
        <v>5690018.16</v>
      </c>
      <c r="Z45" s="46">
        <f>VLOOKUP($A45,'Dados ClubeFII'!$A:$AU,column(Z45)-$A$5,0)</f>
        <v>777034</v>
      </c>
      <c r="AA45" s="47">
        <f t="shared" si="2"/>
        <v>19138024800</v>
      </c>
      <c r="AB45" s="48">
        <f t="shared" si="3"/>
        <v>0.1194519486</v>
      </c>
      <c r="AC45" s="48"/>
      <c r="AD45" s="48"/>
      <c r="AE45" s="48"/>
    </row>
    <row r="46">
      <c r="A46" s="37" t="s">
        <v>70</v>
      </c>
      <c r="B46" s="38">
        <f>IFERROR(__xludf.DUMMYFUNCTION("GOOGLEFINANCE(A46)"),92.7)</f>
        <v>92.7</v>
      </c>
      <c r="C46" s="38">
        <f>IFERROR(__xludf.DUMMYFUNCTION("GOOGLEFINANCE($A46,""high52"")"),103.49)</f>
        <v>103.49</v>
      </c>
      <c r="D46" s="39">
        <f t="shared" si="4"/>
        <v>-0.1042612813</v>
      </c>
      <c r="E46" s="40" t="str">
        <f>VLOOKUP($A46,'Dados ClubeFII'!$A:$AU,column(E46)-$A$5,0)</f>
        <v>BB Renda Corporativa</v>
      </c>
      <c r="F46" s="40" t="str">
        <f>VLOOKUP($A46,'Dados ClubeFII'!$A:$AU,column(F46)-$A$5,0)</f>
        <v>BV DTVM</v>
      </c>
      <c r="G46" s="40" t="str">
        <f>VLOOKUP($A46,'Dados ClubeFII'!$A:$AU,column(G46)-$A$5,0)</f>
        <v>Agencias Bancárias</v>
      </c>
      <c r="H46" s="41">
        <f>MID(VLOOKUP($A46,'Dados ClubeFII'!$A:$AU,column(H46)-$A$5,0),3,100)/mid(VLOOKUP($A46,'Dados ClubeFII'!$A:$AU,2,0),4,SEARCH(",",VLOOKUP($A46,'Dados ClubeFII'!$A:$AU,2,0))-1)*B46</f>
        <v>4851424915</v>
      </c>
      <c r="I46" s="41">
        <f>MID(VLOOKUP($A46,'Dados ClubeFII'!$A:$AU,column(I46)-$A$5,0),3,100)/1</f>
        <v>171457603.6</v>
      </c>
      <c r="J46" s="42">
        <f>VLOOKUP($A46,'Dados ClubeFII'!$A:$AU,column(J46)-$A$5,0)/mid(VLOOKUP($A46,'Dados ClubeFII'!$A:$AU,2,0),3,SEARCH(",",VLOOKUP($A46,'Dados ClubeFII'!$A:$AU,2,0)))*B46</f>
        <v>0.8588881707</v>
      </c>
      <c r="K46" s="41">
        <f>if(VLOOKUP($A46,'Dados ClubeFII'!$A:$AU,column(K46)-$A$5,0)="N/D",0,MID(VLOOKUP($A46,'Dados ClubeFII'!$A:$AU,column(K46)-$A$5,0),3,100)/1)/mid(VLOOKUP($A46,'Dados ClubeFII'!$A:$AU,2,0),3,SEARCH(",",VLOOKUP($A46,'Dados ClubeFII'!$A:$AU,2,0)))*B46</f>
        <v>9829.47576</v>
      </c>
      <c r="L46" s="41">
        <f>if(VLOOKUP($A46,'Dados ClubeFII'!$A:$AU,column(L46)-$A$5,0)="N/D",0,MID(VLOOKUP($A46,'Dados ClubeFII'!$A:$AU,column(L46)-$A$5,0),3,100)/1)</f>
        <v>11434.32</v>
      </c>
      <c r="M46" s="41">
        <f>MID(VLOOKUP($A46,'Dados ClubeFII'!$A:$AU,column(M46)-$A$5,0),3,100)/1</f>
        <v>0.99</v>
      </c>
      <c r="N46" s="41">
        <f>MID(VLOOKUP($A46,'Dados ClubeFII'!$A:$AU,column(N46)-$A$5,0),3,100)/1</f>
        <v>104.97</v>
      </c>
      <c r="O46" s="41">
        <f>LEFT(VLOOKUP($A46,'Dados ClubeFII'!$A:$AU,column(O46)-$A$5,0),len(VLOOKUP($A46,'Dados ClubeFII'!$A:$AU,column(O46)-$A$5,0))-2)/1</f>
        <v>14995</v>
      </c>
      <c r="P46" s="43">
        <f>VLOOKUP($A46,'Dados ClubeFII'!$A:$AU,column(P46)-$A$5,0)</f>
        <v>44971</v>
      </c>
      <c r="Q46" s="44">
        <f>VLOOKUP($A46,'Dados ClubeFII'!$A:$AU,column(Q46)-$A$5,0)/mid(VLOOKUP($A46,'Dados ClubeFII'!$A:$AU,2,0),3,SEARCH(",",VLOOKUP($A46,'Dados ClubeFII'!$A:$AU,2,0)))*B46</f>
        <v>0.1356244344</v>
      </c>
      <c r="R46" s="44">
        <f>VLOOKUP($A46,'Dados ClubeFII'!$A:$AU,column(R46)-$A$5,0)/mid(VLOOKUP($A46,'Dados ClubeFII'!$A:$AU,2,0),3,SEARCH(",",VLOOKUP($A46,'Dados ClubeFII'!$A:$AU,2,0)))*B46</f>
        <v>0.1260368455</v>
      </c>
      <c r="S46" s="43">
        <f>VLOOKUP($A46,'Dados ClubeFII'!$A:$AU,column(S46)-$A$5,0)</f>
        <v>40714</v>
      </c>
      <c r="T46" s="41">
        <f>MID(VLOOKUP($A46,'Dados ClubeFII'!$A:$AU,column(T46)-$A$5,0),3,100)/1</f>
        <v>100</v>
      </c>
      <c r="U46" s="45">
        <f>VLOOKUP($A46,'Dados ClubeFII'!$A:$AU,column(U46)-$A$5,0)/mid(VLOOKUP($A46,'Dados ClubeFII'!$A:$AU,2,0),4,SEARCH(",",VLOOKUP($A46,'Dados ClubeFII'!$A:$AU,2,0))-1)*B46</f>
        <v>-2.356946809</v>
      </c>
      <c r="V46" s="42">
        <f>VLOOKUP($A46,'Dados ClubeFII'!$A:$AU,column(V46)-$A$5,0)</f>
        <v>0.054</v>
      </c>
      <c r="W46" s="43">
        <f>VLOOKUP($A46,'Dados ClubeFII'!$A:$AU,column(W46)-$A$5,0)</f>
        <v>44957</v>
      </c>
      <c r="X46" s="45">
        <f>VLOOKUP($A46,'Dados ClubeFII'!$A:$AU,column(X46)-$A$5,0)</f>
        <v>0</v>
      </c>
      <c r="Y46" s="41">
        <f>MID(VLOOKUP($A46,'Dados ClubeFII'!$A:$AU,column(Y46)-$A$5,0),3,100)/1</f>
        <v>85722</v>
      </c>
      <c r="Z46" s="46">
        <f>VLOOKUP($A46,'Dados ClubeFII'!$A:$AU,column(Z46)-$A$5,0)</f>
        <v>9309</v>
      </c>
      <c r="AA46" s="47">
        <f t="shared" si="2"/>
        <v>52334680</v>
      </c>
      <c r="AB46" s="48">
        <f t="shared" si="3"/>
        <v>3.276175637</v>
      </c>
      <c r="AC46" s="48"/>
      <c r="AD46" s="48"/>
      <c r="AE46" s="48"/>
    </row>
    <row r="47">
      <c r="A47" s="37" t="s">
        <v>71</v>
      </c>
      <c r="B47" s="38">
        <f>IFERROR(__xludf.DUMMYFUNCTION("GOOGLEFINANCE(A47)"),52.75)</f>
        <v>52.75</v>
      </c>
      <c r="C47" s="38">
        <f>IFERROR(__xludf.DUMMYFUNCTION("GOOGLEFINANCE($A47,""high52"")"),64.9)</f>
        <v>64.9</v>
      </c>
      <c r="D47" s="39">
        <f t="shared" si="4"/>
        <v>-0.187211094</v>
      </c>
      <c r="E47" s="40" t="str">
        <f>VLOOKUP($A47,'Dados ClubeFII'!$A:$AU,column(E47)-$A$5,0)</f>
        <v>Mogno Fundo de Fundos</v>
      </c>
      <c r="F47" s="40" t="str">
        <f>VLOOKUP($A47,'Dados ClubeFII'!$A:$AU,column(F47)-$A$5,0)</f>
        <v>MOGNO CAPITAL</v>
      </c>
      <c r="G47" s="40" t="str">
        <f>VLOOKUP($A47,'Dados ClubeFII'!$A:$AU,column(G47)-$A$5,0)</f>
        <v>Fundo de Fundos</v>
      </c>
      <c r="H47" s="41">
        <f>MID(VLOOKUP($A47,'Dados ClubeFII'!$A:$AU,column(H47)-$A$5,0),3,100)/mid(VLOOKUP($A47,'Dados ClubeFII'!$A:$AU,2,0),4,SEARCH(",",VLOOKUP($A47,'Dados ClubeFII'!$A:$AU,2,0))-1)*B47</f>
        <v>7451363607</v>
      </c>
      <c r="I47" s="41">
        <f>MID(VLOOKUP($A47,'Dados ClubeFII'!$A:$AU,column(I47)-$A$5,0),3,100)/1</f>
        <v>629917970</v>
      </c>
      <c r="J47" s="42">
        <f>VLOOKUP($A47,'Dados ClubeFII'!$A:$AU,column(J47)-$A$5,0)/mid(VLOOKUP($A47,'Dados ClubeFII'!$A:$AU,2,0),3,SEARCH(",",VLOOKUP($A47,'Dados ClubeFII'!$A:$AU,2,0)))*B47</f>
        <v>0.760058009</v>
      </c>
      <c r="K47" s="41">
        <f>if(VLOOKUP($A47,'Dados ClubeFII'!$A:$AU,column(K47)-$A$5,0)="N/D",0,MID(VLOOKUP($A47,'Dados ClubeFII'!$A:$AU,column(K47)-$A$5,0),3,100)/1)/mid(VLOOKUP($A47,'Dados ClubeFII'!$A:$AU,2,0),3,SEARCH(",",VLOOKUP($A47,'Dados ClubeFII'!$A:$AU,2,0)))*B47</f>
        <v>0</v>
      </c>
      <c r="L47" s="41">
        <f>if(VLOOKUP($A47,'Dados ClubeFII'!$A:$AU,column(L47)-$A$5,0)="N/D",0,MID(VLOOKUP($A47,'Dados ClubeFII'!$A:$AU,column(L47)-$A$5,0),3,100)/1)</f>
        <v>0</v>
      </c>
      <c r="M47" s="41">
        <f>MID(VLOOKUP($A47,'Dados ClubeFII'!$A:$AU,column(M47)-$A$5,0),3,100)/1</f>
        <v>0.54</v>
      </c>
      <c r="N47" s="41">
        <f>MID(VLOOKUP($A47,'Dados ClubeFII'!$A:$AU,column(N47)-$A$5,0),3,100)/1</f>
        <v>0</v>
      </c>
      <c r="O47" s="41">
        <f>LEFT(VLOOKUP($A47,'Dados ClubeFII'!$A:$AU,column(O47)-$A$5,0),len(VLOOKUP($A47,'Dados ClubeFII'!$A:$AU,column(O47)-$A$5,0))-2)/1</f>
        <v>0</v>
      </c>
      <c r="P47" s="43">
        <f>VLOOKUP($A47,'Dados ClubeFII'!$A:$AU,column(P47)-$A$5,0)</f>
        <v>44973</v>
      </c>
      <c r="Q47" s="44">
        <f>VLOOKUP($A47,'Dados ClubeFII'!$A:$AU,column(Q47)-$A$5,0)/mid(VLOOKUP($A47,'Dados ClubeFII'!$A:$AU,2,0),3,SEARCH(",",VLOOKUP($A47,'Dados ClubeFII'!$A:$AU,2,0)))*B47</f>
        <v>0.1259524701</v>
      </c>
      <c r="R47" s="44">
        <f>VLOOKUP($A47,'Dados ClubeFII'!$A:$AU,column(R47)-$A$5,0)/mid(VLOOKUP($A47,'Dados ClubeFII'!$A:$AU,2,0),3,SEARCH(",",VLOOKUP($A47,'Dados ClubeFII'!$A:$AU,2,0)))*B47</f>
        <v>0.1224976609</v>
      </c>
      <c r="S47" s="43">
        <f>VLOOKUP($A47,'Dados ClubeFII'!$A:$AU,column(S47)-$A$5,0)</f>
        <v>43193</v>
      </c>
      <c r="T47" s="41">
        <f>MID(VLOOKUP($A47,'Dados ClubeFII'!$A:$AU,column(T47)-$A$5,0),3,100)/1</f>
        <v>100</v>
      </c>
      <c r="U47" s="45">
        <f>VLOOKUP($A47,'Dados ClubeFII'!$A:$AU,column(U47)-$A$5,0)/mid(VLOOKUP($A47,'Dados ClubeFII'!$A:$AU,2,0),4,SEARCH(",",VLOOKUP($A47,'Dados ClubeFII'!$A:$AU,2,0))-1)*B47</f>
        <v>-1.361686047</v>
      </c>
      <c r="V47" s="42" t="str">
        <f>VLOOKUP($A47,'Dados ClubeFII'!$A:$AU,column(V47)-$A$5,0)</f>
        <v>N/D</v>
      </c>
      <c r="W47" s="43" t="str">
        <f>VLOOKUP($A47,'Dados ClubeFII'!$A:$AU,column(W47)-$A$5,0)</f>
        <v>N/D</v>
      </c>
      <c r="X47" s="45">
        <f>VLOOKUP($A47,'Dados ClubeFII'!$A:$AU,column(X47)-$A$5,0)</f>
        <v>0.0049</v>
      </c>
      <c r="Y47" s="41">
        <f>MID(VLOOKUP($A47,'Dados ClubeFII'!$A:$AU,column(Y47)-$A$5,0),3,100)/1</f>
        <v>723215.95</v>
      </c>
      <c r="Z47" s="46">
        <f>VLOOKUP($A47,'Dados ClubeFII'!$A:$AU,column(Z47)-$A$5,0)</f>
        <v>51350</v>
      </c>
      <c r="AA47" s="47">
        <f t="shared" si="2"/>
        <v>141258077</v>
      </c>
      <c r="AB47" s="48">
        <f t="shared" si="3"/>
        <v>4.459341253</v>
      </c>
      <c r="AC47" s="48"/>
      <c r="AD47" s="48"/>
      <c r="AE47" s="48"/>
    </row>
    <row r="48">
      <c r="A48" s="37" t="s">
        <v>72</v>
      </c>
      <c r="B48" s="38">
        <f>IFERROR(__xludf.DUMMYFUNCTION("GOOGLEFINANCE(A48)"),79.19)</f>
        <v>79.19</v>
      </c>
      <c r="C48" s="38">
        <f>IFERROR(__xludf.DUMMYFUNCTION("GOOGLEFINANCE($A48,""high52"")"),85.84)</f>
        <v>85.84</v>
      </c>
      <c r="D48" s="39">
        <f t="shared" si="4"/>
        <v>-0.07746971109</v>
      </c>
      <c r="E48" s="40" t="str">
        <f>VLOOKUP($A48,'Dados ClubeFII'!$A:$AU,column(E48)-$A$5,0)</f>
        <v>Mogno CRIs Multiestratégia</v>
      </c>
      <c r="F48" s="40" t="str">
        <f>VLOOKUP($A48,'Dados ClubeFII'!$A:$AU,column(F48)-$A$5,0)</f>
        <v>MOGNO CAPITAL</v>
      </c>
      <c r="G48" s="40" t="str">
        <f>VLOOKUP($A48,'Dados ClubeFII'!$A:$AU,column(G48)-$A$5,0)</f>
        <v>Recebíveis Imobiliários</v>
      </c>
      <c r="H48" s="41">
        <f>MID(VLOOKUP($A48,'Dados ClubeFII'!$A:$AU,column(H48)-$A$5,0),3,100)/mid(VLOOKUP($A48,'Dados ClubeFII'!$A:$AU,2,0),4,SEARCH(",",VLOOKUP($A48,'Dados ClubeFII'!$A:$AU,2,0))-1)*B48</f>
        <v>1032309353</v>
      </c>
      <c r="I48" s="41">
        <f>MID(VLOOKUP($A48,'Dados ClubeFII'!$A:$AU,column(I48)-$A$5,0),3,100)/1</f>
        <v>127656475.6</v>
      </c>
      <c r="J48" s="42">
        <f>VLOOKUP($A48,'Dados ClubeFII'!$A:$AU,column(J48)-$A$5,0)/mid(VLOOKUP($A48,'Dados ClubeFII'!$A:$AU,2,0),3,SEARCH(",",VLOOKUP($A48,'Dados ClubeFII'!$A:$AU,2,0)))*B48</f>
        <v>0.886718412</v>
      </c>
      <c r="K48" s="41">
        <f>if(VLOOKUP($A48,'Dados ClubeFII'!$A:$AU,column(K48)-$A$5,0)="N/D",0,MID(VLOOKUP($A48,'Dados ClubeFII'!$A:$AU,column(K48)-$A$5,0),3,100)/1)/mid(VLOOKUP($A48,'Dados ClubeFII'!$A:$AU,2,0),3,SEARCH(",",VLOOKUP($A48,'Dados ClubeFII'!$A:$AU,2,0)))*B48</f>
        <v>0</v>
      </c>
      <c r="L48" s="41">
        <f>if(VLOOKUP($A48,'Dados ClubeFII'!$A:$AU,column(L48)-$A$5,0)="N/D",0,MID(VLOOKUP($A48,'Dados ClubeFII'!$A:$AU,column(L48)-$A$5,0),3,100)/1)</f>
        <v>0</v>
      </c>
      <c r="M48" s="41">
        <f>MID(VLOOKUP($A48,'Dados ClubeFII'!$A:$AU,column(M48)-$A$5,0),3,100)/1</f>
        <v>0.86</v>
      </c>
      <c r="N48" s="41">
        <f>MID(VLOOKUP($A48,'Dados ClubeFII'!$A:$AU,column(N48)-$A$5,0),3,100)/1</f>
        <v>0</v>
      </c>
      <c r="O48" s="41">
        <f>LEFT(VLOOKUP($A48,'Dados ClubeFII'!$A:$AU,column(O48)-$A$5,0),len(VLOOKUP($A48,'Dados ClubeFII'!$A:$AU,column(O48)-$A$5,0))-2)/1</f>
        <v>0</v>
      </c>
      <c r="P48" s="43">
        <f>VLOOKUP($A48,'Dados ClubeFII'!$A:$AU,column(P48)-$A$5,0)</f>
        <v>44979</v>
      </c>
      <c r="Q48" s="44">
        <f>VLOOKUP($A48,'Dados ClubeFII'!$A:$AU,column(Q48)-$A$5,0)/mid(VLOOKUP($A48,'Dados ClubeFII'!$A:$AU,2,0),3,SEARCH(",",VLOOKUP($A48,'Dados ClubeFII'!$A:$AU,2,0)))*B48</f>
        <v>0.1400612037</v>
      </c>
      <c r="R48" s="44">
        <f>VLOOKUP($A48,'Dados ClubeFII'!$A:$AU,column(R48)-$A$5,0)/mid(VLOOKUP($A48,'Dados ClubeFII'!$A:$AU,2,0),3,SEARCH(",",VLOOKUP($A48,'Dados ClubeFII'!$A:$AU,2,0)))*B48</f>
        <v>0.166864283</v>
      </c>
      <c r="S48" s="43">
        <f>VLOOKUP($A48,'Dados ClubeFII'!$A:$AU,column(S48)-$A$5,0)</f>
        <v>44110</v>
      </c>
      <c r="T48" s="41">
        <f>MID(VLOOKUP($A48,'Dados ClubeFII'!$A:$AU,column(T48)-$A$5,0),3,100)/1</f>
        <v>100</v>
      </c>
      <c r="U48" s="45">
        <f>VLOOKUP($A48,'Dados ClubeFII'!$A:$AU,column(U48)-$A$5,0)/mid(VLOOKUP($A48,'Dados ClubeFII'!$A:$AU,2,0),4,SEARCH(",",VLOOKUP($A48,'Dados ClubeFII'!$A:$AU,2,0))-1)*B48</f>
        <v>0.07282898719</v>
      </c>
      <c r="V48" s="42" t="str">
        <f>VLOOKUP($A48,'Dados ClubeFII'!$A:$AU,column(V48)-$A$5,0)</f>
        <v>N/D</v>
      </c>
      <c r="W48" s="43" t="str">
        <f>VLOOKUP($A48,'Dados ClubeFII'!$A:$AU,column(W48)-$A$5,0)</f>
        <v>N/D</v>
      </c>
      <c r="X48" s="45">
        <f>VLOOKUP($A48,'Dados ClubeFII'!$A:$AU,column(X48)-$A$5,0)</f>
        <v>0</v>
      </c>
      <c r="Y48" s="41">
        <f>MID(VLOOKUP($A48,'Dados ClubeFII'!$A:$AU,column(Y48)-$A$5,0),3,100)/1</f>
        <v>74834.32</v>
      </c>
      <c r="Z48" s="46">
        <f>VLOOKUP($A48,'Dados ClubeFII'!$A:$AU,column(Z48)-$A$5,0)</f>
        <v>4127</v>
      </c>
      <c r="AA48" s="47">
        <f t="shared" si="2"/>
        <v>13035854</v>
      </c>
      <c r="AB48" s="48">
        <f t="shared" si="3"/>
        <v>9.79272057</v>
      </c>
      <c r="AC48" s="48"/>
      <c r="AD48" s="48"/>
      <c r="AE48" s="48"/>
    </row>
    <row r="49">
      <c r="A49" s="37" t="s">
        <v>73</v>
      </c>
      <c r="B49" s="38">
        <f>IFERROR(__xludf.DUMMYFUNCTION("GOOGLEFINANCE(A49)"),145.0)</f>
        <v>145</v>
      </c>
      <c r="C49" s="38">
        <f>IFERROR(__xludf.DUMMYFUNCTION("GOOGLEFINANCE($A49,""high52"")"),155.09)</f>
        <v>155.09</v>
      </c>
      <c r="D49" s="39">
        <f t="shared" si="4"/>
        <v>-0.065058998</v>
      </c>
      <c r="E49" s="40" t="str">
        <f>VLOOKUP($A49,'Dados ClubeFII'!$A:$AU,column(E49)-$A$5,0)</f>
        <v>Anhanguera Educacional</v>
      </c>
      <c r="F49" s="40" t="str">
        <f>VLOOKUP($A49,'Dados ClubeFII'!$A:$AU,column(F49)-$A$5,0)</f>
        <v>BTG PACTUAL</v>
      </c>
      <c r="G49" s="40" t="str">
        <f>VLOOKUP($A49,'Dados ClubeFII'!$A:$AU,column(G49)-$A$5,0)</f>
        <v>Educacional</v>
      </c>
      <c r="H49" s="41">
        <f>MID(VLOOKUP($A49,'Dados ClubeFII'!$A:$AU,column(H49)-$A$5,0),3,100)/mid(VLOOKUP($A49,'Dados ClubeFII'!$A:$AU,2,0),4,SEARCH(",",VLOOKUP($A49,'Dados ClubeFII'!$A:$AU,2,0))-1)*B49</f>
        <v>302083675.9</v>
      </c>
      <c r="I49" s="41">
        <f>MID(VLOOKUP($A49,'Dados ClubeFII'!$A:$AU,column(I49)-$A$5,0),3,100)/1</f>
        <v>139744150</v>
      </c>
      <c r="J49" s="42">
        <f>VLOOKUP($A49,'Dados ClubeFII'!$A:$AU,column(J49)-$A$5,0)/mid(VLOOKUP($A49,'Dados ClubeFII'!$A:$AU,2,0),3,SEARCH(",",VLOOKUP($A49,'Dados ClubeFII'!$A:$AU,2,0)))*B49</f>
        <v>0.67</v>
      </c>
      <c r="K49" s="41">
        <f>if(VLOOKUP($A49,'Dados ClubeFII'!$A:$AU,column(K49)-$A$5,0)="N/D",0,MID(VLOOKUP($A49,'Dados ClubeFII'!$A:$AU,column(K49)-$A$5,0),3,100)/1)/mid(VLOOKUP($A49,'Dados ClubeFII'!$A:$AU,2,0),3,SEARCH(",",VLOOKUP($A49,'Dados ClubeFII'!$A:$AU,2,0)))*B49</f>
        <v>2496.73</v>
      </c>
      <c r="L49" s="41">
        <f>if(VLOOKUP($A49,'Dados ClubeFII'!$A:$AU,column(L49)-$A$5,0)="N/D",0,MID(VLOOKUP($A49,'Dados ClubeFII'!$A:$AU,column(L49)-$A$5,0),3,100)/1)</f>
        <v>3721.63</v>
      </c>
      <c r="M49" s="41">
        <f>MID(VLOOKUP($A49,'Dados ClubeFII'!$A:$AU,column(M49)-$A$5,0),3,100)/1</f>
        <v>1.64</v>
      </c>
      <c r="N49" s="41">
        <f>MID(VLOOKUP($A49,'Dados ClubeFII'!$A:$AU,column(N49)-$A$5,0),3,100)/1</f>
        <v>28.03</v>
      </c>
      <c r="O49" s="41">
        <f>LEFT(VLOOKUP($A49,'Dados ClubeFII'!$A:$AU,column(O49)-$A$5,0),len(VLOOKUP($A49,'Dados ClubeFII'!$A:$AU,column(O49)-$A$5,0))-2)/1</f>
        <v>37549.18</v>
      </c>
      <c r="P49" s="43">
        <f>VLOOKUP($A49,'Dados ClubeFII'!$A:$AU,column(P49)-$A$5,0)</f>
        <v>44971</v>
      </c>
      <c r="Q49" s="44">
        <f>VLOOKUP($A49,'Dados ClubeFII'!$A:$AU,column(Q49)-$A$5,0)/mid(VLOOKUP($A49,'Dados ClubeFII'!$A:$AU,2,0),3,SEARCH(",",VLOOKUP($A49,'Dados ClubeFII'!$A:$AU,2,0)))*B49</f>
        <v>0.1434</v>
      </c>
      <c r="R49" s="44">
        <f>VLOOKUP($A49,'Dados ClubeFII'!$A:$AU,column(R49)-$A$5,0)/mid(VLOOKUP($A49,'Dados ClubeFII'!$A:$AU,2,0),3,SEARCH(",",VLOOKUP($A49,'Dados ClubeFII'!$A:$AU,2,0)))*B49</f>
        <v>0.1251</v>
      </c>
      <c r="S49" s="43">
        <f>VLOOKUP($A49,'Dados ClubeFII'!$A:$AU,column(S49)-$A$5,0)</f>
        <v>40186</v>
      </c>
      <c r="T49" s="41">
        <f>MID(VLOOKUP($A49,'Dados ClubeFII'!$A:$AU,column(T49)-$A$5,0),3,100)/1</f>
        <v>100</v>
      </c>
      <c r="U49" s="45">
        <f>VLOOKUP($A49,'Dados ClubeFII'!$A:$AU,column(U49)-$A$5,0)/mid(VLOOKUP($A49,'Dados ClubeFII'!$A:$AU,2,0),4,SEARCH(",",VLOOKUP($A49,'Dados ClubeFII'!$A:$AU,2,0))-1)*B49</f>
        <v>-0.08474444444</v>
      </c>
      <c r="V49" s="42">
        <f>VLOOKUP($A49,'Dados ClubeFII'!$A:$AU,column(V49)-$A$5,0)</f>
        <v>0</v>
      </c>
      <c r="W49" s="43">
        <f>VLOOKUP($A49,'Dados ClubeFII'!$A:$AU,column(W49)-$A$5,0)</f>
        <v>42613</v>
      </c>
      <c r="X49" s="45">
        <f>VLOOKUP($A49,'Dados ClubeFII'!$A:$AU,column(X49)-$A$5,0)</f>
        <v>0</v>
      </c>
      <c r="Y49" s="41">
        <f>MID(VLOOKUP($A49,'Dados ClubeFII'!$A:$AU,column(Y49)-$A$5,0),3,100)/1</f>
        <v>47163</v>
      </c>
      <c r="Z49" s="46">
        <f>VLOOKUP($A49,'Dados ClubeFII'!$A:$AU,column(Z49)-$A$5,0)</f>
        <v>4783</v>
      </c>
      <c r="AA49" s="47">
        <f t="shared" si="2"/>
        <v>2083335</v>
      </c>
      <c r="AB49" s="48">
        <f t="shared" si="3"/>
        <v>67.07713836</v>
      </c>
      <c r="AC49" s="48"/>
      <c r="AD49" s="48"/>
      <c r="AE49" s="48"/>
    </row>
    <row r="50">
      <c r="A50" s="49" t="s">
        <v>74</v>
      </c>
      <c r="B50" s="38">
        <f>IFERROR(__xludf.DUMMYFUNCTION("GOOGLEFINANCE(A50)"),84.04)</f>
        <v>84.04</v>
      </c>
      <c r="C50" s="38">
        <f>IFERROR(__xludf.DUMMYFUNCTION("GOOGLEFINANCE($A50,""high52"")"),100.69)</f>
        <v>100.69</v>
      </c>
      <c r="D50" s="39">
        <f t="shared" si="4"/>
        <v>-0.1653590227</v>
      </c>
      <c r="E50" s="40" t="str">
        <f>VLOOKUP($A50,'Dados ClubeFII'!$A:$AU,column(E50)-$A$5,0)</f>
        <v>Riza Terrax</v>
      </c>
      <c r="F50" s="40" t="str">
        <f>VLOOKUP($A50,'Dados ClubeFII'!$A:$AU,column(F50)-$A$5,0)</f>
        <v>RIZA</v>
      </c>
      <c r="G50" s="40" t="str">
        <f>VLOOKUP($A50,'Dados ClubeFII'!$A:$AU,column(G50)-$A$5,0)</f>
        <v>Agronegócio</v>
      </c>
      <c r="H50" s="41">
        <f>MID(VLOOKUP($A50,'Dados ClubeFII'!$A:$AU,column(H50)-$A$5,0),3,100)/mid(VLOOKUP($A50,'Dados ClubeFII'!$A:$AU,2,0),4,SEARCH(",",VLOOKUP($A50,'Dados ClubeFII'!$A:$AU,2,0))-1)*B50</f>
        <v>15849205884</v>
      </c>
      <c r="I50" s="41">
        <f>MID(VLOOKUP($A50,'Dados ClubeFII'!$A:$AU,column(I50)-$A$5,0),3,100)/1</f>
        <v>1066113876</v>
      </c>
      <c r="J50" s="42">
        <f>VLOOKUP($A50,'Dados ClubeFII'!$A:$AU,column(J50)-$A$5,0)/mid(VLOOKUP($A50,'Dados ClubeFII'!$A:$AU,2,0),3,SEARCH(",",VLOOKUP($A50,'Dados ClubeFII'!$A:$AU,2,0)))*B50</f>
        <v>0.8701635487</v>
      </c>
      <c r="K50" s="41">
        <f>if(VLOOKUP($A50,'Dados ClubeFII'!$A:$AU,column(K50)-$A$5,0)="N/D",0,MID(VLOOKUP($A50,'Dados ClubeFII'!$A:$AU,column(K50)-$A$5,0),3,100)/1)/mid(VLOOKUP($A50,'Dados ClubeFII'!$A:$AU,2,0),3,SEARCH(",",VLOOKUP($A50,'Dados ClubeFII'!$A:$AU,2,0)))*B50</f>
        <v>0</v>
      </c>
      <c r="L50" s="41">
        <f>if(VLOOKUP($A50,'Dados ClubeFII'!$A:$AU,column(L50)-$A$5,0)="N/D",0,MID(VLOOKUP($A50,'Dados ClubeFII'!$A:$AU,column(L50)-$A$5,0),3,100)/1)</f>
        <v>0</v>
      </c>
      <c r="M50" s="41">
        <f>MID(VLOOKUP($A50,'Dados ClubeFII'!$A:$AU,column(M50)-$A$5,0),3,100)/1</f>
        <v>0.85</v>
      </c>
      <c r="N50" s="41">
        <f>MID(VLOOKUP($A50,'Dados ClubeFII'!$A:$AU,column(N50)-$A$5,0),3,100)/1</f>
        <v>0</v>
      </c>
      <c r="O50" s="41">
        <f>LEFT(VLOOKUP($A50,'Dados ClubeFII'!$A:$AU,column(O50)-$A$5,0),len(VLOOKUP($A50,'Dados ClubeFII'!$A:$AU,column(O50)-$A$5,0))-2)/1</f>
        <v>0</v>
      </c>
      <c r="P50" s="43">
        <f>VLOOKUP($A50,'Dados ClubeFII'!$A:$AU,column(P50)-$A$5,0)</f>
        <v>44964</v>
      </c>
      <c r="Q50" s="44">
        <f>VLOOKUP($A50,'Dados ClubeFII'!$A:$AU,column(Q50)-$A$5,0)/mid(VLOOKUP($A50,'Dados ClubeFII'!$A:$AU,2,0),3,SEARCH(",",VLOOKUP($A50,'Dados ClubeFII'!$A:$AU,2,0)))*B50</f>
        <v>0.1250860101</v>
      </c>
      <c r="R50" s="44">
        <f>VLOOKUP($A50,'Dados ClubeFII'!$A:$AU,column(R50)-$A$5,0)/mid(VLOOKUP($A50,'Dados ClubeFII'!$A:$AU,2,0),3,SEARCH(",",VLOOKUP($A50,'Dados ClubeFII'!$A:$AU,2,0)))*B50</f>
        <v>0.1649355454</v>
      </c>
      <c r="S50" s="43">
        <f>VLOOKUP($A50,'Dados ClubeFII'!$A:$AU,column(S50)-$A$5,0)</f>
        <v>44109</v>
      </c>
      <c r="T50" s="41">
        <f>MID(VLOOKUP($A50,'Dados ClubeFII'!$A:$AU,column(T50)-$A$5,0),3,100)/1</f>
        <v>100</v>
      </c>
      <c r="U50" s="45">
        <f>VLOOKUP($A50,'Dados ClubeFII'!$A:$AU,column(U50)-$A$5,0)/mid(VLOOKUP($A50,'Dados ClubeFII'!$A:$AU,2,0),4,SEARCH(",",VLOOKUP($A50,'Dados ClubeFII'!$A:$AU,2,0))-1)*B50</f>
        <v>-2.495937475</v>
      </c>
      <c r="V50" s="42" t="str">
        <f>VLOOKUP($A50,'Dados ClubeFII'!$A:$AU,column(V50)-$A$5,0)</f>
        <v>N/D</v>
      </c>
      <c r="W50" s="43" t="str">
        <f>VLOOKUP($A50,'Dados ClubeFII'!$A:$AU,column(W50)-$A$5,0)</f>
        <v>N/D</v>
      </c>
      <c r="X50" s="45">
        <f>VLOOKUP($A50,'Dados ClubeFII'!$A:$AU,column(X50)-$A$5,0)</f>
        <v>0.0101</v>
      </c>
      <c r="Y50" s="41">
        <f>MID(VLOOKUP($A50,'Dados ClubeFII'!$A:$AU,column(Y50)-$A$5,0),3,100)/1</f>
        <v>3134663.99</v>
      </c>
      <c r="Z50" s="46">
        <f>VLOOKUP($A50,'Dados ClubeFII'!$A:$AU,column(Z50)-$A$5,0)</f>
        <v>81456</v>
      </c>
      <c r="AA50" s="47">
        <f t="shared" si="2"/>
        <v>188591217</v>
      </c>
      <c r="AB50" s="48">
        <f t="shared" si="3"/>
        <v>5.65304097</v>
      </c>
      <c r="AC50" s="48"/>
      <c r="AD50" s="48"/>
      <c r="AE50" s="48"/>
    </row>
    <row r="51">
      <c r="A51" s="49" t="s">
        <v>75</v>
      </c>
      <c r="B51" s="38">
        <f>IFERROR(__xludf.DUMMYFUNCTION("GOOGLEFINANCE(A51)"),65.36)</f>
        <v>65.36</v>
      </c>
      <c r="C51" s="38">
        <f>IFERROR(__xludf.DUMMYFUNCTION("GOOGLEFINANCE($A51,""high52"")"),76.34)</f>
        <v>76.34</v>
      </c>
      <c r="D51" s="39">
        <f t="shared" si="4"/>
        <v>-0.1438302332</v>
      </c>
      <c r="E51" s="40" t="str">
        <f>VLOOKUP($A51,'Dados ClubeFII'!$A:$AU,column(E51)-$A$5,0)</f>
        <v>RB Capital I Fundo de Fundos</v>
      </c>
      <c r="F51" s="40" t="str">
        <f>VLOOKUP($A51,'Dados ClubeFII'!$A:$AU,column(F51)-$A$5,0)</f>
        <v>RB CAPITAL</v>
      </c>
      <c r="G51" s="40" t="str">
        <f>VLOOKUP($A51,'Dados ClubeFII'!$A:$AU,column(G51)-$A$5,0)</f>
        <v>Fundo de Fundos</v>
      </c>
      <c r="H51" s="41">
        <f>MID(VLOOKUP($A51,'Dados ClubeFII'!$A:$AU,column(H51)-$A$5,0),3,100)/mid(VLOOKUP($A51,'Dados ClubeFII'!$A:$AU,2,0),4,SEARCH(",",VLOOKUP($A51,'Dados ClubeFII'!$A:$AU,2,0))-1)*B51</f>
        <v>783356363</v>
      </c>
      <c r="I51" s="41">
        <f>MID(VLOOKUP($A51,'Dados ClubeFII'!$A:$AU,column(I51)-$A$5,0),3,100)/1</f>
        <v>83550737.06</v>
      </c>
      <c r="J51" s="42">
        <f>VLOOKUP($A51,'Dados ClubeFII'!$A:$AU,column(J51)-$A$5,0)/mid(VLOOKUP($A51,'Dados ClubeFII'!$A:$AU,2,0),3,SEARCH(",",VLOOKUP($A51,'Dados ClubeFII'!$A:$AU,2,0)))*B51</f>
        <v>0.8426512968</v>
      </c>
      <c r="K51" s="41">
        <f>if(VLOOKUP($A51,'Dados ClubeFII'!$A:$AU,column(K51)-$A$5,0)="N/D",0,MID(VLOOKUP($A51,'Dados ClubeFII'!$A:$AU,column(K51)-$A$5,0),3,100)/1)/mid(VLOOKUP($A51,'Dados ClubeFII'!$A:$AU,2,0),3,SEARCH(",",VLOOKUP($A51,'Dados ClubeFII'!$A:$AU,2,0)))*B51</f>
        <v>0</v>
      </c>
      <c r="L51" s="41">
        <f>if(VLOOKUP($A51,'Dados ClubeFII'!$A:$AU,column(L51)-$A$5,0)="N/D",0,MID(VLOOKUP($A51,'Dados ClubeFII'!$A:$AU,column(L51)-$A$5,0),3,100)/1)</f>
        <v>0</v>
      </c>
      <c r="M51" s="41">
        <f>MID(VLOOKUP($A51,'Dados ClubeFII'!$A:$AU,column(M51)-$A$5,0),3,100)/1</f>
        <v>0.7</v>
      </c>
      <c r="N51" s="41">
        <f>MID(VLOOKUP($A51,'Dados ClubeFII'!$A:$AU,column(N51)-$A$5,0),3,100)/1</f>
        <v>0</v>
      </c>
      <c r="O51" s="41">
        <f>LEFT(VLOOKUP($A51,'Dados ClubeFII'!$A:$AU,column(O51)-$A$5,0),len(VLOOKUP($A51,'Dados ClubeFII'!$A:$AU,column(O51)-$A$5,0))-2)/1</f>
        <v>0</v>
      </c>
      <c r="P51" s="43">
        <f>VLOOKUP($A51,'Dados ClubeFII'!$A:$AU,column(P51)-$A$5,0)</f>
        <v>44971</v>
      </c>
      <c r="Q51" s="44">
        <f>VLOOKUP($A51,'Dados ClubeFII'!$A:$AU,column(Q51)-$A$5,0)/mid(VLOOKUP($A51,'Dados ClubeFII'!$A:$AU,2,0),3,SEARCH(",",VLOOKUP($A51,'Dados ClubeFII'!$A:$AU,2,0)))*B51</f>
        <v>0.1339319885</v>
      </c>
      <c r="R51" s="44">
        <f>VLOOKUP($A51,'Dados ClubeFII'!$A:$AU,column(R51)-$A$5,0)/mid(VLOOKUP($A51,'Dados ClubeFII'!$A:$AU,2,0),3,SEARCH(",",VLOOKUP($A51,'Dados ClubeFII'!$A:$AU,2,0)))*B51</f>
        <v>0.1247123919</v>
      </c>
      <c r="S51" s="43">
        <f>VLOOKUP($A51,'Dados ClubeFII'!$A:$AU,column(S51)-$A$5,0)</f>
        <v>43889</v>
      </c>
      <c r="T51" s="41">
        <f>MID(VLOOKUP($A51,'Dados ClubeFII'!$A:$AU,column(T51)-$A$5,0),3,100)/1</f>
        <v>100</v>
      </c>
      <c r="U51" s="45">
        <f>VLOOKUP($A51,'Dados ClubeFII'!$A:$AU,column(U51)-$A$5,0)/mid(VLOOKUP($A51,'Dados ClubeFII'!$A:$AU,2,0),4,SEARCH(",",VLOOKUP($A51,'Dados ClubeFII'!$A:$AU,2,0))-1)*B51</f>
        <v>-0.6425780776</v>
      </c>
      <c r="V51" s="42" t="str">
        <f>VLOOKUP($A51,'Dados ClubeFII'!$A:$AU,column(V51)-$A$5,0)</f>
        <v>N/D</v>
      </c>
      <c r="W51" s="43" t="str">
        <f>VLOOKUP($A51,'Dados ClubeFII'!$A:$AU,column(W51)-$A$5,0)</f>
        <v>N/D</v>
      </c>
      <c r="X51" s="45">
        <f>VLOOKUP($A51,'Dados ClubeFII'!$A:$AU,column(X51)-$A$5,0)</f>
        <v>0</v>
      </c>
      <c r="Y51" s="41">
        <f>MID(VLOOKUP($A51,'Dados ClubeFII'!$A:$AU,column(Y51)-$A$5,0),3,100)/1</f>
        <v>80490.88</v>
      </c>
      <c r="Z51" s="46">
        <f>VLOOKUP($A51,'Dados ClubeFII'!$A:$AU,column(Z51)-$A$5,0)</f>
        <v>5226</v>
      </c>
      <c r="AA51" s="47">
        <f t="shared" si="2"/>
        <v>11985256</v>
      </c>
      <c r="AB51" s="48">
        <f t="shared" si="3"/>
        <v>6.971126613</v>
      </c>
      <c r="AC51" s="48"/>
      <c r="AD51" s="48"/>
      <c r="AE51" s="48"/>
    </row>
    <row r="52">
      <c r="A52" s="37" t="s">
        <v>76</v>
      </c>
      <c r="B52" s="38">
        <f>IFERROR(__xludf.DUMMYFUNCTION("GOOGLEFINANCE(A52)"),51.08)</f>
        <v>51.08</v>
      </c>
      <c r="C52" s="38">
        <f>IFERROR(__xludf.DUMMYFUNCTION("GOOGLEFINANCE($A52,""high52"")"),61.06)</f>
        <v>61.06</v>
      </c>
      <c r="D52" s="39">
        <f t="shared" si="4"/>
        <v>-0.163445791</v>
      </c>
      <c r="E52" s="40" t="str">
        <f>VLOOKUP($A52,'Dados ClubeFII'!$A:$AU,column(E52)-$A$5,0)</f>
        <v>REC Renda Imobiliária</v>
      </c>
      <c r="F52" s="40" t="str">
        <f>VLOOKUP($A52,'Dados ClubeFII'!$A:$AU,column(F52)-$A$5,0)</f>
        <v>BRL TRUST</v>
      </c>
      <c r="G52" s="40" t="str">
        <f>VLOOKUP($A52,'Dados ClubeFII'!$A:$AU,column(G52)-$A$5,0)</f>
        <v>Lajes Comerciais</v>
      </c>
      <c r="H52" s="41">
        <f>MID(VLOOKUP($A52,'Dados ClubeFII'!$A:$AU,COLUMN(H52)-$A$5,0),3,100)/MID(VLOOKUP($A52,'Dados ClubeFII'!$A:$AU,2,0),3,SEARCH(",",VLOOKUP($A52,'Dados ClubeFII'!$A:$AU,2,0)))*B52</f>
        <v>430855951.8</v>
      </c>
      <c r="I52" s="41">
        <f>MID(VLOOKUP($A52,'Dados ClubeFII'!$A:$AU,column(I52)-$A$5,0),3,100)/1</f>
        <v>798131351.9</v>
      </c>
      <c r="J52" s="42">
        <f>VLOOKUP($A52,'Dados ClubeFII'!$A:$AU,column(J52)-$A$5,0)/mid(VLOOKUP($A52,'Dados ClubeFII'!$A:$AU,2,0),3,SEARCH(",",VLOOKUP($A52,'Dados ClubeFII'!$A:$AU,2,0)))*B52</f>
        <v>0.5392609971</v>
      </c>
      <c r="K52" s="41">
        <f>if(VLOOKUP($A52,'Dados ClubeFII'!$A:$AU,column(K52)-$A$5,0)="N/D",0,MID(VLOOKUP($A52,'Dados ClubeFII'!$A:$AU,column(K52)-$A$5,0),3,100)/1)/mid(VLOOKUP($A52,'Dados ClubeFII'!$A:$AU,2,0),3,SEARCH(",",VLOOKUP($A52,'Dados ClubeFII'!$A:$AU,2,0)))*B52</f>
        <v>4633.010925</v>
      </c>
      <c r="L52" s="41">
        <f>if(VLOOKUP($A52,'Dados ClubeFII'!$A:$AU,column(L52)-$A$5,0)="N/D",0,MID(VLOOKUP($A52,'Dados ClubeFII'!$A:$AU,column(L52)-$A$5,0),3,100)/1)</f>
        <v>8582.33</v>
      </c>
      <c r="M52" s="41">
        <f>MID(VLOOKUP($A52,'Dados ClubeFII'!$A:$AU,column(M52)-$A$5,0),3,100)/1</f>
        <v>0.54</v>
      </c>
      <c r="N52" s="41">
        <f>MID(VLOOKUP($A52,'Dados ClubeFII'!$A:$AU,column(N52)-$A$5,0),3,100)/1</f>
        <v>49.61</v>
      </c>
      <c r="O52" s="41">
        <f>LEFT(VLOOKUP($A52,'Dados ClubeFII'!$A:$AU,column(O52)-$A$5,0),len(VLOOKUP($A52,'Dados ClubeFII'!$A:$AU,column(O52)-$A$5,0))-2)/1</f>
        <v>92997</v>
      </c>
      <c r="P52" s="43">
        <f>VLOOKUP($A52,'Dados ClubeFII'!$A:$AU,column(P52)-$A$5,0)</f>
        <v>44971</v>
      </c>
      <c r="Q52" s="44">
        <f>VLOOKUP($A52,'Dados ClubeFII'!$A:$AU,column(Q52)-$A$5,0)/mid(VLOOKUP($A52,'Dados ClubeFII'!$A:$AU,2,0),3,SEARCH(",",VLOOKUP($A52,'Dados ClubeFII'!$A:$AU,2,0)))*B52</f>
        <v>0.1359137439</v>
      </c>
      <c r="R52" s="44">
        <f>VLOOKUP($A52,'Dados ClubeFII'!$A:$AU,column(R52)-$A$5,0)/mid(VLOOKUP($A52,'Dados ClubeFII'!$A:$AU,2,0),3,SEARCH(",",VLOOKUP($A52,'Dados ClubeFII'!$A:$AU,2,0)))*B52</f>
        <v>0.1198357771</v>
      </c>
      <c r="S52" s="43">
        <f>VLOOKUP($A52,'Dados ClubeFII'!$A:$AU,column(S52)-$A$5,0)</f>
        <v>43579</v>
      </c>
      <c r="T52" s="41">
        <f>MID(VLOOKUP($A52,'Dados ClubeFII'!$A:$AU,column(T52)-$A$5,0),3,100)/1</f>
        <v>100</v>
      </c>
      <c r="U52" s="45">
        <f>VLOOKUP($A52,'Dados ClubeFII'!$A:$AU,column(U52)-$A$5,0)/mid(VLOOKUP($A52,'Dados ClubeFII'!$A:$AU,2,0),4,SEARCH(",",VLOOKUP($A52,'Dados ClubeFII'!$A:$AU,2,0))-1)*B52</f>
        <v>-2.793853913</v>
      </c>
      <c r="V52" s="42">
        <f>VLOOKUP($A52,'Dados ClubeFII'!$A:$AU,column(V52)-$A$5,0)</f>
        <v>0.1107</v>
      </c>
      <c r="W52" s="43" t="str">
        <f>VLOOKUP($A52,'Dados ClubeFII'!$A:$AU,column(W52)-$A$5,0)</f>
        <v>N/D</v>
      </c>
      <c r="X52" s="45">
        <f>VLOOKUP($A52,'Dados ClubeFII'!$A:$AU,column(X52)-$A$5,0)</f>
        <v>0.0042</v>
      </c>
      <c r="Y52" s="41">
        <f>MID(VLOOKUP($A52,'Dados ClubeFII'!$A:$AU,column(Y52)-$A$5,0),3,100)/1</f>
        <v>487339.57</v>
      </c>
      <c r="Z52" s="46">
        <f>VLOOKUP($A52,'Dados ClubeFII'!$A:$AU,column(Z52)-$A$5,0)</f>
        <v>77186</v>
      </c>
      <c r="AA52" s="47">
        <f t="shared" si="2"/>
        <v>8434924</v>
      </c>
      <c r="AB52" s="48">
        <f t="shared" si="3"/>
        <v>94.62223393</v>
      </c>
      <c r="AC52" s="48"/>
      <c r="AD52" s="48"/>
      <c r="AE52" s="48"/>
    </row>
    <row r="53">
      <c r="A53" s="37" t="s">
        <v>77</v>
      </c>
      <c r="B53" s="38">
        <f>IFERROR(__xludf.DUMMYFUNCTION("GOOGLEFINANCE(A53)"),8.43)</f>
        <v>8.43</v>
      </c>
      <c r="C53" s="38">
        <f>IFERROR(__xludf.DUMMYFUNCTION("GOOGLEFINANCE($A53,""high52"")"),9.45)</f>
        <v>9.45</v>
      </c>
      <c r="D53" s="39">
        <f t="shared" si="4"/>
        <v>-0.1079365079</v>
      </c>
      <c r="E53" s="40" t="str">
        <f>VLOOKUP($A53,'Dados ClubeFII'!$A:$AU,column(E53)-$A$5,0)</f>
        <v>Guardian Logística</v>
      </c>
      <c r="F53" s="40" t="str">
        <f>VLOOKUP($A53,'Dados ClubeFII'!$A:$AU,column(F53)-$A$5,0)</f>
        <v>GUARDIAN GESTORA</v>
      </c>
      <c r="G53" s="40" t="str">
        <f>VLOOKUP($A53,'Dados ClubeFII'!$A:$AU,column(G53)-$A$5,0)</f>
        <v>Logisticos</v>
      </c>
      <c r="H53" s="41">
        <f>MID(VLOOKUP($A53,'Dados ClubeFII'!$A:$AU,COLUMN(H53)-$A$5,0),3,100)/MID(VLOOKUP($A53,'Dados ClubeFII'!$A:$AU,2,0),3,SEARCH(",",VLOOKUP($A53,'Dados ClubeFII'!$A:$AU,2,0)))*B53</f>
        <v>482352350.1</v>
      </c>
      <c r="I53" s="41">
        <f>MID(VLOOKUP($A53,'Dados ClubeFII'!$A:$AU,column(I53)-$A$5,0),3,100)/1</f>
        <v>535708118.6</v>
      </c>
      <c r="J53" s="42">
        <f>VLOOKUP($A53,'Dados ClubeFII'!$A:$AU,column(J53)-$A$5,0)/mid(VLOOKUP($A53,'Dados ClubeFII'!$A:$AU,2,0),3,SEARCH(",",VLOOKUP($A53,'Dados ClubeFII'!$A:$AU,2,0)))*B53</f>
        <v>0.8997215777</v>
      </c>
      <c r="K53" s="41">
        <f>if(VLOOKUP($A53,'Dados ClubeFII'!$A:$AU,column(K53)-$A$5,0)="N/D",0,MID(VLOOKUP($A53,'Dados ClubeFII'!$A:$AU,column(K53)-$A$5,0),3,100)/1)/mid(VLOOKUP($A53,'Dados ClubeFII'!$A:$AU,2,0),3,SEARCH(",",VLOOKUP($A53,'Dados ClubeFII'!$A:$AU,2,0)))*B53</f>
        <v>2818.006218</v>
      </c>
      <c r="L53" s="41">
        <f>if(VLOOKUP($A53,'Dados ClubeFII'!$A:$AU,column(L53)-$A$5,0)="N/D",0,MID(VLOOKUP($A53,'Dados ClubeFII'!$A:$AU,column(L53)-$A$5,0),3,100)/1)</f>
        <v>3129.72</v>
      </c>
      <c r="M53" s="41">
        <f>MID(VLOOKUP($A53,'Dados ClubeFII'!$A:$AU,column(M53)-$A$5,0),3,100)/1</f>
        <v>0.08</v>
      </c>
      <c r="N53" s="41">
        <f>MID(VLOOKUP($A53,'Dados ClubeFII'!$A:$AU,column(N53)-$A$5,0),3,100)/1</f>
        <v>27.2</v>
      </c>
      <c r="O53" s="41">
        <f>LEFT(VLOOKUP($A53,'Dados ClubeFII'!$A:$AU,column(O53)-$A$5,0),len(VLOOKUP($A53,'Dados ClubeFII'!$A:$AU,column(O53)-$A$5,0))-2)/1</f>
        <v>171168</v>
      </c>
      <c r="P53" s="43">
        <f>VLOOKUP($A53,'Dados ClubeFII'!$A:$AU,column(P53)-$A$5,0)</f>
        <v>44964</v>
      </c>
      <c r="Q53" s="44">
        <f>VLOOKUP($A53,'Dados ClubeFII'!$A:$AU,column(Q53)-$A$5,0)/mid(VLOOKUP($A53,'Dados ClubeFII'!$A:$AU,2,0),3,SEARCH(",",VLOOKUP($A53,'Dados ClubeFII'!$A:$AU,2,0)))*B53</f>
        <v>0.1167682135</v>
      </c>
      <c r="R53" s="44">
        <f>VLOOKUP($A53,'Dados ClubeFII'!$A:$AU,column(R53)-$A$5,0)/mid(VLOOKUP($A53,'Dados ClubeFII'!$A:$AU,2,0),3,SEARCH(",",VLOOKUP($A53,'Dados ClubeFII'!$A:$AU,2,0)))*B53</f>
        <v>0.1117806265</v>
      </c>
      <c r="S53" s="43">
        <f>VLOOKUP($A53,'Dados ClubeFII'!$A:$AU,column(S53)-$A$5,0)</f>
        <v>44202</v>
      </c>
      <c r="T53" s="41">
        <f>MID(VLOOKUP($A53,'Dados ClubeFII'!$A:$AU,column(T53)-$A$5,0),3,100)/1</f>
        <v>10</v>
      </c>
      <c r="U53" s="45">
        <f>VLOOKUP($A53,'Dados ClubeFII'!$A:$AU,column(U53)-$A$5,0)/mid(VLOOKUP($A53,'Dados ClubeFII'!$A:$AU,2,0),4,SEARCH(",",VLOOKUP($A53,'Dados ClubeFII'!$A:$AU,2,0))-1)*B53</f>
        <v>-1.173401613</v>
      </c>
      <c r="V53" s="42">
        <f>VLOOKUP($A53,'Dados ClubeFII'!$A:$AU,column(V53)-$A$5,0)</f>
        <v>0</v>
      </c>
      <c r="W53" s="43">
        <f>VLOOKUP($A53,'Dados ClubeFII'!$A:$AU,column(W53)-$A$5,0)</f>
        <v>44925</v>
      </c>
      <c r="X53" s="45">
        <f>VLOOKUP($A53,'Dados ClubeFII'!$A:$AU,column(X53)-$A$5,0)</f>
        <v>0.0049</v>
      </c>
      <c r="Y53" s="41">
        <f>MID(VLOOKUP($A53,'Dados ClubeFII'!$A:$AU,column(Y53)-$A$5,0),3,100)/1</f>
        <v>378823.61</v>
      </c>
      <c r="Z53" s="46">
        <f>VLOOKUP($A53,'Dados ClubeFII'!$A:$AU,column(Z53)-$A$5,0)</f>
        <v>25166</v>
      </c>
      <c r="AA53" s="47">
        <f t="shared" si="2"/>
        <v>57218546</v>
      </c>
      <c r="AB53" s="48">
        <f t="shared" si="3"/>
        <v>9.362490941</v>
      </c>
      <c r="AC53" s="48"/>
      <c r="AD53" s="48"/>
      <c r="AE53" s="48"/>
    </row>
    <row r="54">
      <c r="A54" s="49" t="s">
        <v>78</v>
      </c>
      <c r="B54" s="38">
        <f>IFERROR(__xludf.DUMMYFUNCTION("GOOGLEFINANCE(A54)"),77.04)</f>
        <v>77.04</v>
      </c>
      <c r="C54" s="38">
        <f>IFERROR(__xludf.DUMMYFUNCTION("GOOGLEFINANCE($A54,""high52"")"),91.82)</f>
        <v>91.82</v>
      </c>
      <c r="D54" s="39">
        <f t="shared" si="4"/>
        <v>-0.1609671096</v>
      </c>
      <c r="E54" s="40" t="str">
        <f>VLOOKUP($A54,'Dados ClubeFII'!$A:$AU,column(E54)-$A$5,0)</f>
        <v>Hedge Recebíveis Imobiliários</v>
      </c>
      <c r="F54" s="40" t="str">
        <f>VLOOKUP($A54,'Dados ClubeFII'!$A:$AU,column(F54)-$A$5,0)</f>
        <v>HEDGE INVESTMENTS</v>
      </c>
      <c r="G54" s="40" t="str">
        <f>VLOOKUP($A54,'Dados ClubeFII'!$A:$AU,column(G54)-$A$5,0)</f>
        <v>Recebíveis Imobiliários</v>
      </c>
      <c r="H54" s="41">
        <f>MID(VLOOKUP($A54,'Dados ClubeFII'!$A:$AU,column(H54)-$A$5,0),3,100)/mid(VLOOKUP($A54,'Dados ClubeFII'!$A:$AU,2,0),4,SEARCH(",",VLOOKUP($A54,'Dados ClubeFII'!$A:$AU,2,0))-1)*B54</f>
        <v>5675388223</v>
      </c>
      <c r="I54" s="41">
        <f>MID(VLOOKUP($A54,'Dados ClubeFII'!$A:$AU,column(I54)-$A$5,0),3,100)/1</f>
        <v>455921879.2</v>
      </c>
      <c r="J54" s="42">
        <f>VLOOKUP($A54,'Dados ClubeFII'!$A:$AU,column(J54)-$A$5,0)/mid(VLOOKUP($A54,'Dados ClubeFII'!$A:$AU,2,0),3,SEARCH(",",VLOOKUP($A54,'Dados ClubeFII'!$A:$AU,2,0)))*B54</f>
        <v>0.8702192691</v>
      </c>
      <c r="K54" s="41">
        <f>if(VLOOKUP($A54,'Dados ClubeFII'!$A:$AU,column(K54)-$A$5,0)="N/D",0,MID(VLOOKUP($A54,'Dados ClubeFII'!$A:$AU,column(K54)-$A$5,0),3,100)/1)/mid(VLOOKUP($A54,'Dados ClubeFII'!$A:$AU,2,0),3,SEARCH(",",VLOOKUP($A54,'Dados ClubeFII'!$A:$AU,2,0)))*B54</f>
        <v>0</v>
      </c>
      <c r="L54" s="41">
        <f>if(VLOOKUP($A54,'Dados ClubeFII'!$A:$AU,column(L54)-$A$5,0)="N/D",0,MID(VLOOKUP($A54,'Dados ClubeFII'!$A:$AU,column(L54)-$A$5,0),3,100)/1)</f>
        <v>0</v>
      </c>
      <c r="M54" s="41">
        <f>MID(VLOOKUP($A54,'Dados ClubeFII'!$A:$AU,column(M54)-$A$5,0),3,100)/1</f>
        <v>0.9</v>
      </c>
      <c r="N54" s="41">
        <f>MID(VLOOKUP($A54,'Dados ClubeFII'!$A:$AU,column(N54)-$A$5,0),3,100)/1</f>
        <v>0</v>
      </c>
      <c r="O54" s="41">
        <f>LEFT(VLOOKUP($A54,'Dados ClubeFII'!$A:$AU,column(O54)-$A$5,0),len(VLOOKUP($A54,'Dados ClubeFII'!$A:$AU,column(O54)-$A$5,0))-2)/1</f>
        <v>0</v>
      </c>
      <c r="P54" s="43">
        <f>VLOOKUP($A54,'Dados ClubeFII'!$A:$AU,column(P54)-$A$5,0)</f>
        <v>44971</v>
      </c>
      <c r="Q54" s="44">
        <f>VLOOKUP($A54,'Dados ClubeFII'!$A:$AU,column(Q54)-$A$5,0)/mid(VLOOKUP($A54,'Dados ClubeFII'!$A:$AU,2,0),3,SEARCH(",",VLOOKUP($A54,'Dados ClubeFII'!$A:$AU,2,0)))*B54</f>
        <v>0.1575608771</v>
      </c>
      <c r="R54" s="44">
        <f>VLOOKUP($A54,'Dados ClubeFII'!$A:$AU,column(R54)-$A$5,0)/mid(VLOOKUP($A54,'Dados ClubeFII'!$A:$AU,2,0),3,SEARCH(",",VLOOKUP($A54,'Dados ClubeFII'!$A:$AU,2,0)))*B54</f>
        <v>0.1630893289</v>
      </c>
      <c r="S54" s="43">
        <f>VLOOKUP($A54,'Dados ClubeFII'!$A:$AU,column(S54)-$A$5,0)</f>
        <v>44193</v>
      </c>
      <c r="T54" s="41">
        <f>MID(VLOOKUP($A54,'Dados ClubeFII'!$A:$AU,column(T54)-$A$5,0),3,100)/1</f>
        <v>100</v>
      </c>
      <c r="U54" s="45">
        <f>VLOOKUP($A54,'Dados ClubeFII'!$A:$AU,column(U54)-$A$5,0)/mid(VLOOKUP($A54,'Dados ClubeFII'!$A:$AU,2,0),4,SEARCH(",",VLOOKUP($A54,'Dados ClubeFII'!$A:$AU,2,0))-1)*B54</f>
        <v>-1.171008</v>
      </c>
      <c r="V54" s="42" t="str">
        <f>VLOOKUP($A54,'Dados ClubeFII'!$A:$AU,column(V54)-$A$5,0)</f>
        <v>N/D</v>
      </c>
      <c r="W54" s="43" t="str">
        <f>VLOOKUP($A54,'Dados ClubeFII'!$A:$AU,column(W54)-$A$5,0)</f>
        <v>N/D</v>
      </c>
      <c r="X54" s="45">
        <f>VLOOKUP($A54,'Dados ClubeFII'!$A:$AU,column(X54)-$A$5,0)</f>
        <v>0</v>
      </c>
      <c r="Y54" s="41">
        <f>MID(VLOOKUP($A54,'Dados ClubeFII'!$A:$AU,column(Y54)-$A$5,0),3,100)/1</f>
        <v>131680.87</v>
      </c>
      <c r="Z54" s="46">
        <f>VLOOKUP($A54,'Dados ClubeFII'!$A:$AU,column(Z54)-$A$5,0)</f>
        <v>1010</v>
      </c>
      <c r="AA54" s="47">
        <f t="shared" si="2"/>
        <v>73668071</v>
      </c>
      <c r="AB54" s="48">
        <f t="shared" si="3"/>
        <v>6.188866805</v>
      </c>
      <c r="AC54" s="48"/>
      <c r="AD54" s="48"/>
      <c r="AE54" s="48"/>
    </row>
    <row r="55">
      <c r="A55" s="49" t="s">
        <v>79</v>
      </c>
      <c r="B55" s="38">
        <f>IFERROR(__xludf.DUMMYFUNCTION("GOOGLEFINANCE(A55)"),59.84)</f>
        <v>59.84</v>
      </c>
      <c r="C55" s="38">
        <f>IFERROR(__xludf.DUMMYFUNCTION("GOOGLEFINANCE($A55,""high52"")"),68.48)</f>
        <v>68.48</v>
      </c>
      <c r="D55" s="39">
        <f t="shared" si="4"/>
        <v>-0.1261682243</v>
      </c>
      <c r="E55" s="40" t="str">
        <f>VLOOKUP($A55,'Dados ClubeFII'!$A:$AU,column(E55)-$A$5,0)</f>
        <v>Brasil Plural Absoluto Fundo de Fundos</v>
      </c>
      <c r="F55" s="40" t="str">
        <f>VLOOKUP($A55,'Dados ClubeFII'!$A:$AU,column(F55)-$A$5,0)</f>
        <v>BRASIL PLURAL</v>
      </c>
      <c r="G55" s="40" t="str">
        <f>VLOOKUP($A55,'Dados ClubeFII'!$A:$AU,column(G55)-$A$5,0)</f>
        <v>Fundo de Fundos</v>
      </c>
      <c r="H55" s="41">
        <f>MID(VLOOKUP($A55,'Dados ClubeFII'!$A:$AU,column(H55)-$A$5,0),3,100)/mid(VLOOKUP($A55,'Dados ClubeFII'!$A:$AU,2,0),4,SEARCH(",",VLOOKUP($A55,'Dados ClubeFII'!$A:$AU,2,0))-1)*B55</f>
        <v>7114481195</v>
      </c>
      <c r="I55" s="41">
        <f>MID(VLOOKUP($A55,'Dados ClubeFII'!$A:$AU,column(I55)-$A$5,0),3,100)/1</f>
        <v>322269846.7</v>
      </c>
      <c r="J55" s="42">
        <f>VLOOKUP($A55,'Dados ClubeFII'!$A:$AU,column(J55)-$A$5,0)/mid(VLOOKUP($A55,'Dados ClubeFII'!$A:$AU,2,0),3,SEARCH(",",VLOOKUP($A55,'Dados ClubeFII'!$A:$AU,2,0)))*B55</f>
        <v>0.8257766367</v>
      </c>
      <c r="K55" s="41">
        <f>if(VLOOKUP($A55,'Dados ClubeFII'!$A:$AU,column(K55)-$A$5,0)="N/D",0,MID(VLOOKUP($A55,'Dados ClubeFII'!$A:$AU,column(K55)-$A$5,0),3,100)/1)/mid(VLOOKUP($A55,'Dados ClubeFII'!$A:$AU,2,0),3,SEARCH(",",VLOOKUP($A55,'Dados ClubeFII'!$A:$AU,2,0)))*B55</f>
        <v>0</v>
      </c>
      <c r="L55" s="41">
        <f>if(VLOOKUP($A55,'Dados ClubeFII'!$A:$AU,column(L55)-$A$5,0)="N/D",0,MID(VLOOKUP($A55,'Dados ClubeFII'!$A:$AU,column(L55)-$A$5,0),3,100)/1)</f>
        <v>0</v>
      </c>
      <c r="M55" s="41">
        <f>MID(VLOOKUP($A55,'Dados ClubeFII'!$A:$AU,column(M55)-$A$5,0),3,100)/1</f>
        <v>0.62</v>
      </c>
      <c r="N55" s="41">
        <f>MID(VLOOKUP($A55,'Dados ClubeFII'!$A:$AU,column(N55)-$A$5,0),3,100)/1</f>
        <v>0</v>
      </c>
      <c r="O55" s="41">
        <f>LEFT(VLOOKUP($A55,'Dados ClubeFII'!$A:$AU,column(O55)-$A$5,0),len(VLOOKUP($A55,'Dados ClubeFII'!$A:$AU,column(O55)-$A$5,0))-2)/1</f>
        <v>0</v>
      </c>
      <c r="P55" s="43">
        <f>VLOOKUP($A55,'Dados ClubeFII'!$A:$AU,column(P55)-$A$5,0)</f>
        <v>44964</v>
      </c>
      <c r="Q55" s="44">
        <f>VLOOKUP($A55,'Dados ClubeFII'!$A:$AU,column(Q55)-$A$5,0)/mid(VLOOKUP($A55,'Dados ClubeFII'!$A:$AU,2,0),3,SEARCH(",",VLOOKUP($A55,'Dados ClubeFII'!$A:$AU,2,0)))*B55</f>
        <v>0.1230023107</v>
      </c>
      <c r="R55" s="44">
        <f>VLOOKUP($A55,'Dados ClubeFII'!$A:$AU,column(R55)-$A$5,0)/mid(VLOOKUP($A55,'Dados ClubeFII'!$A:$AU,2,0),3,SEARCH(",",VLOOKUP($A55,'Dados ClubeFII'!$A:$AU,2,0)))*B55</f>
        <v>0.1255948652</v>
      </c>
      <c r="S55" s="43">
        <f>VLOOKUP($A55,'Dados ClubeFII'!$A:$AU,column(S55)-$A$5,0)</f>
        <v>41379</v>
      </c>
      <c r="T55" s="41">
        <f>MID(VLOOKUP($A55,'Dados ClubeFII'!$A:$AU,column(T55)-$A$5,0),3,100)/1</f>
        <v>100</v>
      </c>
      <c r="U55" s="45">
        <f>VLOOKUP($A55,'Dados ClubeFII'!$A:$AU,column(U55)-$A$5,0)/mid(VLOOKUP($A55,'Dados ClubeFII'!$A:$AU,2,0),4,SEARCH(",",VLOOKUP($A55,'Dados ClubeFII'!$A:$AU,2,0))-1)*B55</f>
        <v>-1.116841379</v>
      </c>
      <c r="V55" s="42" t="str">
        <f>VLOOKUP($A55,'Dados ClubeFII'!$A:$AU,column(V55)-$A$5,0)</f>
        <v>N/D</v>
      </c>
      <c r="W55" s="43" t="str">
        <f>VLOOKUP($A55,'Dados ClubeFII'!$A:$AU,column(W55)-$A$5,0)</f>
        <v>N/D</v>
      </c>
      <c r="X55" s="45">
        <f>VLOOKUP($A55,'Dados ClubeFII'!$A:$AU,column(X55)-$A$5,0)</f>
        <v>0.0026</v>
      </c>
      <c r="Y55" s="41">
        <f>MID(VLOOKUP($A55,'Dados ClubeFII'!$A:$AU,column(Y55)-$A$5,0),3,100)/1</f>
        <v>266079.23</v>
      </c>
      <c r="Z55" s="46">
        <f>VLOOKUP($A55,'Dados ClubeFII'!$A:$AU,column(Z55)-$A$5,0)</f>
        <v>19420</v>
      </c>
      <c r="AA55" s="47">
        <f t="shared" si="2"/>
        <v>118891731</v>
      </c>
      <c r="AB55" s="48">
        <f t="shared" si="3"/>
        <v>2.710616154</v>
      </c>
      <c r="AC55" s="48"/>
      <c r="AD55" s="48"/>
      <c r="AE55" s="48"/>
    </row>
    <row r="56">
      <c r="A56" s="37" t="s">
        <v>80</v>
      </c>
      <c r="B56" s="38" t="str">
        <f>IFERROR(__xludf.DUMMYFUNCTION("GOOGLEFINANCE(A56)"),"#N/A")</f>
        <v>#N/A</v>
      </c>
      <c r="C56" s="38" t="str">
        <f>IFERROR(__xludf.DUMMYFUNCTION("GOOGLEFINANCE($A56,""high52"")"),"#N/A")</f>
        <v>#N/A</v>
      </c>
      <c r="D56" s="39" t="str">
        <f t="shared" si="4"/>
        <v>#N/A</v>
      </c>
      <c r="E56" s="40" t="str">
        <f>VLOOKUP($A56,'Dados ClubeFII'!$A:$AU,column(E56)-$A$5,0)</f>
        <v>#N/A</v>
      </c>
      <c r="F56" s="40" t="str">
        <f>VLOOKUP($A56,'Dados ClubeFII'!$A:$AU,column(F56)-$A$5,0)</f>
        <v>#N/A</v>
      </c>
      <c r="G56" s="40" t="str">
        <f>VLOOKUP($A56,'Dados ClubeFII'!$A:$AU,column(G56)-$A$5,0)</f>
        <v>#N/A</v>
      </c>
      <c r="H56" s="41" t="str">
        <f>MID(VLOOKUP($A56,'Dados ClubeFII'!$A:$AU,COLUMN(H56)-$A$5,0),3,100)/MID(VLOOKUP($A56,'Dados ClubeFII'!$A:$AU,2,0),3,SEARCH(",",VLOOKUP($A56,'Dados ClubeFII'!$A:$AU,2,0)))*B56</f>
        <v>#N/A</v>
      </c>
      <c r="I56" s="41" t="str">
        <f>MID(VLOOKUP($A56,'Dados ClubeFII'!$A:$AU,column(I56)-$A$5,0),3,100)/1</f>
        <v>#N/A</v>
      </c>
      <c r="J56" s="42" t="str">
        <f>VLOOKUP($A56,'Dados ClubeFII'!$A:$AU,column(J56)-$A$5,0)/mid(VLOOKUP($A56,'Dados ClubeFII'!$A:$AU,2,0),3,SEARCH(",",VLOOKUP($A56,'Dados ClubeFII'!$A:$AU,2,0)))*B56</f>
        <v>#N/A</v>
      </c>
      <c r="K56" s="41" t="str">
        <f>if(VLOOKUP($A56,'Dados ClubeFII'!$A:$AU,column(K56)-$A$5,0)="N/D",0,MID(VLOOKUP($A56,'Dados ClubeFII'!$A:$AU,column(K56)-$A$5,0),3,100)/1)/mid(VLOOKUP($A56,'Dados ClubeFII'!$A:$AU,2,0),3,SEARCH(",",VLOOKUP($A56,'Dados ClubeFII'!$A:$AU,2,0)))*B56</f>
        <v>#N/A</v>
      </c>
      <c r="L56" s="41" t="str">
        <f>if(VLOOKUP($A56,'Dados ClubeFII'!$A:$AU,column(L56)-$A$5,0)="N/D",0,MID(VLOOKUP($A56,'Dados ClubeFII'!$A:$AU,column(L56)-$A$5,0),3,100)/1)</f>
        <v>#N/A</v>
      </c>
      <c r="M56" s="41" t="str">
        <f>MID(VLOOKUP($A56,'Dados ClubeFII'!$A:$AU,column(M56)-$A$5,0),3,100)/1</f>
        <v>#N/A</v>
      </c>
      <c r="N56" s="41" t="str">
        <f>MID(VLOOKUP($A56,'Dados ClubeFII'!$A:$AU,column(N56)-$A$5,0),3,100)/1</f>
        <v>#N/A</v>
      </c>
      <c r="O56" s="41" t="str">
        <f>LEFT(VLOOKUP($A56,'Dados ClubeFII'!$A:$AU,column(O56)-$A$5,0),len(VLOOKUP($A56,'Dados ClubeFII'!$A:$AU,column(O56)-$A$5,0))-2)/1</f>
        <v>#N/A</v>
      </c>
      <c r="P56" s="43" t="str">
        <f>VLOOKUP($A56,'Dados ClubeFII'!$A:$AU,column(P56)-$A$5,0)</f>
        <v>#N/A</v>
      </c>
      <c r="Q56" s="44" t="str">
        <f>VLOOKUP($A56,'Dados ClubeFII'!$A:$AU,column(Q56)-$A$5,0)/mid(VLOOKUP($A56,'Dados ClubeFII'!$A:$AU,2,0),3,SEARCH(",",VLOOKUP($A56,'Dados ClubeFII'!$A:$AU,2,0)))*B56</f>
        <v>#N/A</v>
      </c>
      <c r="R56" s="44" t="str">
        <f>VLOOKUP($A56,'Dados ClubeFII'!$A:$AU,column(R56)-$A$5,0)/mid(VLOOKUP($A56,'Dados ClubeFII'!$A:$AU,2,0),3,SEARCH(",",VLOOKUP($A56,'Dados ClubeFII'!$A:$AU,2,0)))*B56</f>
        <v>#N/A</v>
      </c>
      <c r="S56" s="43" t="str">
        <f>VLOOKUP($A56,'Dados ClubeFII'!$A:$AU,column(S56)-$A$5,0)</f>
        <v>#N/A</v>
      </c>
      <c r="T56" s="41" t="str">
        <f>MID(VLOOKUP($A56,'Dados ClubeFII'!$A:$AU,column(T56)-$A$5,0),3,100)/1</f>
        <v>#N/A</v>
      </c>
      <c r="U56" s="45" t="str">
        <f>VLOOKUP($A56,'Dados ClubeFII'!$A:$AU,column(U56)-$A$5,0)/mid(VLOOKUP($A56,'Dados ClubeFII'!$A:$AU,2,0),4,SEARCH(",",VLOOKUP($A56,'Dados ClubeFII'!$A:$AU,2,0))-1)*B56</f>
        <v>#N/A</v>
      </c>
      <c r="V56" s="42" t="str">
        <f>VLOOKUP($A56,'Dados ClubeFII'!$A:$AU,column(V56)-$A$5,0)</f>
        <v>#N/A</v>
      </c>
      <c r="W56" s="43" t="str">
        <f>VLOOKUP($A56,'Dados ClubeFII'!$A:$AU,column(W56)-$A$5,0)</f>
        <v>#N/A</v>
      </c>
      <c r="X56" s="45" t="str">
        <f>VLOOKUP($A56,'Dados ClubeFII'!$A:$AU,column(X56)-$A$5,0)</f>
        <v>#N/A</v>
      </c>
      <c r="Y56" s="41" t="str">
        <f>MID(VLOOKUP($A56,'Dados ClubeFII'!$A:$AU,column(Y56)-$A$5,0),3,100)/1</f>
        <v>#N/A</v>
      </c>
      <c r="Z56" s="40" t="str">
        <f>VLOOKUP($A56,'Dados ClubeFII'!$A:$AU,column(Z56)-$A$5,0)</f>
        <v>#N/A</v>
      </c>
      <c r="AA56" s="47" t="str">
        <f t="shared" si="2"/>
        <v>#N/A</v>
      </c>
      <c r="AB56" s="48" t="str">
        <f t="shared" si="3"/>
        <v>#N/A</v>
      </c>
      <c r="AC56" s="48"/>
      <c r="AD56" s="48"/>
      <c r="AE56" s="48"/>
    </row>
    <row r="57">
      <c r="A57" s="37" t="s">
        <v>81</v>
      </c>
      <c r="B57" s="38">
        <f>IFERROR(__xludf.DUMMYFUNCTION("GOOGLEFINANCE(A57)"),95.0)</f>
        <v>95</v>
      </c>
      <c r="C57" s="38">
        <f>IFERROR(__xludf.DUMMYFUNCTION("GOOGLEFINANCE($A57,""high52"")"),97.57)</f>
        <v>97.57</v>
      </c>
      <c r="D57" s="39">
        <f t="shared" si="4"/>
        <v>-0.02634006354</v>
      </c>
      <c r="E57" s="40" t="str">
        <f>VLOOKUP($A57,'Dados ClubeFII'!$A:$AU,column(E57)-$A$5,0)</f>
        <v>RBR Crédito Imobiliário Estruturado</v>
      </c>
      <c r="F57" s="40" t="str">
        <f>VLOOKUP($A57,'Dados ClubeFII'!$A:$AU,column(F57)-$A$5,0)</f>
        <v>RBR GESTÃO</v>
      </c>
      <c r="G57" s="40" t="str">
        <f>VLOOKUP($A57,'Dados ClubeFII'!$A:$AU,column(G57)-$A$5,0)</f>
        <v>Recebíveis Imobiliários</v>
      </c>
      <c r="H57" s="41">
        <f>MID(VLOOKUP($A57,'Dados ClubeFII'!$A:$AU,column(H57)-$A$5,0),3,100)/mid(VLOOKUP($A57,'Dados ClubeFII'!$A:$AU,2,0),4,SEARCH(",",VLOOKUP($A57,'Dados ClubeFII'!$A:$AU,2,0))-1)*B57</f>
        <v>9057312367</v>
      </c>
      <c r="I57" s="41">
        <f>MID(VLOOKUP($A57,'Dados ClubeFII'!$A:$AU,column(I57)-$A$5,0),3,100)/1</f>
        <v>553436918.7</v>
      </c>
      <c r="J57" s="42">
        <f>VLOOKUP($A57,'Dados ClubeFII'!$A:$AU,column(J57)-$A$5,0)/mid(VLOOKUP($A57,'Dados ClubeFII'!$A:$AU,2,0),3,SEARCH(",",VLOOKUP($A57,'Dados ClubeFII'!$A:$AU,2,0)))*B57</f>
        <v>0.9353723683</v>
      </c>
      <c r="K57" s="41">
        <f>if(VLOOKUP($A57,'Dados ClubeFII'!$A:$AU,column(K57)-$A$5,0)="N/D",0,MID(VLOOKUP($A57,'Dados ClubeFII'!$A:$AU,column(K57)-$A$5,0),3,100)/1)/mid(VLOOKUP($A57,'Dados ClubeFII'!$A:$AU,2,0),3,SEARCH(",",VLOOKUP($A57,'Dados ClubeFII'!$A:$AU,2,0)))*B57</f>
        <v>0</v>
      </c>
      <c r="L57" s="41">
        <f>if(VLOOKUP($A57,'Dados ClubeFII'!$A:$AU,column(L57)-$A$5,0)="N/D",0,MID(VLOOKUP($A57,'Dados ClubeFII'!$A:$AU,column(L57)-$A$5,0),3,100)/1)</f>
        <v>0</v>
      </c>
      <c r="M57" s="41">
        <f>MID(VLOOKUP($A57,'Dados ClubeFII'!$A:$AU,column(M57)-$A$5,0),3,100)/1</f>
        <v>1.15</v>
      </c>
      <c r="N57" s="41">
        <f>MID(VLOOKUP($A57,'Dados ClubeFII'!$A:$AU,column(N57)-$A$5,0),3,100)/1</f>
        <v>0</v>
      </c>
      <c r="O57" s="41">
        <f>LEFT(VLOOKUP($A57,'Dados ClubeFII'!$A:$AU,column(O57)-$A$5,0),len(VLOOKUP($A57,'Dados ClubeFII'!$A:$AU,column(O57)-$A$5,0))-2)/1</f>
        <v>0</v>
      </c>
      <c r="P57" s="43">
        <f>VLOOKUP($A57,'Dados ClubeFII'!$A:$AU,column(P57)-$A$5,0)</f>
        <v>44973</v>
      </c>
      <c r="Q57" s="44">
        <f>VLOOKUP($A57,'Dados ClubeFII'!$A:$AU,column(Q57)-$A$5,0)/mid(VLOOKUP($A57,'Dados ClubeFII'!$A:$AU,2,0),3,SEARCH(",",VLOOKUP($A57,'Dados ClubeFII'!$A:$AU,2,0)))*B57</f>
        <v>0.1563265947</v>
      </c>
      <c r="R57" s="44">
        <f>VLOOKUP($A57,'Dados ClubeFII'!$A:$AU,column(R57)-$A$5,0)/mid(VLOOKUP($A57,'Dados ClubeFII'!$A:$AU,2,0),3,SEARCH(",",VLOOKUP($A57,'Dados ClubeFII'!$A:$AU,2,0)))*B57</f>
        <v>0.1498585943</v>
      </c>
      <c r="S57" s="43">
        <f>VLOOKUP($A57,'Dados ClubeFII'!$A:$AU,column(S57)-$A$5,0)</f>
        <v>43609</v>
      </c>
      <c r="T57" s="41">
        <f>MID(VLOOKUP($A57,'Dados ClubeFII'!$A:$AU,column(T57)-$A$5,0),3,100)/1</f>
        <v>100</v>
      </c>
      <c r="U57" s="45">
        <f>VLOOKUP($A57,'Dados ClubeFII'!$A:$AU,column(U57)-$A$5,0)/mid(VLOOKUP($A57,'Dados ClubeFII'!$A:$AU,2,0),4,SEARCH(",",VLOOKUP($A57,'Dados ClubeFII'!$A:$AU,2,0))-1)*B57</f>
        <v>-0.7676416819</v>
      </c>
      <c r="V57" s="42" t="str">
        <f>VLOOKUP($A57,'Dados ClubeFII'!$A:$AU,column(V57)-$A$5,0)</f>
        <v>N/D</v>
      </c>
      <c r="W57" s="43" t="str">
        <f>VLOOKUP($A57,'Dados ClubeFII'!$A:$AU,column(W57)-$A$5,0)</f>
        <v>N/D</v>
      </c>
      <c r="X57" s="45">
        <f>VLOOKUP($A57,'Dados ClubeFII'!$A:$AU,column(X57)-$A$5,0)</f>
        <v>0.005</v>
      </c>
      <c r="Y57" s="41">
        <f>MID(VLOOKUP($A57,'Dados ClubeFII'!$A:$AU,column(Y57)-$A$5,0),3,100)/1</f>
        <v>1229171.61</v>
      </c>
      <c r="Z57" s="46">
        <f>VLOOKUP($A57,'Dados ClubeFII'!$A:$AU,column(Z57)-$A$5,0)</f>
        <v>28463</v>
      </c>
      <c r="AA57" s="47">
        <f t="shared" si="2"/>
        <v>95340130</v>
      </c>
      <c r="AB57" s="48">
        <f t="shared" si="3"/>
        <v>5.804868513</v>
      </c>
      <c r="AC57" s="17"/>
      <c r="AD57" s="17"/>
      <c r="AE57" s="17"/>
    </row>
    <row r="58">
      <c r="A58" s="37" t="s">
        <v>82</v>
      </c>
      <c r="B58" s="38">
        <f>IFERROR(__xludf.DUMMYFUNCTION("GOOGLEFINANCE(A58)"),70.18)</f>
        <v>70.18</v>
      </c>
      <c r="C58" s="38">
        <f>IFERROR(__xludf.DUMMYFUNCTION("GOOGLEFINANCE($A58,""high52"")"),78.06)</f>
        <v>78.06</v>
      </c>
      <c r="D58" s="39">
        <f t="shared" si="4"/>
        <v>-0.1009479887</v>
      </c>
      <c r="E58" s="40" t="str">
        <f>VLOOKUP($A58,'Dados ClubeFII'!$A:$AU,column(E58)-$A$5,0)</f>
        <v>VBI Reits FOF</v>
      </c>
      <c r="F58" s="40" t="str">
        <f>VLOOKUP($A58,'Dados ClubeFII'!$A:$AU,column(F58)-$A$5,0)</f>
        <v>VBI REAL ESTATE</v>
      </c>
      <c r="G58" s="40" t="str">
        <f>VLOOKUP($A58,'Dados ClubeFII'!$A:$AU,column(G58)-$A$5,0)</f>
        <v>Fundo de Fundos</v>
      </c>
      <c r="H58" s="41">
        <f>MID(VLOOKUP($A58,'Dados ClubeFII'!$A:$AU,column(H58)-$A$5,0),3,100)/mid(VLOOKUP($A58,'Dados ClubeFII'!$A:$AU,2,0),4,SEARCH(",",VLOOKUP($A58,'Dados ClubeFII'!$A:$AU,2,0))-1)*B58</f>
        <v>35618315040</v>
      </c>
      <c r="I58" s="41">
        <f>MID(VLOOKUP($A58,'Dados ClubeFII'!$A:$AU,column(I58)-$A$5,0),3,100)/1</f>
        <v>118775061.3</v>
      </c>
      <c r="J58" s="42">
        <f>VLOOKUP($A58,'Dados ClubeFII'!$A:$AU,column(J58)-$A$5,0)/mid(VLOOKUP($A58,'Dados ClubeFII'!$A:$AU,2,0),3,SEARCH(",",VLOOKUP($A58,'Dados ClubeFII'!$A:$AU,2,0)))*B58</f>
        <v>0.8497578348</v>
      </c>
      <c r="K58" s="41">
        <f>if(VLOOKUP($A58,'Dados ClubeFII'!$A:$AU,column(K58)-$A$5,0)="N/D",0,MID(VLOOKUP($A58,'Dados ClubeFII'!$A:$AU,column(K58)-$A$5,0),3,100)/1)/mid(VLOOKUP($A58,'Dados ClubeFII'!$A:$AU,2,0),3,SEARCH(",",VLOOKUP($A58,'Dados ClubeFII'!$A:$AU,2,0)))*B58</f>
        <v>0</v>
      </c>
      <c r="L58" s="41">
        <f>if(VLOOKUP($A58,'Dados ClubeFII'!$A:$AU,column(L58)-$A$5,0)="N/D",0,MID(VLOOKUP($A58,'Dados ClubeFII'!$A:$AU,column(L58)-$A$5,0),3,100)/1)</f>
        <v>0</v>
      </c>
      <c r="M58" s="41">
        <f>MID(VLOOKUP($A58,'Dados ClubeFII'!$A:$AU,column(M58)-$A$5,0),3,100)/1</f>
        <v>0.75</v>
      </c>
      <c r="N58" s="41">
        <f>MID(VLOOKUP($A58,'Dados ClubeFII'!$A:$AU,column(N58)-$A$5,0),3,100)/1</f>
        <v>0</v>
      </c>
      <c r="O58" s="41">
        <f>LEFT(VLOOKUP($A58,'Dados ClubeFII'!$A:$AU,column(O58)-$A$5,0),len(VLOOKUP($A58,'Dados ClubeFII'!$A:$AU,column(O58)-$A$5,0))-2)/1</f>
        <v>0</v>
      </c>
      <c r="P58" s="43">
        <f>VLOOKUP($A58,'Dados ClubeFII'!$A:$AU,column(P58)-$A$5,0)</f>
        <v>44972</v>
      </c>
      <c r="Q58" s="44">
        <f>VLOOKUP($A58,'Dados ClubeFII'!$A:$AU,column(Q58)-$A$5,0)/mid(VLOOKUP($A58,'Dados ClubeFII'!$A:$AU,2,0),3,SEARCH(",",VLOOKUP($A58,'Dados ClubeFII'!$A:$AU,2,0)))*B58</f>
        <v>0.1353614245</v>
      </c>
      <c r="R58" s="44">
        <f>VLOOKUP($A58,'Dados ClubeFII'!$A:$AU,column(R58)-$A$5,0)/mid(VLOOKUP($A58,'Dados ClubeFII'!$A:$AU,2,0),3,SEARCH(",",VLOOKUP($A58,'Dados ClubeFII'!$A:$AU,2,0)))*B58</f>
        <v>0.1276636182</v>
      </c>
      <c r="S58" s="43">
        <f>VLOOKUP($A58,'Dados ClubeFII'!$A:$AU,column(S58)-$A$5,0)</f>
        <v>43871</v>
      </c>
      <c r="T58" s="41">
        <f>MID(VLOOKUP($A58,'Dados ClubeFII'!$A:$AU,column(T58)-$A$5,0),3,100)/1</f>
        <v>100</v>
      </c>
      <c r="U58" s="45">
        <f>VLOOKUP($A58,'Dados ClubeFII'!$A:$AU,column(U58)-$A$5,0)/mid(VLOOKUP($A58,'Dados ClubeFII'!$A:$AU,2,0),4,SEARCH(",",VLOOKUP($A58,'Dados ClubeFII'!$A:$AU,2,0))-1)*B58</f>
        <v>-10.527</v>
      </c>
      <c r="V58" s="42" t="str">
        <f>VLOOKUP($A58,'Dados ClubeFII'!$A:$AU,column(V58)-$A$5,0)</f>
        <v>N/D</v>
      </c>
      <c r="W58" s="43" t="str">
        <f>VLOOKUP($A58,'Dados ClubeFII'!$A:$AU,column(W58)-$A$5,0)</f>
        <v>N/D</v>
      </c>
      <c r="X58" s="45">
        <f>VLOOKUP($A58,'Dados ClubeFII'!$A:$AU,column(X58)-$A$5,0)</f>
        <v>0</v>
      </c>
      <c r="Y58" s="41">
        <f>MID(VLOOKUP($A58,'Dados ClubeFII'!$A:$AU,column(Y58)-$A$5,0),3,100)/1</f>
        <v>187943.84</v>
      </c>
      <c r="Z58" s="46">
        <f>VLOOKUP($A58,'Dados ClubeFII'!$A:$AU,column(Z58)-$A$5,0)</f>
        <v>12171</v>
      </c>
      <c r="AA58" s="47">
        <f t="shared" si="2"/>
        <v>507528000</v>
      </c>
      <c r="AB58" s="48">
        <f t="shared" si="3"/>
        <v>0.2340266177</v>
      </c>
      <c r="AC58" s="48"/>
      <c r="AD58" s="48"/>
      <c r="AE58" s="48"/>
    </row>
    <row r="59">
      <c r="A59" s="37" t="s">
        <v>83</v>
      </c>
      <c r="B59" s="38" t="str">
        <f>IFERROR(__xludf.DUMMYFUNCTION("GOOGLEFINANCE(A59)"),"#N/A")</f>
        <v>#N/A</v>
      </c>
      <c r="C59" s="38" t="str">
        <f>IFERROR(__xludf.DUMMYFUNCTION("GOOGLEFINANCE($A59,""high52"")"),"#N/A")</f>
        <v>#N/A</v>
      </c>
      <c r="D59" s="39" t="str">
        <f t="shared" si="4"/>
        <v>#N/A</v>
      </c>
      <c r="E59" s="40" t="str">
        <f>VLOOKUP($A59,'Dados ClubeFII'!$A:$AU,column(E59)-$A$5,0)</f>
        <v>#N/A</v>
      </c>
      <c r="F59" s="40" t="str">
        <f>VLOOKUP($A59,'Dados ClubeFII'!$A:$AU,column(F59)-$A$5,0)</f>
        <v>#N/A</v>
      </c>
      <c r="G59" s="40" t="str">
        <f>VLOOKUP($A59,'Dados ClubeFII'!$A:$AU,column(G59)-$A$5,0)</f>
        <v>#N/A</v>
      </c>
      <c r="H59" s="41" t="str">
        <f>MID(VLOOKUP($A59,'Dados ClubeFII'!$A:$AU,COLUMN(H59)-$A$5,0),3,100)/MID(VLOOKUP($A59,'Dados ClubeFII'!$A:$AU,2,0),3,SEARCH(",",VLOOKUP($A59,'Dados ClubeFII'!$A:$AU,2,0)))*B59</f>
        <v>#N/A</v>
      </c>
      <c r="I59" s="41" t="str">
        <f>MID(VLOOKUP($A59,'Dados ClubeFII'!$A:$AU,column(I59)-$A$5,0),3,100)/1</f>
        <v>#N/A</v>
      </c>
      <c r="J59" s="42" t="str">
        <f>VLOOKUP($A59,'Dados ClubeFII'!$A:$AU,column(J59)-$A$5,0)/mid(VLOOKUP($A59,'Dados ClubeFII'!$A:$AU,2,0),3,SEARCH(",",VLOOKUP($A59,'Dados ClubeFII'!$A:$AU,2,0)))*B59</f>
        <v>#N/A</v>
      </c>
      <c r="K59" s="41" t="str">
        <f>if(VLOOKUP($A59,'Dados ClubeFII'!$A:$AU,column(K59)-$A$5,0)="N/D",0,MID(VLOOKUP($A59,'Dados ClubeFII'!$A:$AU,column(K59)-$A$5,0),3,100)/1)/mid(VLOOKUP($A59,'Dados ClubeFII'!$A:$AU,2,0),3,SEARCH(",",VLOOKUP($A59,'Dados ClubeFII'!$A:$AU,2,0)))*B59</f>
        <v>#N/A</v>
      </c>
      <c r="L59" s="41" t="str">
        <f>if(VLOOKUP($A59,'Dados ClubeFII'!$A:$AU,column(L59)-$A$5,0)="N/D",0,MID(VLOOKUP($A59,'Dados ClubeFII'!$A:$AU,column(L59)-$A$5,0),3,100)/1)</f>
        <v>#N/A</v>
      </c>
      <c r="M59" s="41" t="str">
        <f>MID(VLOOKUP($A59,'Dados ClubeFII'!$A:$AU,column(M59)-$A$5,0),3,100)/1</f>
        <v>#N/A</v>
      </c>
      <c r="N59" s="41" t="str">
        <f>MID(VLOOKUP($A59,'Dados ClubeFII'!$A:$AU,column(N59)-$A$5,0),3,100)/1</f>
        <v>#N/A</v>
      </c>
      <c r="O59" s="41" t="str">
        <f>LEFT(VLOOKUP($A59,'Dados ClubeFII'!$A:$AU,column(O59)-$A$5,0),len(VLOOKUP($A59,'Dados ClubeFII'!$A:$AU,column(O59)-$A$5,0))-2)/1</f>
        <v>#N/A</v>
      </c>
      <c r="P59" s="43" t="str">
        <f>VLOOKUP($A59,'Dados ClubeFII'!$A:$AU,column(P59)-$A$5,0)</f>
        <v>#N/A</v>
      </c>
      <c r="Q59" s="44" t="str">
        <f>VLOOKUP($A59,'Dados ClubeFII'!$A:$AU,column(Q59)-$A$5,0)/mid(VLOOKUP($A59,'Dados ClubeFII'!$A:$AU,2,0),3,SEARCH(",",VLOOKUP($A59,'Dados ClubeFII'!$A:$AU,2,0)))*B59</f>
        <v>#N/A</v>
      </c>
      <c r="R59" s="44" t="str">
        <f>VLOOKUP($A59,'Dados ClubeFII'!$A:$AU,column(R59)-$A$5,0)/mid(VLOOKUP($A59,'Dados ClubeFII'!$A:$AU,2,0),3,SEARCH(",",VLOOKUP($A59,'Dados ClubeFII'!$A:$AU,2,0)))*B59</f>
        <v>#N/A</v>
      </c>
      <c r="S59" s="43" t="str">
        <f>VLOOKUP($A59,'Dados ClubeFII'!$A:$AU,column(S59)-$A$5,0)</f>
        <v>#N/A</v>
      </c>
      <c r="T59" s="41" t="str">
        <f>MID(VLOOKUP($A59,'Dados ClubeFII'!$A:$AU,column(T59)-$A$5,0),3,100)/1</f>
        <v>#N/A</v>
      </c>
      <c r="U59" s="45" t="str">
        <f>VLOOKUP($A59,'Dados ClubeFII'!$A:$AU,column(U59)-$A$5,0)/mid(VLOOKUP($A59,'Dados ClubeFII'!$A:$AU,2,0),4,SEARCH(",",VLOOKUP($A59,'Dados ClubeFII'!$A:$AU,2,0))-1)*B59</f>
        <v>#N/A</v>
      </c>
      <c r="V59" s="42" t="str">
        <f>VLOOKUP($A59,'Dados ClubeFII'!$A:$AU,column(V59)-$A$5,0)</f>
        <v>#N/A</v>
      </c>
      <c r="W59" s="43" t="str">
        <f>VLOOKUP($A59,'Dados ClubeFII'!$A:$AU,column(W59)-$A$5,0)</f>
        <v>#N/A</v>
      </c>
      <c r="X59" s="45" t="str">
        <f>VLOOKUP($A59,'Dados ClubeFII'!$A:$AU,column(X59)-$A$5,0)</f>
        <v>#N/A</v>
      </c>
      <c r="Y59" s="41" t="str">
        <f>MID(VLOOKUP($A59,'Dados ClubeFII'!$A:$AU,column(Y59)-$A$5,0),3,100)/1</f>
        <v>#N/A</v>
      </c>
      <c r="Z59" s="40" t="str">
        <f>VLOOKUP($A59,'Dados ClubeFII'!$A:$AU,column(Z59)-$A$5,0)</f>
        <v>#N/A</v>
      </c>
      <c r="AA59" s="47" t="str">
        <f t="shared" si="2"/>
        <v>#N/A</v>
      </c>
      <c r="AB59" s="48" t="str">
        <f t="shared" si="3"/>
        <v>#N/A</v>
      </c>
      <c r="AC59" s="48"/>
      <c r="AD59" s="48"/>
      <c r="AE59" s="48"/>
    </row>
    <row r="60">
      <c r="A60" s="37" t="s">
        <v>84</v>
      </c>
      <c r="B60" s="38">
        <f>IFERROR(__xludf.DUMMYFUNCTION("GOOGLEFINANCE(A60)"),41.88)</f>
        <v>41.88</v>
      </c>
      <c r="C60" s="38">
        <f>IFERROR(__xludf.DUMMYFUNCTION("GOOGLEFINANCE($A60,""high52"")"),50.53)</f>
        <v>50.53</v>
      </c>
      <c r="D60" s="39">
        <f t="shared" si="4"/>
        <v>-0.1711854344</v>
      </c>
      <c r="E60" s="40" t="str">
        <f>VLOOKUP($A60,'Dados ClubeFII'!$A:$AU,column(E60)-$A$5,0)</f>
        <v>Vinci Offices</v>
      </c>
      <c r="F60" s="40" t="str">
        <f>VLOOKUP($A60,'Dados ClubeFII'!$A:$AU,column(F60)-$A$5,0)</f>
        <v>VINCI REAL ESTATE</v>
      </c>
      <c r="G60" s="40" t="str">
        <f>VLOOKUP($A60,'Dados ClubeFII'!$A:$AU,column(G60)-$A$5,0)</f>
        <v>Lajes Comerciais</v>
      </c>
      <c r="H60" s="41">
        <f>MID(VLOOKUP($A60,'Dados ClubeFII'!$A:$AU,COLUMN(H60)-$A$5,0),3,100)/MID(VLOOKUP($A60,'Dados ClubeFII'!$A:$AU,2,0),3,SEARCH(",",VLOOKUP($A60,'Dados ClubeFII'!$A:$AU,2,0)))*B60</f>
        <v>696635207.7</v>
      </c>
      <c r="I60" s="41">
        <f>MID(VLOOKUP($A60,'Dados ClubeFII'!$A:$AU,column(I60)-$A$5,0),3,100)/1</f>
        <v>907780630.4</v>
      </c>
      <c r="J60" s="42">
        <f>VLOOKUP($A60,'Dados ClubeFII'!$A:$AU,column(J60)-$A$5,0)/mid(VLOOKUP($A60,'Dados ClubeFII'!$A:$AU,2,0),3,SEARCH(",",VLOOKUP($A60,'Dados ClubeFII'!$A:$AU,2,0)))*B60</f>
        <v>0.7675953079</v>
      </c>
      <c r="K60" s="41">
        <f>if(VLOOKUP($A60,'Dados ClubeFII'!$A:$AU,column(K60)-$A$5,0)="N/D",0,MID(VLOOKUP($A60,'Dados ClubeFII'!$A:$AU,column(K60)-$A$5,0),3,100)/1)/mid(VLOOKUP($A60,'Dados ClubeFII'!$A:$AU,2,0),3,SEARCH(",",VLOOKUP($A60,'Dados ClubeFII'!$A:$AU,2,0)))*B60</f>
        <v>8100.412815</v>
      </c>
      <c r="L60" s="41">
        <f>if(VLOOKUP($A60,'Dados ClubeFII'!$A:$AU,column(L60)-$A$5,0)="N/D",0,MID(VLOOKUP($A60,'Dados ClubeFII'!$A:$AU,column(L60)-$A$5,0),3,100)/1)</f>
        <v>10555.59</v>
      </c>
      <c r="M60" s="41">
        <f>MID(VLOOKUP($A60,'Dados ClubeFII'!$A:$AU,column(M60)-$A$5,0),3,100)/1</f>
        <v>0.31</v>
      </c>
      <c r="N60" s="41">
        <f>MID(VLOOKUP($A60,'Dados ClubeFII'!$A:$AU,column(N60)-$A$5,0),3,100)/1</f>
        <v>59.71</v>
      </c>
      <c r="O60" s="41">
        <f>LEFT(VLOOKUP($A60,'Dados ClubeFII'!$A:$AU,column(O60)-$A$5,0),len(VLOOKUP($A60,'Dados ClubeFII'!$A:$AU,column(O60)-$A$5,0))-2)/1</f>
        <v>86000</v>
      </c>
      <c r="P60" s="43">
        <f>VLOOKUP($A60,'Dados ClubeFII'!$A:$AU,column(P60)-$A$5,0)</f>
        <v>44971</v>
      </c>
      <c r="Q60" s="44">
        <f>VLOOKUP($A60,'Dados ClubeFII'!$A:$AU,column(Q60)-$A$5,0)/mid(VLOOKUP($A60,'Dados ClubeFII'!$A:$AU,2,0),3,SEARCH(",",VLOOKUP($A60,'Dados ClubeFII'!$A:$AU,2,0)))*B60</f>
        <v>0.09661466276</v>
      </c>
      <c r="R60" s="44">
        <f>VLOOKUP($A60,'Dados ClubeFII'!$A:$AU,column(R60)-$A$5,0)/mid(VLOOKUP($A60,'Dados ClubeFII'!$A:$AU,2,0),3,SEARCH(",",VLOOKUP($A60,'Dados ClubeFII'!$A:$AU,2,0)))*B60</f>
        <v>0.1009131965</v>
      </c>
      <c r="S60" s="43">
        <f>VLOOKUP($A60,'Dados ClubeFII'!$A:$AU,column(S60)-$A$5,0)</f>
        <v>43797</v>
      </c>
      <c r="T60" s="41">
        <f>MID(VLOOKUP($A60,'Dados ClubeFII'!$A:$AU,column(T60)-$A$5,0),3,100)/1</f>
        <v>63.5</v>
      </c>
      <c r="U60" s="45">
        <f>VLOOKUP($A60,'Dados ClubeFII'!$A:$AU,column(U60)-$A$5,0)/mid(VLOOKUP($A60,'Dados ClubeFII'!$A:$AU,2,0),4,SEARCH(",",VLOOKUP($A60,'Dados ClubeFII'!$A:$AU,2,0))-1)*B60</f>
        <v>-6.227373913</v>
      </c>
      <c r="V60" s="42">
        <f>VLOOKUP($A60,'Dados ClubeFII'!$A:$AU,column(V60)-$A$5,0)</f>
        <v>0.023</v>
      </c>
      <c r="W60" s="43" t="str">
        <f>VLOOKUP($A60,'Dados ClubeFII'!$A:$AU,column(W60)-$A$5,0)</f>
        <v>N/D</v>
      </c>
      <c r="X60" s="45">
        <f>VLOOKUP($A60,'Dados ClubeFII'!$A:$AU,column(X60)-$A$5,0)</f>
        <v>0.0072</v>
      </c>
      <c r="Y60" s="41">
        <f>MID(VLOOKUP($A60,'Dados ClubeFII'!$A:$AU,column(Y60)-$A$5,0),3,100)/1</f>
        <v>1058557.65</v>
      </c>
      <c r="Z60" s="46">
        <f>VLOOKUP($A60,'Dados ClubeFII'!$A:$AU,column(Z60)-$A$5,0)</f>
        <v>124619</v>
      </c>
      <c r="AA60" s="47">
        <f t="shared" si="2"/>
        <v>16634078</v>
      </c>
      <c r="AB60" s="48">
        <f t="shared" si="3"/>
        <v>54.57354657</v>
      </c>
      <c r="AC60" s="48"/>
      <c r="AD60" s="48"/>
      <c r="AE60" s="48"/>
    </row>
    <row r="61">
      <c r="A61" s="37" t="s">
        <v>85</v>
      </c>
      <c r="B61" s="38">
        <f>IFERROR(__xludf.DUMMYFUNCTION("GOOGLEFINANCE(A61)"),37.0)</f>
        <v>37</v>
      </c>
      <c r="C61" s="38">
        <f>IFERROR(__xludf.DUMMYFUNCTION("GOOGLEFINANCE($A61,""high52"")"),47.27)</f>
        <v>47.27</v>
      </c>
      <c r="D61" s="39">
        <f t="shared" si="4"/>
        <v>-0.2172625344</v>
      </c>
      <c r="E61" s="40" t="str">
        <f>VLOOKUP($A61,'Dados ClubeFII'!$A:$AU,column(E61)-$A$5,0)</f>
        <v>Ourinvest Logística</v>
      </c>
      <c r="F61" s="40" t="str">
        <f>VLOOKUP($A61,'Dados ClubeFII'!$A:$AU,column(F61)-$A$5,0)</f>
        <v>FATOR ORE ASSET</v>
      </c>
      <c r="G61" s="40" t="str">
        <f>VLOOKUP($A61,'Dados ClubeFII'!$A:$AU,column(G61)-$A$5,0)</f>
        <v>Logisticos</v>
      </c>
      <c r="H61" s="41">
        <f>MID(VLOOKUP($A61,'Dados ClubeFII'!$A:$AU,COLUMN(H61)-$A$5,0),3,100)/MID(VLOOKUP($A61,'Dados ClubeFII'!$A:$AU,2,0),3,SEARCH(",",VLOOKUP($A61,'Dados ClubeFII'!$A:$AU,2,0)))*B61</f>
        <v>90989467.58</v>
      </c>
      <c r="I61" s="41">
        <f>MID(VLOOKUP($A61,'Dados ClubeFII'!$A:$AU,column(I61)-$A$5,0),3,100)/1</f>
        <v>166782420.8</v>
      </c>
      <c r="J61" s="42">
        <f>VLOOKUP($A61,'Dados ClubeFII'!$A:$AU,column(J61)-$A$5,0)/mid(VLOOKUP($A61,'Dados ClubeFII'!$A:$AU,2,0),3,SEARCH(",",VLOOKUP($A61,'Dados ClubeFII'!$A:$AU,2,0)))*B61</f>
        <v>0.5463340122</v>
      </c>
      <c r="K61" s="41">
        <f>if(VLOOKUP($A61,'Dados ClubeFII'!$A:$AU,column(K61)-$A$5,0)="N/D",0,MID(VLOOKUP($A61,'Dados ClubeFII'!$A:$AU,column(K61)-$A$5,0),3,100)/1)/mid(VLOOKUP($A61,'Dados ClubeFII'!$A:$AU,2,0),3,SEARCH(",",VLOOKUP($A61,'Dados ClubeFII'!$A:$AU,2,0)))*B61</f>
        <v>1123.281568</v>
      </c>
      <c r="L61" s="41">
        <f>if(VLOOKUP($A61,'Dados ClubeFII'!$A:$AU,column(L61)-$A$5,0)="N/D",0,MID(VLOOKUP($A61,'Dados ClubeFII'!$A:$AU,column(L61)-$A$5,0),3,100)/1)</f>
        <v>2058.97</v>
      </c>
      <c r="M61" s="41">
        <f>MID(VLOOKUP($A61,'Dados ClubeFII'!$A:$AU,column(M61)-$A$5,0),3,100)/1</f>
        <v>0.41</v>
      </c>
      <c r="N61" s="41">
        <f>MID(VLOOKUP($A61,'Dados ClubeFII'!$A:$AU,column(N61)-$A$5,0),3,100)/1</f>
        <v>12.56</v>
      </c>
      <c r="O61" s="41">
        <f>LEFT(VLOOKUP($A61,'Dados ClubeFII'!$A:$AU,column(O61)-$A$5,0),len(VLOOKUP($A61,'Dados ClubeFII'!$A:$AU,column(O61)-$A$5,0))-2)/1</f>
        <v>81003</v>
      </c>
      <c r="P61" s="43">
        <f>VLOOKUP($A61,'Dados ClubeFII'!$A:$AU,column(P61)-$A$5,0)</f>
        <v>44980</v>
      </c>
      <c r="Q61" s="44">
        <f>VLOOKUP($A61,'Dados ClubeFII'!$A:$AU,column(Q61)-$A$5,0)/mid(VLOOKUP($A61,'Dados ClubeFII'!$A:$AU,2,0),3,SEARCH(",",VLOOKUP($A61,'Dados ClubeFII'!$A:$AU,2,0)))*B61</f>
        <v>0.1262219959</v>
      </c>
      <c r="R61" s="44">
        <f>VLOOKUP($A61,'Dados ClubeFII'!$A:$AU,column(R61)-$A$5,0)/mid(VLOOKUP($A61,'Dados ClubeFII'!$A:$AU,2,0),3,SEARCH(",",VLOOKUP($A61,'Dados ClubeFII'!$A:$AU,2,0)))*B61</f>
        <v>0.0370188391</v>
      </c>
      <c r="S61" s="43">
        <f>VLOOKUP($A61,'Dados ClubeFII'!$A:$AU,column(S61)-$A$5,0)</f>
        <v>43417</v>
      </c>
      <c r="T61" s="41">
        <f>MID(VLOOKUP($A61,'Dados ClubeFII'!$A:$AU,column(T61)-$A$5,0),3,100)/1</f>
        <v>100</v>
      </c>
      <c r="U61" s="45">
        <f>VLOOKUP($A61,'Dados ClubeFII'!$A:$AU,column(U61)-$A$5,0)/mid(VLOOKUP($A61,'Dados ClubeFII'!$A:$AU,2,0),4,SEARCH(",",VLOOKUP($A61,'Dados ClubeFII'!$A:$AU,2,0))-1)*B61</f>
        <v>-0.4022952586</v>
      </c>
      <c r="V61" s="42">
        <f>VLOOKUP($A61,'Dados ClubeFII'!$A:$AU,column(V61)-$A$5,0)</f>
        <v>0</v>
      </c>
      <c r="W61" s="43">
        <f>VLOOKUP($A61,'Dados ClubeFII'!$A:$AU,column(W61)-$A$5,0)</f>
        <v>44253</v>
      </c>
      <c r="X61" s="45">
        <f>VLOOKUP($A61,'Dados ClubeFII'!$A:$AU,column(X61)-$A$5,0)</f>
        <v>0</v>
      </c>
      <c r="Y61" s="41">
        <f>MID(VLOOKUP($A61,'Dados ClubeFII'!$A:$AU,column(Y61)-$A$5,0),3,100)/1</f>
        <v>70828.65</v>
      </c>
      <c r="Z61" s="46">
        <f>VLOOKUP($A61,'Dados ClubeFII'!$A:$AU,column(Z61)-$A$5,0)</f>
        <v>5225</v>
      </c>
      <c r="AA61" s="47">
        <f t="shared" si="2"/>
        <v>2459174</v>
      </c>
      <c r="AB61" s="48">
        <f t="shared" si="3"/>
        <v>67.82050428</v>
      </c>
      <c r="AC61" s="48"/>
      <c r="AD61" s="48"/>
      <c r="AE61" s="48"/>
    </row>
    <row r="62">
      <c r="A62" s="37" t="s">
        <v>86</v>
      </c>
      <c r="B62" s="38">
        <f>IFERROR(__xludf.DUMMYFUNCTION("GOOGLEFINANCE(A62)"),61.05)</f>
        <v>61.05</v>
      </c>
      <c r="C62" s="38">
        <f>IFERROR(__xludf.DUMMYFUNCTION("GOOGLEFINANCE($A62,""high52"")"),67.66)</f>
        <v>67.66</v>
      </c>
      <c r="D62" s="39">
        <f t="shared" si="4"/>
        <v>-0.09769435412</v>
      </c>
      <c r="E62" s="40" t="str">
        <f>VLOOKUP($A62,'Dados ClubeFII'!$A:$AU,column(E62)-$A$5,0)</f>
        <v>Ourinvest Fundo de Fundos</v>
      </c>
      <c r="F62" s="40" t="str">
        <f>VLOOKUP($A62,'Dados ClubeFII'!$A:$AU,column(F62)-$A$5,0)</f>
        <v>FATOR ORE ASSET</v>
      </c>
      <c r="G62" s="40" t="str">
        <f>VLOOKUP($A62,'Dados ClubeFII'!$A:$AU,column(G62)-$A$5,0)</f>
        <v>Fundo de Fundos</v>
      </c>
      <c r="H62" s="41">
        <f>MID(VLOOKUP($A62,'Dados ClubeFII'!$A:$AU,column(H62)-$A$5,0),3,100)/mid(VLOOKUP($A62,'Dados ClubeFII'!$A:$AU,2,0),4,SEARCH(",",VLOOKUP($A62,'Dados ClubeFII'!$A:$AU,2,0))-1)*B62</f>
        <v>4883231828</v>
      </c>
      <c r="I62" s="41">
        <f>MID(VLOOKUP($A62,'Dados ClubeFII'!$A:$AU,column(I62)-$A$5,0),3,100)/1</f>
        <v>133752075.4</v>
      </c>
      <c r="J62" s="42">
        <f>VLOOKUP($A62,'Dados ClubeFII'!$A:$AU,column(J62)-$A$5,0)/mid(VLOOKUP($A62,'Dados ClubeFII'!$A:$AU,2,0),3,SEARCH(",",VLOOKUP($A62,'Dados ClubeFII'!$A:$AU,2,0)))*B62</f>
        <v>0.8254031601</v>
      </c>
      <c r="K62" s="41">
        <f>if(VLOOKUP($A62,'Dados ClubeFII'!$A:$AU,column(K62)-$A$5,0)="N/D",0,MID(VLOOKUP($A62,'Dados ClubeFII'!$A:$AU,column(K62)-$A$5,0),3,100)/1)/mid(VLOOKUP($A62,'Dados ClubeFII'!$A:$AU,2,0),3,SEARCH(",",VLOOKUP($A62,'Dados ClubeFII'!$A:$AU,2,0)))*B62</f>
        <v>0</v>
      </c>
      <c r="L62" s="41">
        <f>if(VLOOKUP($A62,'Dados ClubeFII'!$A:$AU,column(L62)-$A$5,0)="N/D",0,MID(VLOOKUP($A62,'Dados ClubeFII'!$A:$AU,column(L62)-$A$5,0),3,100)/1)</f>
        <v>0</v>
      </c>
      <c r="M62" s="41">
        <f>MID(VLOOKUP($A62,'Dados ClubeFII'!$A:$AU,column(M62)-$A$5,0),3,100)/1</f>
        <v>0.7</v>
      </c>
      <c r="N62" s="41">
        <f>MID(VLOOKUP($A62,'Dados ClubeFII'!$A:$AU,column(N62)-$A$5,0),3,100)/1</f>
        <v>0</v>
      </c>
      <c r="O62" s="41">
        <f>LEFT(VLOOKUP($A62,'Dados ClubeFII'!$A:$AU,column(O62)-$A$5,0),len(VLOOKUP($A62,'Dados ClubeFII'!$A:$AU,column(O62)-$A$5,0))-2)/1</f>
        <v>0</v>
      </c>
      <c r="P62" s="43">
        <f>VLOOKUP($A62,'Dados ClubeFII'!$A:$AU,column(P62)-$A$5,0)</f>
        <v>44980</v>
      </c>
      <c r="Q62" s="44">
        <f>VLOOKUP($A62,'Dados ClubeFII'!$A:$AU,column(Q62)-$A$5,0)/mid(VLOOKUP($A62,'Dados ClubeFII'!$A:$AU,2,0),3,SEARCH(",",VLOOKUP($A62,'Dados ClubeFII'!$A:$AU,2,0)))*B62</f>
        <v>0.1451913993</v>
      </c>
      <c r="R62" s="44">
        <f>VLOOKUP($A62,'Dados ClubeFII'!$A:$AU,column(R62)-$A$5,0)/mid(VLOOKUP($A62,'Dados ClubeFII'!$A:$AU,2,0),3,SEARCH(",",VLOOKUP($A62,'Dados ClubeFII'!$A:$AU,2,0)))*B62</f>
        <v>0.1404179834</v>
      </c>
      <c r="S62" s="43">
        <f>VLOOKUP($A62,'Dados ClubeFII'!$A:$AU,column(S62)-$A$5,0)</f>
        <v>43661</v>
      </c>
      <c r="T62" s="41">
        <f>MID(VLOOKUP($A62,'Dados ClubeFII'!$A:$AU,column(T62)-$A$5,0),3,100)/1</f>
        <v>100</v>
      </c>
      <c r="U62" s="45">
        <f>VLOOKUP($A62,'Dados ClubeFII'!$A:$AU,column(U62)-$A$5,0)/mid(VLOOKUP($A62,'Dados ClubeFII'!$A:$AU,2,0),4,SEARCH(",",VLOOKUP($A62,'Dados ClubeFII'!$A:$AU,2,0))-1)*B62</f>
        <v>-1.111197842</v>
      </c>
      <c r="V62" s="42" t="str">
        <f>VLOOKUP($A62,'Dados ClubeFII'!$A:$AU,column(V62)-$A$5,0)</f>
        <v>N/D</v>
      </c>
      <c r="W62" s="43" t="str">
        <f>VLOOKUP($A62,'Dados ClubeFII'!$A:$AU,column(W62)-$A$5,0)</f>
        <v>N/D</v>
      </c>
      <c r="X62" s="45">
        <f>VLOOKUP($A62,'Dados ClubeFII'!$A:$AU,column(X62)-$A$5,0)</f>
        <v>0</v>
      </c>
      <c r="Y62" s="41">
        <f>MID(VLOOKUP($A62,'Dados ClubeFII'!$A:$AU,column(Y62)-$A$5,0),3,100)/1</f>
        <v>186799.97</v>
      </c>
      <c r="Z62" s="46">
        <f>VLOOKUP($A62,'Dados ClubeFII'!$A:$AU,column(Z62)-$A$5,0)</f>
        <v>8337</v>
      </c>
      <c r="AA62" s="47">
        <f t="shared" si="2"/>
        <v>79987417</v>
      </c>
      <c r="AB62" s="48">
        <f t="shared" si="3"/>
        <v>1.672163953</v>
      </c>
      <c r="AC62" s="48"/>
      <c r="AD62" s="48"/>
      <c r="AE62" s="48"/>
    </row>
    <row r="63">
      <c r="A63" s="37" t="s">
        <v>87</v>
      </c>
      <c r="B63" s="38">
        <f>IFERROR(__xludf.DUMMYFUNCTION("GOOGLEFINANCE(A63)"),23.15)</f>
        <v>23.15</v>
      </c>
      <c r="C63" s="38">
        <f>IFERROR(__xludf.DUMMYFUNCTION("GOOGLEFINANCE($A63,""high52"")"),55.76)</f>
        <v>55.76</v>
      </c>
      <c r="D63" s="39">
        <f t="shared" si="4"/>
        <v>-0.5848278336</v>
      </c>
      <c r="E63" s="40" t="str">
        <f>VLOOKUP($A63,'Dados ClubeFII'!$A:$AU,column(E63)-$A$5,0)</f>
        <v>XP Properties</v>
      </c>
      <c r="F63" s="40" t="str">
        <f>VLOOKUP($A63,'Dados ClubeFII'!$A:$AU,column(F63)-$A$5,0)</f>
        <v>XP Vista</v>
      </c>
      <c r="G63" s="40" t="str">
        <f>VLOOKUP($A63,'Dados ClubeFII'!$A:$AU,column(G63)-$A$5,0)</f>
        <v>Lajes Comerciais</v>
      </c>
      <c r="H63" s="41">
        <f>MID(VLOOKUP($A63,'Dados ClubeFII'!$A:$AU,COLUMN(H63)-$A$5,0),3,100)/MID(VLOOKUP($A63,'Dados ClubeFII'!$A:$AU,2,0),3,SEARCH(",",VLOOKUP($A63,'Dados ClubeFII'!$A:$AU,2,0)))*B63</f>
        <v>169910994</v>
      </c>
      <c r="I63" s="41">
        <f>MID(VLOOKUP($A63,'Dados ClubeFII'!$A:$AU,column(I63)-$A$5,0),3,100)/1</f>
        <v>545397975.5</v>
      </c>
      <c r="J63" s="42">
        <f>VLOOKUP($A63,'Dados ClubeFII'!$A:$AU,column(J63)-$A$5,0)/mid(VLOOKUP($A63,'Dados ClubeFII'!$A:$AU,2,0),3,SEARCH(",",VLOOKUP($A63,'Dados ClubeFII'!$A:$AU,2,0)))*B63</f>
        <v>0.3109370003</v>
      </c>
      <c r="K63" s="41">
        <f>if(VLOOKUP($A63,'Dados ClubeFII'!$A:$AU,column(K63)-$A$5,0)="N/D",0,MID(VLOOKUP($A63,'Dados ClubeFII'!$A:$AU,column(K63)-$A$5,0),3,100)/1)/mid(VLOOKUP($A63,'Dados ClubeFII'!$A:$AU,2,0),3,SEARCH(",",VLOOKUP($A63,'Dados ClubeFII'!$A:$AU,2,0)))*B63</f>
        <v>2245.090998</v>
      </c>
      <c r="L63" s="41">
        <f>if(VLOOKUP($A63,'Dados ClubeFII'!$A:$AU,column(L63)-$A$5,0)="N/D",0,MID(VLOOKUP($A63,'Dados ClubeFII'!$A:$AU,column(L63)-$A$5,0),3,100)/1)</f>
        <v>7206.54</v>
      </c>
      <c r="M63" s="41">
        <f>MID(VLOOKUP($A63,'Dados ClubeFII'!$A:$AU,column(M63)-$A$5,0),3,100)/1</f>
        <v>0.3</v>
      </c>
      <c r="N63" s="41">
        <f>MID(VLOOKUP($A63,'Dados ClubeFII'!$A:$AU,column(N63)-$A$5,0),3,100)/1</f>
        <v>29</v>
      </c>
      <c r="O63" s="41">
        <f>LEFT(VLOOKUP($A63,'Dados ClubeFII'!$A:$AU,column(O63)-$A$5,0),len(VLOOKUP($A63,'Dados ClubeFII'!$A:$AU,column(O63)-$A$5,0))-2)/1</f>
        <v>75681</v>
      </c>
      <c r="P63" s="43">
        <f>VLOOKUP($A63,'Dados ClubeFII'!$A:$AU,column(P63)-$A$5,0)</f>
        <v>44971</v>
      </c>
      <c r="Q63" s="44">
        <f>VLOOKUP($A63,'Dados ClubeFII'!$A:$AU,column(Q63)-$A$5,0)/mid(VLOOKUP($A63,'Dados ClubeFII'!$A:$AU,2,0),3,SEARCH(",",VLOOKUP($A63,'Dados ClubeFII'!$A:$AU,2,0)))*B63</f>
        <v>0.08957946914</v>
      </c>
      <c r="R63" s="44">
        <f>VLOOKUP($A63,'Dados ClubeFII'!$A:$AU,column(R63)-$A$5,0)/mid(VLOOKUP($A63,'Dados ClubeFII'!$A:$AU,2,0),3,SEARCH(",",VLOOKUP($A63,'Dados ClubeFII'!$A:$AU,2,0)))*B63</f>
        <v>0.1014987208</v>
      </c>
      <c r="S63" s="43">
        <f>VLOOKUP($A63,'Dados ClubeFII'!$A:$AU,column(S63)-$A$5,0)</f>
        <v>43808</v>
      </c>
      <c r="T63" s="41">
        <f>MID(VLOOKUP($A63,'Dados ClubeFII'!$A:$AU,column(T63)-$A$5,0),3,100)/1</f>
        <v>100</v>
      </c>
      <c r="U63" s="45">
        <f>VLOOKUP($A63,'Dados ClubeFII'!$A:$AU,column(U63)-$A$5,0)/mid(VLOOKUP($A63,'Dados ClubeFII'!$A:$AU,2,0),4,SEARCH(",",VLOOKUP($A63,'Dados ClubeFII'!$A:$AU,2,0))-1)*B63</f>
        <v>-0.5031023622</v>
      </c>
      <c r="V63" s="42">
        <f>VLOOKUP($A63,'Dados ClubeFII'!$A:$AU,column(V63)-$A$5,0)</f>
        <v>0.45</v>
      </c>
      <c r="W63" s="43">
        <f>VLOOKUP($A63,'Dados ClubeFII'!$A:$AU,column(W63)-$A$5,0)</f>
        <v>44957</v>
      </c>
      <c r="X63" s="45">
        <f>VLOOKUP($A63,'Dados ClubeFII'!$A:$AU,column(X63)-$A$5,0)</f>
        <v>0.0021</v>
      </c>
      <c r="Y63" s="41">
        <f>MID(VLOOKUP($A63,'Dados ClubeFII'!$A:$AU,column(Y63)-$A$5,0),3,100)/1</f>
        <v>420585.05</v>
      </c>
      <c r="Z63" s="46">
        <f>VLOOKUP($A63,'Dados ClubeFII'!$A:$AU,column(Z63)-$A$5,0)</f>
        <v>67546</v>
      </c>
      <c r="AA63" s="47">
        <f t="shared" si="2"/>
        <v>7339567</v>
      </c>
      <c r="AB63" s="48">
        <f t="shared" si="3"/>
        <v>74.30928493</v>
      </c>
      <c r="AC63" s="48"/>
      <c r="AD63" s="48"/>
      <c r="AE63" s="48"/>
    </row>
    <row r="64">
      <c r="A64" s="37" t="s">
        <v>88</v>
      </c>
      <c r="B64" s="38">
        <f>IFERROR(__xludf.DUMMYFUNCTION("GOOGLEFINANCE(A64)"),86.4)</f>
        <v>86.4</v>
      </c>
      <c r="C64" s="38">
        <f>IFERROR(__xludf.DUMMYFUNCTION("GOOGLEFINANCE($A64,""high52"")"),92.46)</f>
        <v>92.46</v>
      </c>
      <c r="D64" s="39">
        <f t="shared" si="4"/>
        <v>-0.06554185594</v>
      </c>
      <c r="E64" s="40" t="str">
        <f>VLOOKUP($A64,'Dados ClubeFII'!$A:$AU,column(E64)-$A$5,0)</f>
        <v>Mauá Capital Recebíveis Imobiliários</v>
      </c>
      <c r="F64" s="40" t="str">
        <f>VLOOKUP($A64,'Dados ClubeFII'!$A:$AU,column(F64)-$A$5,0)</f>
        <v>MAUA CAPITAL REAL ESTATE</v>
      </c>
      <c r="G64" s="40" t="str">
        <f>VLOOKUP($A64,'Dados ClubeFII'!$A:$AU,column(G64)-$A$5,0)</f>
        <v>Recebíveis Imobiliários</v>
      </c>
      <c r="H64" s="41">
        <f>MID(VLOOKUP($A64,'Dados ClubeFII'!$A:$AU,column(H64)-$A$5,0),3,100)/mid(VLOOKUP($A64,'Dados ClubeFII'!$A:$AU,2,0),4,SEARCH(",",VLOOKUP($A64,'Dados ClubeFII'!$A:$AU,2,0))-1)*B64</f>
        <v>27798767536</v>
      </c>
      <c r="I64" s="41">
        <f>MID(VLOOKUP($A64,'Dados ClubeFII'!$A:$AU,column(I64)-$A$5,0),3,100)/1</f>
        <v>1560313254</v>
      </c>
      <c r="J64" s="42">
        <f>VLOOKUP($A64,'Dados ClubeFII'!$A:$AU,column(J64)-$A$5,0)/mid(VLOOKUP($A64,'Dados ClubeFII'!$A:$AU,2,0),3,SEARCH(",",VLOOKUP($A64,'Dados ClubeFII'!$A:$AU,2,0)))*B64</f>
        <v>0.9412433393</v>
      </c>
      <c r="K64" s="41">
        <f>if(VLOOKUP($A64,'Dados ClubeFII'!$A:$AU,column(K64)-$A$5,0)="N/D",0,MID(VLOOKUP($A64,'Dados ClubeFII'!$A:$AU,column(K64)-$A$5,0),3,100)/1)/mid(VLOOKUP($A64,'Dados ClubeFII'!$A:$AU,2,0),3,SEARCH(",",VLOOKUP($A64,'Dados ClubeFII'!$A:$AU,2,0)))*B64</f>
        <v>0</v>
      </c>
      <c r="L64" s="41">
        <f>if(VLOOKUP($A64,'Dados ClubeFII'!$A:$AU,column(L64)-$A$5,0)="N/D",0,MID(VLOOKUP($A64,'Dados ClubeFII'!$A:$AU,column(L64)-$A$5,0),3,100)/1)</f>
        <v>0</v>
      </c>
      <c r="M64" s="41">
        <f>MID(VLOOKUP($A64,'Dados ClubeFII'!$A:$AU,column(M64)-$A$5,0),3,100)/1</f>
        <v>0.95</v>
      </c>
      <c r="N64" s="41">
        <f>MID(VLOOKUP($A64,'Dados ClubeFII'!$A:$AU,column(N64)-$A$5,0),3,100)/1</f>
        <v>0</v>
      </c>
      <c r="O64" s="41">
        <f>LEFT(VLOOKUP($A64,'Dados ClubeFII'!$A:$AU,column(O64)-$A$5,0),len(VLOOKUP($A64,'Dados ClubeFII'!$A:$AU,column(O64)-$A$5,0))-2)/1</f>
        <v>0</v>
      </c>
      <c r="P64" s="43">
        <f>VLOOKUP($A64,'Dados ClubeFII'!$A:$AU,column(P64)-$A$5,0)</f>
        <v>44974</v>
      </c>
      <c r="Q64" s="44">
        <f>VLOOKUP($A64,'Dados ClubeFII'!$A:$AU,column(Q64)-$A$5,0)/mid(VLOOKUP($A64,'Dados ClubeFII'!$A:$AU,2,0),3,SEARCH(",",VLOOKUP($A64,'Dados ClubeFII'!$A:$AU,2,0)))*B64</f>
        <v>0.1470181172</v>
      </c>
      <c r="R64" s="44">
        <f>VLOOKUP($A64,'Dados ClubeFII'!$A:$AU,column(R64)-$A$5,0)/mid(VLOOKUP($A64,'Dados ClubeFII'!$A:$AU,2,0),3,SEARCH(",",VLOOKUP($A64,'Dados ClubeFII'!$A:$AU,2,0)))*B64</f>
        <v>0.1551005329</v>
      </c>
      <c r="S64" s="43">
        <f>VLOOKUP($A64,'Dados ClubeFII'!$A:$AU,column(S64)-$A$5,0)</f>
        <v>43809</v>
      </c>
      <c r="T64" s="41">
        <f>MID(VLOOKUP($A64,'Dados ClubeFII'!$A:$AU,column(T64)-$A$5,0),3,100)/1</f>
        <v>100</v>
      </c>
      <c r="U64" s="45">
        <f>VLOOKUP($A64,'Dados ClubeFII'!$A:$AU,column(U64)-$A$5,0)/mid(VLOOKUP($A64,'Dados ClubeFII'!$A:$AU,2,0),4,SEARCH(",",VLOOKUP($A64,'Dados ClubeFII'!$A:$AU,2,0))-1)*B64</f>
        <v>-0.7688629213</v>
      </c>
      <c r="V64" s="42" t="str">
        <f>VLOOKUP($A64,'Dados ClubeFII'!$A:$AU,column(V64)-$A$5,0)</f>
        <v>N/D</v>
      </c>
      <c r="W64" s="43" t="str">
        <f>VLOOKUP($A64,'Dados ClubeFII'!$A:$AU,column(W64)-$A$5,0)</f>
        <v>N/D</v>
      </c>
      <c r="X64" s="45">
        <f>VLOOKUP($A64,'Dados ClubeFII'!$A:$AU,column(X64)-$A$5,0)</f>
        <v>0.0137</v>
      </c>
      <c r="Y64" s="41">
        <f>MID(VLOOKUP($A64,'Dados ClubeFII'!$A:$AU,column(Y64)-$A$5,0),3,100)/1</f>
        <v>4428370.74</v>
      </c>
      <c r="Z64" s="46">
        <f>VLOOKUP($A64,'Dados ClubeFII'!$A:$AU,column(Z64)-$A$5,0)</f>
        <v>106391</v>
      </c>
      <c r="AA64" s="47">
        <f t="shared" si="2"/>
        <v>321744994</v>
      </c>
      <c r="AB64" s="48">
        <f t="shared" si="3"/>
        <v>4.849533897</v>
      </c>
      <c r="AC64" s="48"/>
      <c r="AD64" s="48"/>
      <c r="AE64" s="48"/>
    </row>
    <row r="65">
      <c r="A65" s="37" t="s">
        <v>89</v>
      </c>
      <c r="B65" s="38">
        <f>IFERROR(__xludf.DUMMYFUNCTION("GOOGLEFINANCE(A65)"),72.6)</f>
        <v>72.6</v>
      </c>
      <c r="C65" s="38">
        <f>IFERROR(__xludf.DUMMYFUNCTION("GOOGLEFINANCE($A65,""high52"")"),80.89)</f>
        <v>80.89</v>
      </c>
      <c r="D65" s="39">
        <f t="shared" si="4"/>
        <v>-0.102484856</v>
      </c>
      <c r="E65" s="40" t="str">
        <f>VLOOKUP($A65,'Dados ClubeFII'!$A:$AU,column(E65)-$A$5,0)</f>
        <v>Ourinvest Renda Estruturada</v>
      </c>
      <c r="F65" s="40" t="str">
        <f>VLOOKUP($A65,'Dados ClubeFII'!$A:$AU,column(F65)-$A$5,0)</f>
        <v>FATOR ORE ASSET</v>
      </c>
      <c r="G65" s="40" t="str">
        <f>VLOOKUP($A65,'Dados ClubeFII'!$A:$AU,column(G65)-$A$5,0)</f>
        <v>Híbrido</v>
      </c>
      <c r="H65" s="41">
        <f>MID(VLOOKUP($A65,'Dados ClubeFII'!$A:$AU,column(H65)-$A$5,0),3,100)/mid(VLOOKUP($A65,'Dados ClubeFII'!$A:$AU,2,0),4,SEARCH(",",VLOOKUP($A65,'Dados ClubeFII'!$A:$AU,2,0))-1)*B65</f>
        <v>1763331440</v>
      </c>
      <c r="I65" s="41">
        <f>MID(VLOOKUP($A65,'Dados ClubeFII'!$A:$AU,column(I65)-$A$5,0),3,100)/1</f>
        <v>97497098.76</v>
      </c>
      <c r="J65" s="42">
        <f>VLOOKUP($A65,'Dados ClubeFII'!$A:$AU,column(J65)-$A$5,0)/mid(VLOOKUP($A65,'Dados ClubeFII'!$A:$AU,2,0),3,SEARCH(",",VLOOKUP($A65,'Dados ClubeFII'!$A:$AU,2,0)))*B65</f>
        <v>0.793442623</v>
      </c>
      <c r="K65" s="41">
        <f>if(VLOOKUP($A65,'Dados ClubeFII'!$A:$AU,column(K65)-$A$5,0)="N/D",0,MID(VLOOKUP($A65,'Dados ClubeFII'!$A:$AU,column(K65)-$A$5,0),3,100)/1)/mid(VLOOKUP($A65,'Dados ClubeFII'!$A:$AU,2,0),3,SEARCH(",",VLOOKUP($A65,'Dados ClubeFII'!$A:$AU,2,0)))*B65</f>
        <v>0</v>
      </c>
      <c r="L65" s="41">
        <f>if(VLOOKUP($A65,'Dados ClubeFII'!$A:$AU,column(L65)-$A$5,0)="N/D",0,MID(VLOOKUP($A65,'Dados ClubeFII'!$A:$AU,column(L65)-$A$5,0),3,100)/1)</f>
        <v>0</v>
      </c>
      <c r="M65" s="41">
        <f>MID(VLOOKUP($A65,'Dados ClubeFII'!$A:$AU,column(M65)-$A$5,0),3,100)/1</f>
        <v>1</v>
      </c>
      <c r="N65" s="41">
        <f>MID(VLOOKUP($A65,'Dados ClubeFII'!$A:$AU,column(N65)-$A$5,0),3,100)/1</f>
        <v>0</v>
      </c>
      <c r="O65" s="41">
        <f>LEFT(VLOOKUP($A65,'Dados ClubeFII'!$A:$AU,column(O65)-$A$5,0),len(VLOOKUP($A65,'Dados ClubeFII'!$A:$AU,column(O65)-$A$5,0))-2)/1</f>
        <v>0</v>
      </c>
      <c r="P65" s="43">
        <f>VLOOKUP($A65,'Dados ClubeFII'!$A:$AU,column(P65)-$A$5,0)</f>
        <v>44980</v>
      </c>
      <c r="Q65" s="44">
        <f>VLOOKUP($A65,'Dados ClubeFII'!$A:$AU,column(Q65)-$A$5,0)/mid(VLOOKUP($A65,'Dados ClubeFII'!$A:$AU,2,0),3,SEARCH(",",VLOOKUP($A65,'Dados ClubeFII'!$A:$AU,2,0)))*B65</f>
        <v>0.1781278689</v>
      </c>
      <c r="R65" s="44">
        <f>VLOOKUP($A65,'Dados ClubeFII'!$A:$AU,column(R65)-$A$5,0)/mid(VLOOKUP($A65,'Dados ClubeFII'!$A:$AU,2,0),3,SEARCH(",",VLOOKUP($A65,'Dados ClubeFII'!$A:$AU,2,0)))*B65</f>
        <v>0.169102459</v>
      </c>
      <c r="S65" s="43">
        <f>VLOOKUP($A65,'Dados ClubeFII'!$A:$AU,column(S65)-$A$5,0)</f>
        <v>43228</v>
      </c>
      <c r="T65" s="41">
        <f>MID(VLOOKUP($A65,'Dados ClubeFII'!$A:$AU,column(T65)-$A$5,0),3,100)/1</f>
        <v>100</v>
      </c>
      <c r="U65" s="45">
        <f>VLOOKUP($A65,'Dados ClubeFII'!$A:$AU,column(U65)-$A$5,0)/mid(VLOOKUP($A65,'Dados ClubeFII'!$A:$AU,2,0),4,SEARCH(",",VLOOKUP($A65,'Dados ClubeFII'!$A:$AU,2,0))-1)*B65</f>
        <v>-2.34815625</v>
      </c>
      <c r="V65" s="42" t="str">
        <f>VLOOKUP($A65,'Dados ClubeFII'!$A:$AU,column(V65)-$A$5,0)</f>
        <v>N/D</v>
      </c>
      <c r="W65" s="43" t="str">
        <f>VLOOKUP($A65,'Dados ClubeFII'!$A:$AU,column(W65)-$A$5,0)</f>
        <v>N/D</v>
      </c>
      <c r="X65" s="45">
        <f>VLOOKUP($A65,'Dados ClubeFII'!$A:$AU,column(X65)-$A$5,0)</f>
        <v>0</v>
      </c>
      <c r="Y65" s="41">
        <f>MID(VLOOKUP($A65,'Dados ClubeFII'!$A:$AU,column(Y65)-$A$5,0),3,100)/1</f>
        <v>123197.37</v>
      </c>
      <c r="Z65" s="46">
        <f>VLOOKUP($A65,'Dados ClubeFII'!$A:$AU,column(Z65)-$A$5,0)</f>
        <v>5683</v>
      </c>
      <c r="AA65" s="47">
        <f t="shared" si="2"/>
        <v>24288311</v>
      </c>
      <c r="AB65" s="48">
        <f t="shared" si="3"/>
        <v>4.014157212</v>
      </c>
      <c r="AC65" s="48"/>
      <c r="AD65" s="48"/>
      <c r="AE65" s="48"/>
    </row>
    <row r="66">
      <c r="A66" s="37" t="s">
        <v>90</v>
      </c>
      <c r="B66" s="38">
        <f>IFERROR(__xludf.DUMMYFUNCTION("GOOGLEFINANCE(A66)"),91.59)</f>
        <v>91.59</v>
      </c>
      <c r="C66" s="38">
        <f>IFERROR(__xludf.DUMMYFUNCTION("GOOGLEFINANCE($A66,""high52"")"),97.99)</f>
        <v>97.99</v>
      </c>
      <c r="D66" s="39">
        <f t="shared" si="4"/>
        <v>-0.06531278702</v>
      </c>
      <c r="E66" s="40" t="str">
        <f>VLOOKUP($A66,'Dados ClubeFII'!$A:$AU,column(E66)-$A$5,0)</f>
        <v>Ourinvest JPP</v>
      </c>
      <c r="F66" s="40" t="str">
        <f>VLOOKUP($A66,'Dados ClubeFII'!$A:$AU,column(F66)-$A$5,0)</f>
        <v>JPP GESTÃO E FATOR ORE</v>
      </c>
      <c r="G66" s="40" t="str">
        <f>VLOOKUP($A66,'Dados ClubeFII'!$A:$AU,column(G66)-$A$5,0)</f>
        <v>Recebíveis Imobiliários</v>
      </c>
      <c r="H66" s="41">
        <f>MID(VLOOKUP($A66,'Dados ClubeFII'!$A:$AU,column(H66)-$A$5,0),3,100)/mid(VLOOKUP($A66,'Dados ClubeFII'!$A:$AU,2,0),4,SEARCH(",",VLOOKUP($A66,'Dados ClubeFII'!$A:$AU,2,0))-1)*B66</f>
        <v>4055252756</v>
      </c>
      <c r="I66" s="41">
        <f>MID(VLOOKUP($A66,'Dados ClubeFII'!$A:$AU,column(I66)-$A$5,0),3,100)/1</f>
        <v>324547926.6</v>
      </c>
      <c r="J66" s="42">
        <f>VLOOKUP($A66,'Dados ClubeFII'!$A:$AU,column(J66)-$A$5,0)/mid(VLOOKUP($A66,'Dados ClubeFII'!$A:$AU,2,0),3,SEARCH(",",VLOOKUP($A66,'Dados ClubeFII'!$A:$AU,2,0)))*B66</f>
        <v>0.9145799876</v>
      </c>
      <c r="K66" s="41">
        <f>if(VLOOKUP($A66,'Dados ClubeFII'!$A:$AU,column(K66)-$A$5,0)="N/D",0,MID(VLOOKUP($A66,'Dados ClubeFII'!$A:$AU,column(K66)-$A$5,0),3,100)/1)/mid(VLOOKUP($A66,'Dados ClubeFII'!$A:$AU,2,0),3,SEARCH(",",VLOOKUP($A66,'Dados ClubeFII'!$A:$AU,2,0)))*B66</f>
        <v>0</v>
      </c>
      <c r="L66" s="41">
        <f>if(VLOOKUP($A66,'Dados ClubeFII'!$A:$AU,column(L66)-$A$5,0)="N/D",0,MID(VLOOKUP($A66,'Dados ClubeFII'!$A:$AU,column(L66)-$A$5,0),3,100)/1)</f>
        <v>0</v>
      </c>
      <c r="M66" s="41">
        <f>MID(VLOOKUP($A66,'Dados ClubeFII'!$A:$AU,column(M66)-$A$5,0),3,100)/1</f>
        <v>1.25</v>
      </c>
      <c r="N66" s="41">
        <f>MID(VLOOKUP($A66,'Dados ClubeFII'!$A:$AU,column(N66)-$A$5,0),3,100)/1</f>
        <v>0</v>
      </c>
      <c r="O66" s="41">
        <f>LEFT(VLOOKUP($A66,'Dados ClubeFII'!$A:$AU,column(O66)-$A$5,0),len(VLOOKUP($A66,'Dados ClubeFII'!$A:$AU,column(O66)-$A$5,0))-2)/1</f>
        <v>0</v>
      </c>
      <c r="P66" s="43">
        <f>VLOOKUP($A66,'Dados ClubeFII'!$A:$AU,column(P66)-$A$5,0)</f>
        <v>44971</v>
      </c>
      <c r="Q66" s="44">
        <f>VLOOKUP($A66,'Dados ClubeFII'!$A:$AU,column(Q66)-$A$5,0)/mid(VLOOKUP($A66,'Dados ClubeFII'!$A:$AU,2,0),3,SEARCH(",",VLOOKUP($A66,'Dados ClubeFII'!$A:$AU,2,0)))*B66</f>
        <v>0.1562328907</v>
      </c>
      <c r="R66" s="44">
        <f>VLOOKUP($A66,'Dados ClubeFII'!$A:$AU,column(R66)-$A$5,0)/mid(VLOOKUP($A66,'Dados ClubeFII'!$A:$AU,2,0),3,SEARCH(",",VLOOKUP($A66,'Dados ClubeFII'!$A:$AU,2,0)))*B66</f>
        <v>0.1493499691</v>
      </c>
      <c r="S66" s="43">
        <f>VLOOKUP($A66,'Dados ClubeFII'!$A:$AU,column(S66)-$A$5,0)</f>
        <v>42922</v>
      </c>
      <c r="T66" s="41">
        <f>MID(VLOOKUP($A66,'Dados ClubeFII'!$A:$AU,column(T66)-$A$5,0),3,100)/1</f>
        <v>100</v>
      </c>
      <c r="U66" s="45">
        <f>VLOOKUP($A66,'Dados ClubeFII'!$A:$AU,column(U66)-$A$5,0)/mid(VLOOKUP($A66,'Dados ClubeFII'!$A:$AU,2,0),4,SEARCH(",",VLOOKUP($A66,'Dados ClubeFII'!$A:$AU,2,0))-1)*B66</f>
        <v>-0.2206369748</v>
      </c>
      <c r="V66" s="42" t="str">
        <f>VLOOKUP($A66,'Dados ClubeFII'!$A:$AU,column(V66)-$A$5,0)</f>
        <v>N/D</v>
      </c>
      <c r="W66" s="43" t="str">
        <f>VLOOKUP($A66,'Dados ClubeFII'!$A:$AU,column(W66)-$A$5,0)</f>
        <v>N/D</v>
      </c>
      <c r="X66" s="45">
        <f>VLOOKUP($A66,'Dados ClubeFII'!$A:$AU,column(X66)-$A$5,0)</f>
        <v>0.0029</v>
      </c>
      <c r="Y66" s="41">
        <f>MID(VLOOKUP($A66,'Dados ClubeFII'!$A:$AU,column(Y66)-$A$5,0),3,100)/1</f>
        <v>974204.95</v>
      </c>
      <c r="Z66" s="46">
        <f>VLOOKUP($A66,'Dados ClubeFII'!$A:$AU,column(Z66)-$A$5,0)</f>
        <v>27005</v>
      </c>
      <c r="AA66" s="47">
        <f t="shared" si="2"/>
        <v>44276151</v>
      </c>
      <c r="AB66" s="48">
        <f t="shared" si="3"/>
        <v>7.330084465</v>
      </c>
      <c r="AC66" s="17"/>
      <c r="AD66" s="17"/>
      <c r="AE66" s="17"/>
    </row>
    <row r="67">
      <c r="A67" s="37" t="s">
        <v>91</v>
      </c>
      <c r="B67" s="38">
        <f>IFERROR(__xludf.DUMMYFUNCTION("GOOGLEFINANCE(A67)"),99.9)</f>
        <v>99.9</v>
      </c>
      <c r="C67" s="38">
        <f>IFERROR(__xludf.DUMMYFUNCTION("GOOGLEFINANCE($A67,""high52"")"),119.56)</f>
        <v>119.56</v>
      </c>
      <c r="D67" s="39">
        <f t="shared" si="4"/>
        <v>-0.1644362663</v>
      </c>
      <c r="E67" s="40" t="str">
        <f>VLOOKUP($A67,'Dados ClubeFII'!$A:$AU,column(E67)-$A$5,0)</f>
        <v>GGR Covepi</v>
      </c>
      <c r="F67" s="40" t="str">
        <f>VLOOKUP($A67,'Dados ClubeFII'!$A:$AU,column(F67)-$A$5,0)</f>
        <v>ZAGROS CAPITAL</v>
      </c>
      <c r="G67" s="40" t="str">
        <f>VLOOKUP($A67,'Dados ClubeFII'!$A:$AU,column(G67)-$A$5,0)</f>
        <v>Logisticos</v>
      </c>
      <c r="H67" s="41">
        <f>MID(VLOOKUP($A67,'Dados ClubeFII'!$A:$AU,COLUMN(H67)-$A$5,0),3,100)/MID(VLOOKUP($A67,'Dados ClubeFII'!$A:$AU,2,0),3,SEARCH(",",VLOOKUP($A67,'Dados ClubeFII'!$A:$AU,2,0)))*B67</f>
        <v>820708152.6</v>
      </c>
      <c r="I67" s="41">
        <f>MID(VLOOKUP($A67,'Dados ClubeFII'!$A:$AU,column(I67)-$A$5,0),3,100)/1</f>
        <v>1015193320</v>
      </c>
      <c r="J67" s="42">
        <f>VLOOKUP($A67,'Dados ClubeFII'!$A:$AU,column(J67)-$A$5,0)/mid(VLOOKUP($A67,'Dados ClubeFII'!$A:$AU,2,0),3,SEARCH(",",VLOOKUP($A67,'Dados ClubeFII'!$A:$AU,2,0)))*B67</f>
        <v>0.8075748503</v>
      </c>
      <c r="K67" s="41">
        <f>if(VLOOKUP($A67,'Dados ClubeFII'!$A:$AU,column(K67)-$A$5,0)="N/D",0,MID(VLOOKUP($A67,'Dados ClubeFII'!$A:$AU,column(K67)-$A$5,0),3,100)/1)/mid(VLOOKUP($A67,'Dados ClubeFII'!$A:$AU,2,0),3,SEARCH(",",VLOOKUP($A67,'Dados ClubeFII'!$A:$AU,2,0)))*B67</f>
        <v>2218.128952</v>
      </c>
      <c r="L67" s="41">
        <f>if(VLOOKUP($A67,'Dados ClubeFII'!$A:$AU,column(L67)-$A$5,0)="N/D",0,MID(VLOOKUP($A67,'Dados ClubeFII'!$A:$AU,column(L67)-$A$5,0),3,100)/1)</f>
        <v>2743.77</v>
      </c>
      <c r="M67" s="41">
        <f>MID(VLOOKUP($A67,'Dados ClubeFII'!$A:$AU,column(M67)-$A$5,0),3,100)/1</f>
        <v>0.95</v>
      </c>
      <c r="N67" s="41">
        <f>MID(VLOOKUP($A67,'Dados ClubeFII'!$A:$AU,column(N67)-$A$5,0),3,100)/1</f>
        <v>20.88</v>
      </c>
      <c r="O67" s="41">
        <f>LEFT(VLOOKUP($A67,'Dados ClubeFII'!$A:$AU,column(O67)-$A$5,0),len(VLOOKUP($A67,'Dados ClubeFII'!$A:$AU,column(O67)-$A$5,0))-2)/1</f>
        <v>370000</v>
      </c>
      <c r="P67" s="43">
        <f>VLOOKUP($A67,'Dados ClubeFII'!$A:$AU,column(P67)-$A$5,0)</f>
        <v>44965</v>
      </c>
      <c r="Q67" s="44">
        <f>VLOOKUP($A67,'Dados ClubeFII'!$A:$AU,column(Q67)-$A$5,0)/mid(VLOOKUP($A67,'Dados ClubeFII'!$A:$AU,2,0),3,SEARCH(",",VLOOKUP($A67,'Dados ClubeFII'!$A:$AU,2,0)))*B67</f>
        <v>0.1183446108</v>
      </c>
      <c r="R67" s="44">
        <f>VLOOKUP($A67,'Dados ClubeFII'!$A:$AU,column(R67)-$A$5,0)/mid(VLOOKUP($A67,'Dados ClubeFII'!$A:$AU,2,0),3,SEARCH(",",VLOOKUP($A67,'Dados ClubeFII'!$A:$AU,2,0)))*B67</f>
        <v>0.1111661677</v>
      </c>
      <c r="S67" s="43">
        <f>VLOOKUP($A67,'Dados ClubeFII'!$A:$AU,column(S67)-$A$5,0)</f>
        <v>42858</v>
      </c>
      <c r="T67" s="41">
        <f>MID(VLOOKUP($A67,'Dados ClubeFII'!$A:$AU,column(T67)-$A$5,0),3,100)/1</f>
        <v>100</v>
      </c>
      <c r="U67" s="45">
        <f>VLOOKUP($A67,'Dados ClubeFII'!$A:$AU,column(U67)-$A$5,0)/mid(VLOOKUP($A67,'Dados ClubeFII'!$A:$AU,2,0),4,SEARCH(",",VLOOKUP($A67,'Dados ClubeFII'!$A:$AU,2,0))-1)*B67</f>
        <v>-63.7362</v>
      </c>
      <c r="V67" s="42">
        <f>VLOOKUP($A67,'Dados ClubeFII'!$A:$AU,column(V67)-$A$5,0)</f>
        <v>0</v>
      </c>
      <c r="W67" s="43">
        <f>VLOOKUP($A67,'Dados ClubeFII'!$A:$AU,column(W67)-$A$5,0)</f>
        <v>44469</v>
      </c>
      <c r="X67" s="45">
        <f>VLOOKUP($A67,'Dados ClubeFII'!$A:$AU,column(X67)-$A$5,0)</f>
        <v>0.0093</v>
      </c>
      <c r="Y67" s="41">
        <f>MID(VLOOKUP($A67,'Dados ClubeFII'!$A:$AU,column(Y67)-$A$5,0),3,100)/1</f>
        <v>2087732.73</v>
      </c>
      <c r="Z67" s="46">
        <f>VLOOKUP($A67,'Dados ClubeFII'!$A:$AU,column(Z67)-$A$5,0)</f>
        <v>102309</v>
      </c>
      <c r="AA67" s="47">
        <f t="shared" si="2"/>
        <v>8215296</v>
      </c>
      <c r="AB67" s="48">
        <f t="shared" si="3"/>
        <v>123.5735535</v>
      </c>
      <c r="AC67" s="48"/>
      <c r="AD67" s="48"/>
      <c r="AE67" s="48"/>
    </row>
    <row r="68">
      <c r="A68" s="49" t="s">
        <v>92</v>
      </c>
      <c r="B68" s="38">
        <f>IFERROR(__xludf.DUMMYFUNCTION("GOOGLEFINANCE(A68)"),123.84)</f>
        <v>123.84</v>
      </c>
      <c r="C68" s="38">
        <f>IFERROR(__xludf.DUMMYFUNCTION("GOOGLEFINANCE($A68,""high52"")"),130.74)</f>
        <v>130.74</v>
      </c>
      <c r="D68" s="39">
        <f t="shared" si="4"/>
        <v>-0.05277650298</v>
      </c>
      <c r="E68" s="40" t="str">
        <f>VLOOKUP($A68,'Dados ClubeFII'!$A:$AU,column(E68)-$A$5,0)</f>
        <v>Rio Bravo Renda Educacional</v>
      </c>
      <c r="F68" s="40" t="str">
        <f>VLOOKUP($A68,'Dados ClubeFII'!$A:$AU,column(F68)-$A$5,0)</f>
        <v>RIO BRAVO</v>
      </c>
      <c r="G68" s="40" t="str">
        <f>VLOOKUP($A68,'Dados ClubeFII'!$A:$AU,column(G68)-$A$5,0)</f>
        <v>Educacional</v>
      </c>
      <c r="H68" s="41">
        <f>MID(VLOOKUP($A68,'Dados ClubeFII'!$A:$AU,column(H68)-$A$5,0),3,100)/mid(VLOOKUP($A68,'Dados ClubeFII'!$A:$AU,2,0),4,SEARCH(",",VLOOKUP($A68,'Dados ClubeFII'!$A:$AU,2,0))-1)*B68</f>
        <v>1942783702</v>
      </c>
      <c r="I68" s="41">
        <f>MID(VLOOKUP($A68,'Dados ClubeFII'!$A:$AU,column(I68)-$A$5,0),3,100)/1</f>
        <v>333340143.4</v>
      </c>
      <c r="J68" s="42">
        <f>VLOOKUP($A68,'Dados ClubeFII'!$A:$AU,column(J68)-$A$5,0)/mid(VLOOKUP($A68,'Dados ClubeFII'!$A:$AU,2,0),3,SEARCH(",",VLOOKUP($A68,'Dados ClubeFII'!$A:$AU,2,0)))*B68</f>
        <v>0.8551611253</v>
      </c>
      <c r="K68" s="41">
        <f>if(VLOOKUP($A68,'Dados ClubeFII'!$A:$AU,column(K68)-$A$5,0)="N/D",0,MID(VLOOKUP($A68,'Dados ClubeFII'!$A:$AU,column(K68)-$A$5,0),3,100)/1)/mid(VLOOKUP($A68,'Dados ClubeFII'!$A:$AU,2,0),3,SEARCH(",",VLOOKUP($A68,'Dados ClubeFII'!$A:$AU,2,0)))*B68</f>
        <v>2458.52489</v>
      </c>
      <c r="L68" s="41">
        <f>if(VLOOKUP($A68,'Dados ClubeFII'!$A:$AU,column(L68)-$A$5,0)="N/D",0,MID(VLOOKUP($A68,'Dados ClubeFII'!$A:$AU,column(L68)-$A$5,0),3,100)/1)</f>
        <v>2860.16</v>
      </c>
      <c r="M68" s="41">
        <f>MID(VLOOKUP($A68,'Dados ClubeFII'!$A:$AU,column(M68)-$A$5,0),3,100)/1</f>
        <v>1.26</v>
      </c>
      <c r="N68" s="41">
        <f>MID(VLOOKUP($A68,'Dados ClubeFII'!$A:$AU,column(N68)-$A$5,0),3,100)/1</f>
        <v>24.97</v>
      </c>
      <c r="O68" s="41">
        <f>LEFT(VLOOKUP($A68,'Dados ClubeFII'!$A:$AU,column(O68)-$A$5,0),len(VLOOKUP($A68,'Dados ClubeFII'!$A:$AU,column(O68)-$A$5,0))-2)/1</f>
        <v>116546</v>
      </c>
      <c r="P68" s="43">
        <f>VLOOKUP($A68,'Dados ClubeFII'!$A:$AU,column(P68)-$A$5,0)</f>
        <v>44971</v>
      </c>
      <c r="Q68" s="44">
        <f>VLOOKUP($A68,'Dados ClubeFII'!$A:$AU,column(Q68)-$A$5,0)/mid(VLOOKUP($A68,'Dados ClubeFII'!$A:$AU,2,0),3,SEARCH(",",VLOOKUP($A68,'Dados ClubeFII'!$A:$AU,2,0)))*B68</f>
        <v>0.1442160614</v>
      </c>
      <c r="R68" s="44">
        <f>VLOOKUP($A68,'Dados ClubeFII'!$A:$AU,column(R68)-$A$5,0)/mid(VLOOKUP($A68,'Dados ClubeFII'!$A:$AU,2,0),3,SEARCH(",",VLOOKUP($A68,'Dados ClubeFII'!$A:$AU,2,0)))*B68</f>
        <v>0.128802046</v>
      </c>
      <c r="S68" s="43">
        <f>VLOOKUP($A68,'Dados ClubeFII'!$A:$AU,column(S68)-$A$5,0)</f>
        <v>40806</v>
      </c>
      <c r="T68" s="41">
        <f>MID(VLOOKUP($A68,'Dados ClubeFII'!$A:$AU,column(T68)-$A$5,0),3,100)/1</f>
        <v>100</v>
      </c>
      <c r="U68" s="45">
        <f>VLOOKUP($A68,'Dados ClubeFII'!$A:$AU,column(U68)-$A$5,0)/mid(VLOOKUP($A68,'Dados ClubeFII'!$A:$AU,2,0),4,SEARCH(",",VLOOKUP($A68,'Dados ClubeFII'!$A:$AU,2,0))-1)*B68</f>
        <v>-0.01216924855</v>
      </c>
      <c r="V68" s="42">
        <f>VLOOKUP($A68,'Dados ClubeFII'!$A:$AU,column(V68)-$A$5,0)</f>
        <v>0</v>
      </c>
      <c r="W68" s="43">
        <f>VLOOKUP($A68,'Dados ClubeFII'!$A:$AU,column(W68)-$A$5,0)</f>
        <v>43069</v>
      </c>
      <c r="X68" s="45">
        <f>VLOOKUP($A68,'Dados ClubeFII'!$A:$AU,column(X68)-$A$5,0)</f>
        <v>0</v>
      </c>
      <c r="Y68" s="41">
        <f>MID(VLOOKUP($A68,'Dados ClubeFII'!$A:$AU,column(Y68)-$A$5,0),3,100)/1</f>
        <v>175593.47</v>
      </c>
      <c r="Z68" s="46">
        <f>VLOOKUP($A68,'Dados ClubeFII'!$A:$AU,column(Z68)-$A$5,0)</f>
        <v>12791</v>
      </c>
      <c r="AA68" s="47">
        <f t="shared" si="2"/>
        <v>15687852</v>
      </c>
      <c r="AB68" s="48">
        <f t="shared" si="3"/>
        <v>21.2482973</v>
      </c>
      <c r="AC68" s="48"/>
      <c r="AD68" s="48"/>
      <c r="AE68" s="48"/>
    </row>
    <row r="69">
      <c r="A69" s="37" t="s">
        <v>93</v>
      </c>
      <c r="B69" s="38">
        <f>IFERROR(__xludf.DUMMYFUNCTION("GOOGLEFINANCE(A69)"),86.81)</f>
        <v>86.81</v>
      </c>
      <c r="C69" s="38">
        <f>IFERROR(__xludf.DUMMYFUNCTION("GOOGLEFINANCE($A69,""high52"")"),98.89)</f>
        <v>98.89</v>
      </c>
      <c r="D69" s="39">
        <f t="shared" si="4"/>
        <v>-0.1221559308</v>
      </c>
      <c r="E69" s="40" t="str">
        <f>VLOOKUP($A69,'Dados ClubeFII'!$A:$AU,column(E69)-$A$5,0)</f>
        <v>Votorantim Logística</v>
      </c>
      <c r="F69" s="40" t="str">
        <f>VLOOKUP($A69,'Dados ClubeFII'!$A:$AU,column(F69)-$A$5,0)</f>
        <v>BV DTVM</v>
      </c>
      <c r="G69" s="40" t="str">
        <f>VLOOKUP($A69,'Dados ClubeFII'!$A:$AU,column(G69)-$A$5,0)</f>
        <v>Logisticos</v>
      </c>
      <c r="H69" s="41">
        <f>MID(VLOOKUP($A69,'Dados ClubeFII'!$A:$AU,COLUMN(H69)-$A$5,0),3,100)/MID(VLOOKUP($A69,'Dados ClubeFII'!$A:$AU,2,0),3,SEARCH(",",VLOOKUP($A69,'Dados ClubeFII'!$A:$AU,2,0)))*B69</f>
        <v>185190436.9</v>
      </c>
      <c r="I69" s="41">
        <f>MID(VLOOKUP($A69,'Dados ClubeFII'!$A:$AU,column(I69)-$A$5,0),3,100)/1</f>
        <v>213026240.9</v>
      </c>
      <c r="J69" s="42">
        <f>VLOOKUP($A69,'Dados ClubeFII'!$A:$AU,column(J69)-$A$5,0)/mid(VLOOKUP($A69,'Dados ClubeFII'!$A:$AU,2,0),3,SEARCH(",",VLOOKUP($A69,'Dados ClubeFII'!$A:$AU,2,0)))*B69</f>
        <v>0.8689887385</v>
      </c>
      <c r="K69" s="41">
        <f>if(VLOOKUP($A69,'Dados ClubeFII'!$A:$AU,column(K69)-$A$5,0)="N/D",0,MID(VLOOKUP($A69,'Dados ClubeFII'!$A:$AU,column(K69)-$A$5,0),3,100)/1)/mid(VLOOKUP($A69,'Dados ClubeFII'!$A:$AU,2,0),3,SEARCH(",",VLOOKUP($A69,'Dados ClubeFII'!$A:$AU,2,0)))*B69</f>
        <v>2764.03593</v>
      </c>
      <c r="L69" s="41">
        <f>if(VLOOKUP($A69,'Dados ClubeFII'!$A:$AU,column(L69)-$A$5,0)="N/D",0,MID(VLOOKUP($A69,'Dados ClubeFII'!$A:$AU,column(L69)-$A$5,0),3,100)/1)</f>
        <v>3179.5</v>
      </c>
      <c r="M69" s="41">
        <f>MID(VLOOKUP($A69,'Dados ClubeFII'!$A:$AU,column(M69)-$A$5,0),3,100)/1</f>
        <v>0.88</v>
      </c>
      <c r="N69" s="41">
        <f>MID(VLOOKUP($A69,'Dados ClubeFII'!$A:$AU,column(N69)-$A$5,0),3,100)/1</f>
        <v>27.78</v>
      </c>
      <c r="O69" s="41">
        <f>LEFT(VLOOKUP($A69,'Dados ClubeFII'!$A:$AU,column(O69)-$A$5,0),len(VLOOKUP($A69,'Dados ClubeFII'!$A:$AU,column(O69)-$A$5,0))-2)/1</f>
        <v>67000</v>
      </c>
      <c r="P69" s="43">
        <f>VLOOKUP($A69,'Dados ClubeFII'!$A:$AU,column(P69)-$A$5,0)</f>
        <v>44965</v>
      </c>
      <c r="Q69" s="44">
        <f>VLOOKUP($A69,'Dados ClubeFII'!$A:$AU,column(Q69)-$A$5,0)/mid(VLOOKUP($A69,'Dados ClubeFII'!$A:$AU,2,0),3,SEARCH(",",VLOOKUP($A69,'Dados ClubeFII'!$A:$AU,2,0)))*B69</f>
        <v>0.1242258901</v>
      </c>
      <c r="R69" s="44">
        <f>VLOOKUP($A69,'Dados ClubeFII'!$A:$AU,column(R69)-$A$5,0)/mid(VLOOKUP($A69,'Dados ClubeFII'!$A:$AU,2,0),3,SEARCH(",",VLOOKUP($A69,'Dados ClubeFII'!$A:$AU,2,0)))*B69</f>
        <v>0.1114873052</v>
      </c>
      <c r="S69" s="43">
        <f>VLOOKUP($A69,'Dados ClubeFII'!$A:$AU,column(S69)-$A$5,0)</f>
        <v>43213</v>
      </c>
      <c r="T69" s="41">
        <f>MID(VLOOKUP($A69,'Dados ClubeFII'!$A:$AU,column(T69)-$A$5,0),3,100)/1</f>
        <v>100</v>
      </c>
      <c r="U69" s="45">
        <f>VLOOKUP($A69,'Dados ClubeFII'!$A:$AU,column(U69)-$A$5,0)/mid(VLOOKUP($A69,'Dados ClubeFII'!$A:$AU,2,0),4,SEARCH(",",VLOOKUP($A69,'Dados ClubeFII'!$A:$AU,2,0))-1)*B69</f>
        <v>-0.5673927939</v>
      </c>
      <c r="V69" s="42">
        <f>VLOOKUP($A69,'Dados ClubeFII'!$A:$AU,column(V69)-$A$5,0)</f>
        <v>0</v>
      </c>
      <c r="W69" s="43">
        <f>VLOOKUP($A69,'Dados ClubeFII'!$A:$AU,column(W69)-$A$5,0)</f>
        <v>44957</v>
      </c>
      <c r="X69" s="45">
        <f>VLOOKUP($A69,'Dados ClubeFII'!$A:$AU,column(X69)-$A$5,0)</f>
        <v>0.0018</v>
      </c>
      <c r="Y69" s="41">
        <f>MID(VLOOKUP($A69,'Dados ClubeFII'!$A:$AU,column(Y69)-$A$5,0),3,100)/1</f>
        <v>189976.51</v>
      </c>
      <c r="Z69" s="46">
        <f>VLOOKUP($A69,'Dados ClubeFII'!$A:$AU,column(Z69)-$A$5,0)</f>
        <v>6280</v>
      </c>
      <c r="AA69" s="47">
        <f t="shared" si="2"/>
        <v>2133284</v>
      </c>
      <c r="AB69" s="48">
        <f t="shared" si="3"/>
        <v>99.85835965</v>
      </c>
      <c r="AC69" s="48"/>
      <c r="AD69" s="48"/>
      <c r="AE69" s="48"/>
    </row>
    <row r="70">
      <c r="A70" s="37" t="s">
        <v>94</v>
      </c>
      <c r="B70" s="38">
        <f>IFERROR(__xludf.DUMMYFUNCTION("GOOGLEFINANCE(A70)"),54.0)</f>
        <v>54</v>
      </c>
      <c r="C70" s="38">
        <f>IFERROR(__xludf.DUMMYFUNCTION("GOOGLEFINANCE($A70,""high52"")"),59.99)</f>
        <v>59.99</v>
      </c>
      <c r="D70" s="39">
        <f t="shared" si="4"/>
        <v>-0.099849975</v>
      </c>
      <c r="E70" s="40" t="str">
        <f>VLOOKUP($A70,'Dados ClubeFII'!$A:$AU,column(E70)-$A$5,0)</f>
        <v>CEO Cyrela Commercial Properties</v>
      </c>
      <c r="F70" s="40" t="str">
        <f>VLOOKUP($A70,'Dados ClubeFII'!$A:$AU,column(F70)-$A$5,0)</f>
        <v/>
      </c>
      <c r="G70" s="40" t="str">
        <f>VLOOKUP($A70,'Dados ClubeFII'!$A:$AU,column(G70)-$A$5,0)</f>
        <v>Lajes Comerciais</v>
      </c>
      <c r="H70" s="41">
        <f>MID(VLOOKUP($A70,'Dados ClubeFII'!$A:$AU,COLUMN(H70)-$A$5,0),3,100)/MID(VLOOKUP($A70,'Dados ClubeFII'!$A:$AU,2,0),3,SEARCH(",",VLOOKUP($A70,'Dados ClubeFII'!$A:$AU,2,0)))*B70</f>
        <v>92903002.87</v>
      </c>
      <c r="I70" s="41">
        <f>MID(VLOOKUP($A70,'Dados ClubeFII'!$A:$AU,column(I70)-$A$5,0),3,100)/1</f>
        <v>142951482.4</v>
      </c>
      <c r="J70" s="42">
        <f>VLOOKUP($A70,'Dados ClubeFII'!$A:$AU,column(J70)-$A$5,0)/mid(VLOOKUP($A70,'Dados ClubeFII'!$A:$AU,2,0),3,SEARCH(",",VLOOKUP($A70,'Dados ClubeFII'!$A:$AU,2,0)))*B70</f>
        <v>0.6523620627</v>
      </c>
      <c r="K70" s="41">
        <f>if(VLOOKUP($A70,'Dados ClubeFII'!$A:$AU,column(K70)-$A$5,0)="N/D",0,MID(VLOOKUP($A70,'Dados ClubeFII'!$A:$AU,column(K70)-$A$5,0),3,100)/1)/mid(VLOOKUP($A70,'Dados ClubeFII'!$A:$AU,2,0),3,SEARCH(",",VLOOKUP($A70,'Dados ClubeFII'!$A:$AU,2,0)))*B70</f>
        <v>7779.524702</v>
      </c>
      <c r="L70" s="41">
        <f>if(VLOOKUP($A70,'Dados ClubeFII'!$A:$AU,column(L70)-$A$5,0)="N/D",0,MID(VLOOKUP($A70,'Dados ClubeFII'!$A:$AU,column(L70)-$A$5,0),3,100)/1)</f>
        <v>11970.49</v>
      </c>
      <c r="M70" s="41">
        <f>MID(VLOOKUP($A70,'Dados ClubeFII'!$A:$AU,column(M70)-$A$5,0),3,100)/1</f>
        <v>0.65</v>
      </c>
      <c r="N70" s="41">
        <f>MID(VLOOKUP($A70,'Dados ClubeFII'!$A:$AU,column(N70)-$A$5,0),3,100)/1</f>
        <v>98.98</v>
      </c>
      <c r="O70" s="41">
        <f>LEFT(VLOOKUP($A70,'Dados ClubeFII'!$A:$AU,column(O70)-$A$5,0),len(VLOOKUP($A70,'Dados ClubeFII'!$A:$AU,column(O70)-$A$5,0))-2)/1</f>
        <v>11941.99</v>
      </c>
      <c r="P70" s="43">
        <f>VLOOKUP($A70,'Dados ClubeFII'!$A:$AU,column(P70)-$A$5,0)</f>
        <v>44971</v>
      </c>
      <c r="Q70" s="44">
        <f>VLOOKUP($A70,'Dados ClubeFII'!$A:$AU,column(Q70)-$A$5,0)/mid(VLOOKUP($A70,'Dados ClubeFII'!$A:$AU,2,0),3,SEARCH(",",VLOOKUP($A70,'Dados ClubeFII'!$A:$AU,2,0)))*B70</f>
        <v>0.1550090155</v>
      </c>
      <c r="R70" s="44">
        <f>VLOOKUP($A70,'Dados ClubeFII'!$A:$AU,column(R70)-$A$5,0)/mid(VLOOKUP($A70,'Dados ClubeFII'!$A:$AU,2,0),3,SEARCH(",",VLOOKUP($A70,'Dados ClubeFII'!$A:$AU,2,0)))*B70</f>
        <v>0.115088352</v>
      </c>
      <c r="S70" s="43">
        <f>VLOOKUP($A70,'Dados ClubeFII'!$A:$AU,column(S70)-$A$5,0)</f>
        <v>41186</v>
      </c>
      <c r="T70" s="41">
        <f>MID(VLOOKUP($A70,'Dados ClubeFII'!$A:$AU,column(T70)-$A$5,0),3,100)/1</f>
        <v>100</v>
      </c>
      <c r="U70" s="45">
        <f>VLOOKUP($A70,'Dados ClubeFII'!$A:$AU,column(U70)-$A$5,0)/mid(VLOOKUP($A70,'Dados ClubeFII'!$A:$AU,2,0),4,SEARCH(",",VLOOKUP($A70,'Dados ClubeFII'!$A:$AU,2,0))-1)*B70</f>
        <v>-0.3085714286</v>
      </c>
      <c r="V70" s="42">
        <f>VLOOKUP($A70,'Dados ClubeFII'!$A:$AU,column(V70)-$A$5,0)</f>
        <v>0</v>
      </c>
      <c r="W70" s="43">
        <f>VLOOKUP($A70,'Dados ClubeFII'!$A:$AU,column(W70)-$A$5,0)</f>
        <v>42552</v>
      </c>
      <c r="X70" s="45">
        <f>VLOOKUP($A70,'Dados ClubeFII'!$A:$AU,column(X70)-$A$5,0)</f>
        <v>0</v>
      </c>
      <c r="Y70" s="41">
        <f>MID(VLOOKUP($A70,'Dados ClubeFII'!$A:$AU,column(Y70)-$A$5,0),3,100)/1</f>
        <v>28375.25</v>
      </c>
      <c r="Z70" s="46">
        <f>VLOOKUP($A70,'Dados ClubeFII'!$A:$AU,column(Z70)-$A$5,0)</f>
        <v>4928</v>
      </c>
      <c r="AA70" s="47">
        <f t="shared" si="2"/>
        <v>1720425</v>
      </c>
      <c r="AB70" s="48">
        <f t="shared" si="3"/>
        <v>83.09079581</v>
      </c>
      <c r="AC70" s="48"/>
      <c r="AD70" s="48"/>
      <c r="AE70" s="48"/>
    </row>
    <row r="71">
      <c r="A71" s="49" t="s">
        <v>95</v>
      </c>
      <c r="B71" s="38">
        <f>IFERROR(__xludf.DUMMYFUNCTION("GOOGLEFINANCE(A71)"),64.85)</f>
        <v>64.85</v>
      </c>
      <c r="C71" s="38">
        <f>IFERROR(__xludf.DUMMYFUNCTION("GOOGLEFINANCE($A71,""high52"")"),86.32)</f>
        <v>86.32</v>
      </c>
      <c r="D71" s="39">
        <f t="shared" si="4"/>
        <v>-0.2487256719</v>
      </c>
      <c r="E71" s="40" t="str">
        <f>VLOOKUP($A71,'Dados ClubeFII'!$A:$AU,column(E71)-$A$5,0)</f>
        <v>REC Logística</v>
      </c>
      <c r="F71" s="40" t="str">
        <f>VLOOKUP($A71,'Dados ClubeFII'!$A:$AU,column(F71)-$A$5,0)</f>
        <v>REC</v>
      </c>
      <c r="G71" s="40" t="str">
        <f>VLOOKUP($A71,'Dados ClubeFII'!$A:$AU,column(G71)-$A$5,0)</f>
        <v>Logisticos</v>
      </c>
      <c r="H71" s="41">
        <f>MID(VLOOKUP($A71,'Dados ClubeFII'!$A:$AU,COLUMN(H71)-$A$5,0),3,100)/MID(VLOOKUP($A71,'Dados ClubeFII'!$A:$AU,2,0),3,SEARCH(",",VLOOKUP($A71,'Dados ClubeFII'!$A:$AU,2,0)))*B71</f>
        <v>86314710.18</v>
      </c>
      <c r="I71" s="41">
        <f>MID(VLOOKUP($A71,'Dados ClubeFII'!$A:$AU,column(I71)-$A$5,0),3,100)/1</f>
        <v>162678938.7</v>
      </c>
      <c r="J71" s="42">
        <f>VLOOKUP($A71,'Dados ClubeFII'!$A:$AU,column(J71)-$A$5,0)/mid(VLOOKUP($A71,'Dados ClubeFII'!$A:$AU,2,0),3,SEARCH(",",VLOOKUP($A71,'Dados ClubeFII'!$A:$AU,2,0)))*B71</f>
        <v>0.5298351881</v>
      </c>
      <c r="K71" s="41">
        <f>if(VLOOKUP($A71,'Dados ClubeFII'!$A:$AU,column(K71)-$A$5,0)="N/D",0,MID(VLOOKUP($A71,'Dados ClubeFII'!$A:$AU,column(K71)-$A$5,0),3,100)/1)/mid(VLOOKUP($A71,'Dados ClubeFII'!$A:$AU,2,0),3,SEARCH(",",VLOOKUP($A71,'Dados ClubeFII'!$A:$AU,2,0)))*B71</f>
        <v>887.1176715</v>
      </c>
      <c r="L71" s="41">
        <f>if(VLOOKUP($A71,'Dados ClubeFII'!$A:$AU,column(L71)-$A$5,0)="N/D",0,MID(VLOOKUP($A71,'Dados ClubeFII'!$A:$AU,column(L71)-$A$5,0),3,100)/1)</f>
        <v>1671.97</v>
      </c>
      <c r="M71" s="41">
        <f>MID(VLOOKUP($A71,'Dados ClubeFII'!$A:$AU,column(M71)-$A$5,0),3,100)/1</f>
        <v>0.7</v>
      </c>
      <c r="N71" s="41">
        <f>MID(VLOOKUP($A71,'Dados ClubeFII'!$A:$AU,column(N71)-$A$5,0),3,100)/1</f>
        <v>9.6</v>
      </c>
      <c r="O71" s="41">
        <f>LEFT(VLOOKUP($A71,'Dados ClubeFII'!$A:$AU,column(O71)-$A$5,0),len(VLOOKUP($A71,'Dados ClubeFII'!$A:$AU,column(O71)-$A$5,0))-2)/1</f>
        <v>97298</v>
      </c>
      <c r="P71" s="43">
        <f>VLOOKUP($A71,'Dados ClubeFII'!$A:$AU,column(P71)-$A$5,0)</f>
        <v>44971</v>
      </c>
      <c r="Q71" s="44">
        <f>VLOOKUP($A71,'Dados ClubeFII'!$A:$AU,column(Q71)-$A$5,0)/mid(VLOOKUP($A71,'Dados ClubeFII'!$A:$AU,2,0),3,SEARCH(",",VLOOKUP($A71,'Dados ClubeFII'!$A:$AU,2,0)))*B71</f>
        <v>0.1144626708</v>
      </c>
      <c r="R71" s="44">
        <f>VLOOKUP($A71,'Dados ClubeFII'!$A:$AU,column(R71)-$A$5,0)/mid(VLOOKUP($A71,'Dados ClubeFII'!$A:$AU,2,0),3,SEARCH(",",VLOOKUP($A71,'Dados ClubeFII'!$A:$AU,2,0)))*B71</f>
        <v>0.1210399352</v>
      </c>
      <c r="S71" s="43" t="str">
        <f>VLOOKUP($A71,'Dados ClubeFII'!$A:$AU,column(S71)-$A$5,0)</f>
        <v>N/D</v>
      </c>
      <c r="T71" s="41">
        <f>MID(VLOOKUP($A71,'Dados ClubeFII'!$A:$AU,column(T71)-$A$5,0),3,100)/1</f>
        <v>100</v>
      </c>
      <c r="U71" s="45">
        <f>VLOOKUP($A71,'Dados ClubeFII'!$A:$AU,column(U71)-$A$5,0)/mid(VLOOKUP($A71,'Dados ClubeFII'!$A:$AU,2,0),4,SEARCH(",",VLOOKUP($A71,'Dados ClubeFII'!$A:$AU,2,0))-1)*B71</f>
        <v>-1.99790404</v>
      </c>
      <c r="V71" s="42">
        <f>VLOOKUP($A71,'Dados ClubeFII'!$A:$AU,column(V71)-$A$5,0)</f>
        <v>0.121</v>
      </c>
      <c r="W71" s="43">
        <f>VLOOKUP($A71,'Dados ClubeFII'!$A:$AU,column(W71)-$A$5,0)</f>
        <v>44957</v>
      </c>
      <c r="X71" s="45">
        <f>VLOOKUP($A71,'Dados ClubeFII'!$A:$AU,column(X71)-$A$5,0)</f>
        <v>0.0009</v>
      </c>
      <c r="Y71" s="41">
        <f>MID(VLOOKUP($A71,'Dados ClubeFII'!$A:$AU,column(Y71)-$A$5,0),3,100)/1</f>
        <v>82613.67</v>
      </c>
      <c r="Z71" s="46">
        <f>VLOOKUP($A71,'Dados ClubeFII'!$A:$AU,column(Z71)-$A$5,0)</f>
        <v>7634</v>
      </c>
      <c r="AA71" s="47">
        <f t="shared" si="2"/>
        <v>1330990</v>
      </c>
      <c r="AB71" s="48">
        <f t="shared" si="3"/>
        <v>122.2240127</v>
      </c>
      <c r="AC71" s="48"/>
      <c r="AD71" s="48"/>
      <c r="AE71" s="48"/>
    </row>
    <row r="72">
      <c r="A72" s="37" t="s">
        <v>96</v>
      </c>
      <c r="B72" s="38" t="str">
        <f>IFERROR(__xludf.DUMMYFUNCTION("GOOGLEFINANCE(A72)"),"#N/A")</f>
        <v>#N/A</v>
      </c>
      <c r="C72" s="38" t="str">
        <f>IFERROR(__xludf.DUMMYFUNCTION("GOOGLEFINANCE($A72,""high52"")"),"#N/A")</f>
        <v>#N/A</v>
      </c>
      <c r="D72" s="39" t="str">
        <f t="shared" si="4"/>
        <v>#N/A</v>
      </c>
      <c r="E72" s="40" t="str">
        <f>VLOOKUP($A72,'Dados ClubeFII'!$A:$AU,column(E72)-$A$5,0)</f>
        <v>#N/A</v>
      </c>
      <c r="F72" s="40" t="str">
        <f>VLOOKUP($A72,'Dados ClubeFII'!$A:$AU,column(F72)-$A$5,0)</f>
        <v>#N/A</v>
      </c>
      <c r="G72" s="40" t="str">
        <f>VLOOKUP($A72,'Dados ClubeFII'!$A:$AU,column(G72)-$A$5,0)</f>
        <v>#N/A</v>
      </c>
      <c r="H72" s="41" t="str">
        <f>MID(VLOOKUP($A72,'Dados ClubeFII'!$A:$AU,column(H72)-$A$5,0),3,100)/mid(VLOOKUP($A72,'Dados ClubeFII'!$A:$AU,2,0),4,SEARCH(",",VLOOKUP($A72,'Dados ClubeFII'!$A:$AU,2,0))-1)*B72</f>
        <v>#N/A</v>
      </c>
      <c r="I72" s="41" t="str">
        <f>MID(VLOOKUP($A72,'Dados ClubeFII'!$A:$AU,column(I72)-$A$5,0),3,100)/1</f>
        <v>#N/A</v>
      </c>
      <c r="J72" s="42" t="str">
        <f>VLOOKUP($A72,'Dados ClubeFII'!$A:$AU,column(J72)-$A$5,0)/mid(VLOOKUP($A72,'Dados ClubeFII'!$A:$AU,2,0),3,SEARCH(",",VLOOKUP($A72,'Dados ClubeFII'!$A:$AU,2,0)))*B72</f>
        <v>#N/A</v>
      </c>
      <c r="K72" s="41" t="str">
        <f>if(VLOOKUP($A72,'Dados ClubeFII'!$A:$AU,column(K72)-$A$5,0)="N/D",0,MID(VLOOKUP($A72,'Dados ClubeFII'!$A:$AU,column(K72)-$A$5,0),3,100)/1)/mid(VLOOKUP($A72,'Dados ClubeFII'!$A:$AU,2,0),3,SEARCH(",",VLOOKUP($A72,'Dados ClubeFII'!$A:$AU,2,0)))*B72</f>
        <v>#N/A</v>
      </c>
      <c r="L72" s="41" t="str">
        <f>if(VLOOKUP($A72,'Dados ClubeFII'!$A:$AU,column(L72)-$A$5,0)="N/D",0,MID(VLOOKUP($A72,'Dados ClubeFII'!$A:$AU,column(L72)-$A$5,0),3,100)/1)</f>
        <v>#N/A</v>
      </c>
      <c r="M72" s="41" t="str">
        <f>MID(VLOOKUP($A72,'Dados ClubeFII'!$A:$AU,column(M72)-$A$5,0),3,100)/1</f>
        <v>#N/A</v>
      </c>
      <c r="N72" s="41" t="str">
        <f>MID(VLOOKUP($A72,'Dados ClubeFII'!$A:$AU,column(N72)-$A$5,0),3,100)/1</f>
        <v>#N/A</v>
      </c>
      <c r="O72" s="41" t="str">
        <f>LEFT(VLOOKUP($A72,'Dados ClubeFII'!$A:$AU,column(O72)-$A$5,0),len(VLOOKUP($A72,'Dados ClubeFII'!$A:$AU,column(O72)-$A$5,0))-2)/1</f>
        <v>#N/A</v>
      </c>
      <c r="P72" s="43" t="str">
        <f>VLOOKUP($A72,'Dados ClubeFII'!$A:$AU,column(P72)-$A$5,0)</f>
        <v>#N/A</v>
      </c>
      <c r="Q72" s="44" t="str">
        <f>VLOOKUP($A72,'Dados ClubeFII'!$A:$AU,column(Q72)-$A$5,0)/mid(VLOOKUP($A72,'Dados ClubeFII'!$A:$AU,2,0),3,SEARCH(",",VLOOKUP($A72,'Dados ClubeFII'!$A:$AU,2,0)))*B72</f>
        <v>#N/A</v>
      </c>
      <c r="R72" s="44" t="str">
        <f>VLOOKUP($A72,'Dados ClubeFII'!$A:$AU,column(R72)-$A$5,0)/mid(VLOOKUP($A72,'Dados ClubeFII'!$A:$AU,2,0),3,SEARCH(",",VLOOKUP($A72,'Dados ClubeFII'!$A:$AU,2,0)))*B72</f>
        <v>#N/A</v>
      </c>
      <c r="S72" s="43" t="str">
        <f>VLOOKUP($A72,'Dados ClubeFII'!$A:$AU,column(S72)-$A$5,0)</f>
        <v>#N/A</v>
      </c>
      <c r="T72" s="41" t="str">
        <f>MID(VLOOKUP($A72,'Dados ClubeFII'!$A:$AU,column(T72)-$A$5,0),3,100)/1</f>
        <v>#N/A</v>
      </c>
      <c r="U72" s="45" t="str">
        <f>VLOOKUP($A72,'Dados ClubeFII'!$A:$AU,column(U72)-$A$5,0)/mid(VLOOKUP($A72,'Dados ClubeFII'!$A:$AU,2,0),4,SEARCH(",",VLOOKUP($A72,'Dados ClubeFII'!$A:$AU,2,0))-1)*B72</f>
        <v>#N/A</v>
      </c>
      <c r="V72" s="42" t="str">
        <f>VLOOKUP($A72,'Dados ClubeFII'!$A:$AU,column(V72)-$A$5,0)</f>
        <v>#N/A</v>
      </c>
      <c r="W72" s="43" t="str">
        <f>VLOOKUP($A72,'Dados ClubeFII'!$A:$AU,column(W72)-$A$5,0)</f>
        <v>#N/A</v>
      </c>
      <c r="X72" s="45" t="str">
        <f>VLOOKUP($A72,'Dados ClubeFII'!$A:$AU,column(X72)-$A$5,0)</f>
        <v>#N/A</v>
      </c>
      <c r="Y72" s="41" t="str">
        <f>MID(VLOOKUP($A72,'Dados ClubeFII'!$A:$AU,column(Y72)-$A$5,0),3,100)/1</f>
        <v>#N/A</v>
      </c>
      <c r="Z72" s="40" t="str">
        <f>VLOOKUP($A72,'Dados ClubeFII'!$A:$AU,column(Z72)-$A$5,0)</f>
        <v>#N/A</v>
      </c>
      <c r="AA72" s="47" t="str">
        <f t="shared" si="2"/>
        <v>#N/A</v>
      </c>
      <c r="AB72" s="48" t="str">
        <f t="shared" si="3"/>
        <v>#N/A</v>
      </c>
      <c r="AC72" s="56"/>
      <c r="AD72" s="56"/>
      <c r="AE72" s="56"/>
    </row>
    <row r="73">
      <c r="A73" s="37" t="s">
        <v>97</v>
      </c>
      <c r="B73" s="38">
        <f>IFERROR(__xludf.DUMMYFUNCTION("GOOGLEFINANCE(A73)"),57.7)</f>
        <v>57.7</v>
      </c>
      <c r="C73" s="38">
        <f>IFERROR(__xludf.DUMMYFUNCTION("GOOGLEFINANCE($A73,""high52"")"),75.62)</f>
        <v>75.62</v>
      </c>
      <c r="D73" s="39">
        <f t="shared" si="4"/>
        <v>-0.2369743454</v>
      </c>
      <c r="E73" s="40" t="str">
        <f>VLOOKUP($A73,'Dados ClubeFII'!$A:$AU,column(E73)-$A$5,0)</f>
        <v>Mérito Fundos e Ações Imobiliárias</v>
      </c>
      <c r="F73" s="40" t="str">
        <f>VLOOKUP($A73,'Dados ClubeFII'!$A:$AU,column(F73)-$A$5,0)</f>
        <v>MÉRITO INVESTIMENTOS</v>
      </c>
      <c r="G73" s="40" t="str">
        <f>VLOOKUP($A73,'Dados ClubeFII'!$A:$AU,column(G73)-$A$5,0)</f>
        <v>Fundo de Fundos</v>
      </c>
      <c r="H73" s="41">
        <f>MID(VLOOKUP($A73,'Dados ClubeFII'!$A:$AU,column(H73)-$A$5,0),3,100)/mid(VLOOKUP($A73,'Dados ClubeFII'!$A:$AU,2,0),4,SEARCH(",",VLOOKUP($A73,'Dados ClubeFII'!$A:$AU,2,0))-1)*B73</f>
        <v>142606535.4</v>
      </c>
      <c r="I73" s="41">
        <f>MID(VLOOKUP($A73,'Dados ClubeFII'!$A:$AU,column(I73)-$A$5,0),3,100)/1</f>
        <v>21679671.82</v>
      </c>
      <c r="J73" s="42">
        <f>VLOOKUP($A73,'Dados ClubeFII'!$A:$AU,column(J73)-$A$5,0)/mid(VLOOKUP($A73,'Dados ClubeFII'!$A:$AU,2,0),3,SEARCH(",",VLOOKUP($A73,'Dados ClubeFII'!$A:$AU,2,0)))*B73</f>
        <v>0.8356482289</v>
      </c>
      <c r="K73" s="41">
        <f>if(VLOOKUP($A73,'Dados ClubeFII'!$A:$AU,column(K73)-$A$5,0)="N/D",0,MID(VLOOKUP($A73,'Dados ClubeFII'!$A:$AU,column(K73)-$A$5,0),3,100)/1)/mid(VLOOKUP($A73,'Dados ClubeFII'!$A:$AU,2,0),3,SEARCH(",",VLOOKUP($A73,'Dados ClubeFII'!$A:$AU,2,0)))*B73</f>
        <v>0</v>
      </c>
      <c r="L73" s="41">
        <f>if(VLOOKUP($A73,'Dados ClubeFII'!$A:$AU,column(L73)-$A$5,0)="N/D",0,MID(VLOOKUP($A73,'Dados ClubeFII'!$A:$AU,column(L73)-$A$5,0),3,100)/1)</f>
        <v>0</v>
      </c>
      <c r="M73" s="41">
        <f>MID(VLOOKUP($A73,'Dados ClubeFII'!$A:$AU,column(M73)-$A$5,0),3,100)/1</f>
        <v>0.58</v>
      </c>
      <c r="N73" s="41">
        <f>MID(VLOOKUP($A73,'Dados ClubeFII'!$A:$AU,column(N73)-$A$5,0),3,100)/1</f>
        <v>0</v>
      </c>
      <c r="O73" s="41">
        <f>LEFT(VLOOKUP($A73,'Dados ClubeFII'!$A:$AU,column(O73)-$A$5,0),len(VLOOKUP($A73,'Dados ClubeFII'!$A:$AU,column(O73)-$A$5,0))-2)/1</f>
        <v>0</v>
      </c>
      <c r="P73" s="43">
        <f>VLOOKUP($A73,'Dados ClubeFII'!$A:$AU,column(P73)-$A$5,0)</f>
        <v>44971</v>
      </c>
      <c r="Q73" s="44">
        <f>VLOOKUP($A73,'Dados ClubeFII'!$A:$AU,column(Q73)-$A$5,0)/mid(VLOOKUP($A73,'Dados ClubeFII'!$A:$AU,2,0),3,SEARCH(",",VLOOKUP($A73,'Dados ClubeFII'!$A:$AU,2,0)))*B73</f>
        <v>0.1296764962</v>
      </c>
      <c r="R73" s="44">
        <f>VLOOKUP($A73,'Dados ClubeFII'!$A:$AU,column(R73)-$A$5,0)/mid(VLOOKUP($A73,'Dados ClubeFII'!$A:$AU,2,0),3,SEARCH(",",VLOOKUP($A73,'Dados ClubeFII'!$A:$AU,2,0)))*B73</f>
        <v>0.1398452277</v>
      </c>
      <c r="S73" s="43">
        <f>VLOOKUP($A73,'Dados ClubeFII'!$A:$AU,column(S73)-$A$5,0)</f>
        <v>44018</v>
      </c>
      <c r="T73" s="41">
        <f>MID(VLOOKUP($A73,'Dados ClubeFII'!$A:$AU,column(T73)-$A$5,0),3,100)/1</f>
        <v>100</v>
      </c>
      <c r="U73" s="45">
        <f>VLOOKUP($A73,'Dados ClubeFII'!$A:$AU,column(U73)-$A$5,0)/mid(VLOOKUP($A73,'Dados ClubeFII'!$A:$AU,2,0),4,SEARCH(",",VLOOKUP($A73,'Dados ClubeFII'!$A:$AU,2,0))-1)*B73</f>
        <v>-0.1168207934</v>
      </c>
      <c r="V73" s="42" t="str">
        <f>VLOOKUP($A73,'Dados ClubeFII'!$A:$AU,column(V73)-$A$5,0)</f>
        <v>N/D</v>
      </c>
      <c r="W73" s="43" t="str">
        <f>VLOOKUP($A73,'Dados ClubeFII'!$A:$AU,column(W73)-$A$5,0)</f>
        <v>N/D</v>
      </c>
      <c r="X73" s="45">
        <f>VLOOKUP($A73,'Dados ClubeFII'!$A:$AU,column(X73)-$A$5,0)</f>
        <v>0</v>
      </c>
      <c r="Y73" s="41">
        <f>MID(VLOOKUP($A73,'Dados ClubeFII'!$A:$AU,column(Y73)-$A$5,0),3,100)/1</f>
        <v>15774.54</v>
      </c>
      <c r="Z73" s="46">
        <f>VLOOKUP($A73,'Dados ClubeFII'!$A:$AU,column(Z73)-$A$5,0)</f>
        <v>3518</v>
      </c>
      <c r="AA73" s="47">
        <f t="shared" si="2"/>
        <v>2471517</v>
      </c>
      <c r="AB73" s="48">
        <f t="shared" si="3"/>
        <v>8.771807687</v>
      </c>
      <c r="AC73" s="17"/>
      <c r="AD73" s="17"/>
      <c r="AE73" s="17"/>
    </row>
    <row r="74">
      <c r="A74" s="37" t="s">
        <v>98</v>
      </c>
      <c r="B74" s="38">
        <f>IFERROR(__xludf.DUMMYFUNCTION("GOOGLEFINANCE(A74)"),92.61)</f>
        <v>92.61</v>
      </c>
      <c r="C74" s="38">
        <f>IFERROR(__xludf.DUMMYFUNCTION("GOOGLEFINANCE($A74,""high52"")"),103.5)</f>
        <v>103.5</v>
      </c>
      <c r="D74" s="39">
        <f t="shared" si="4"/>
        <v>-0.1052173913</v>
      </c>
      <c r="E74" s="40" t="str">
        <f>VLOOKUP($A74,'Dados ClubeFII'!$A:$AU,column(E74)-$A$5,0)</f>
        <v>Multi Renda Urbana</v>
      </c>
      <c r="F74" s="40" t="str">
        <f>VLOOKUP($A74,'Dados ClubeFII'!$A:$AU,column(F74)-$A$5,0)</f>
        <v>BRL TRUST</v>
      </c>
      <c r="G74" s="40" t="str">
        <f>VLOOKUP($A74,'Dados ClubeFII'!$A:$AU,column(G74)-$A$5,0)</f>
        <v>Lajes Comerciais</v>
      </c>
      <c r="H74" s="41">
        <f>MID(VLOOKUP($A74,'Dados ClubeFII'!$A:$AU,COLUMN(H74)-$A$5,0),3,100)/MID(VLOOKUP($A74,'Dados ClubeFII'!$A:$AU,2,0),3,SEARCH(",",VLOOKUP($A74,'Dados ClubeFII'!$A:$AU,2,0)))*B74</f>
        <v>259615256.5</v>
      </c>
      <c r="I74" s="41">
        <f>MID(VLOOKUP($A74,'Dados ClubeFII'!$A:$AU,column(I74)-$A$5,0),3,100)/1</f>
        <v>313796960.5</v>
      </c>
      <c r="J74" s="42">
        <f>VLOOKUP($A74,'Dados ClubeFII'!$A:$AU,column(J74)-$A$5,0)/mid(VLOOKUP($A74,'Dados ClubeFII'!$A:$AU,2,0),3,SEARCH(",",VLOOKUP($A74,'Dados ClubeFII'!$A:$AU,2,0)))*B74</f>
        <v>0.8232914768</v>
      </c>
      <c r="K74" s="41">
        <f>if(VLOOKUP($A74,'Dados ClubeFII'!$A:$AU,column(K74)-$A$5,0)="N/D",0,MID(VLOOKUP($A74,'Dados ClubeFII'!$A:$AU,column(K74)-$A$5,0),3,100)/1)/mid(VLOOKUP($A74,'Dados ClubeFII'!$A:$AU,2,0),3,SEARCH(",",VLOOKUP($A74,'Dados ClubeFII'!$A:$AU,2,0)))*B74</f>
        <v>7918.715867</v>
      </c>
      <c r="L74" s="41">
        <f>if(VLOOKUP($A74,'Dados ClubeFII'!$A:$AU,column(L74)-$A$5,0)="N/D",0,MID(VLOOKUP($A74,'Dados ClubeFII'!$A:$AU,column(L74)-$A$5,0),3,100)/1)</f>
        <v>9571.36</v>
      </c>
      <c r="M74" s="41">
        <f>MID(VLOOKUP($A74,'Dados ClubeFII'!$A:$AU,column(M74)-$A$5,0),3,100)/1</f>
        <v>0.63</v>
      </c>
      <c r="N74" s="41">
        <f>MID(VLOOKUP($A74,'Dados ClubeFII'!$A:$AU,column(N74)-$A$5,0),3,100)/1</f>
        <v>53.18</v>
      </c>
      <c r="O74" s="41">
        <f>LEFT(VLOOKUP($A74,'Dados ClubeFII'!$A:$AU,column(O74)-$A$5,0),len(VLOOKUP($A74,'Dados ClubeFII'!$A:$AU,column(O74)-$A$5,0))-2)/1</f>
        <v>32785</v>
      </c>
      <c r="P74" s="43">
        <f>VLOOKUP($A74,'Dados ClubeFII'!$A:$AU,column(P74)-$A$5,0)</f>
        <v>44971</v>
      </c>
      <c r="Q74" s="44">
        <f>VLOOKUP($A74,'Dados ClubeFII'!$A:$AU,column(Q74)-$A$5,0)/mid(VLOOKUP($A74,'Dados ClubeFII'!$A:$AU,2,0),3,SEARCH(",",VLOOKUP($A74,'Dados ClubeFII'!$A:$AU,2,0)))*B74</f>
        <v>0.08870965663</v>
      </c>
      <c r="R74" s="44">
        <f>VLOOKUP($A74,'Dados ClubeFII'!$A:$AU,column(R74)-$A$5,0)/mid(VLOOKUP($A74,'Dados ClubeFII'!$A:$AU,2,0),3,SEARCH(",",VLOOKUP($A74,'Dados ClubeFII'!$A:$AU,2,0)))*B74</f>
        <v>0.09107661962</v>
      </c>
      <c r="S74" s="43">
        <f>VLOOKUP($A74,'Dados ClubeFII'!$A:$AU,column(S74)-$A$5,0)</f>
        <v>43969</v>
      </c>
      <c r="T74" s="41">
        <f>MID(VLOOKUP($A74,'Dados ClubeFII'!$A:$AU,column(T74)-$A$5,0),3,100)/1</f>
        <v>100</v>
      </c>
      <c r="U74" s="45">
        <f>VLOOKUP($A74,'Dados ClubeFII'!$A:$AU,column(U74)-$A$5,0)/mid(VLOOKUP($A74,'Dados ClubeFII'!$A:$AU,2,0),4,SEARCH(",",VLOOKUP($A74,'Dados ClubeFII'!$A:$AU,2,0))-1)*B74</f>
        <v>0.5404567568</v>
      </c>
      <c r="V74" s="42">
        <f>VLOOKUP($A74,'Dados ClubeFII'!$A:$AU,column(V74)-$A$5,0)</f>
        <v>0.0283</v>
      </c>
      <c r="W74" s="43" t="str">
        <f>VLOOKUP($A74,'Dados ClubeFII'!$A:$AU,column(W74)-$A$5,0)</f>
        <v>N/D</v>
      </c>
      <c r="X74" s="45">
        <f>VLOOKUP($A74,'Dados ClubeFII'!$A:$AU,column(X74)-$A$5,0)</f>
        <v>0</v>
      </c>
      <c r="Y74" s="41">
        <f>MID(VLOOKUP($A74,'Dados ClubeFII'!$A:$AU,column(Y74)-$A$5,0),3,100)/1</f>
        <v>57164.93</v>
      </c>
      <c r="Z74" s="46">
        <f>VLOOKUP($A74,'Dados ClubeFII'!$A:$AU,column(Z74)-$A$5,0)</f>
        <v>1265</v>
      </c>
      <c r="AA74" s="47">
        <f t="shared" si="2"/>
        <v>2803317</v>
      </c>
      <c r="AB74" s="48">
        <f t="shared" si="3"/>
        <v>111.9377368</v>
      </c>
      <c r="AC74" s="48"/>
      <c r="AD74" s="48"/>
      <c r="AE74" s="48"/>
    </row>
    <row r="75">
      <c r="A75" s="37" t="s">
        <v>99</v>
      </c>
      <c r="B75" s="38">
        <f>IFERROR(__xludf.DUMMYFUNCTION("GOOGLEFINANCE(A75)"),85.67)</f>
        <v>85.67</v>
      </c>
      <c r="C75" s="38">
        <f>IFERROR(__xludf.DUMMYFUNCTION("GOOGLEFINANCE($A75,""high52"")"),93.06)</f>
        <v>93.06</v>
      </c>
      <c r="D75" s="39">
        <f t="shared" si="4"/>
        <v>-0.0794111326</v>
      </c>
      <c r="E75" s="40" t="str">
        <f>VLOOKUP($A75,'Dados ClubeFII'!$A:$AU,column(E75)-$A$5,0)</f>
        <v>RBR Rendimentos High Grade</v>
      </c>
      <c r="F75" s="40" t="str">
        <f>VLOOKUP($A75,'Dados ClubeFII'!$A:$AU,column(F75)-$A$5,0)</f>
        <v>RBR GESTÃO</v>
      </c>
      <c r="G75" s="40" t="str">
        <f>VLOOKUP($A75,'Dados ClubeFII'!$A:$AU,column(G75)-$A$5,0)</f>
        <v>Recebíveis Imobiliários</v>
      </c>
      <c r="H75" s="41">
        <f>MID(VLOOKUP($A75,'Dados ClubeFII'!$A:$AU,column(H75)-$A$5,0),3,100)/mid(VLOOKUP($A75,'Dados ClubeFII'!$A:$AU,2,0),4,SEARCH(",",VLOOKUP($A75,'Dados ClubeFII'!$A:$AU,2,0))-1)*B75</f>
        <v>30816643351</v>
      </c>
      <c r="I75" s="41">
        <f>MID(VLOOKUP($A75,'Dados ClubeFII'!$A:$AU,column(I75)-$A$5,0),3,100)/1</f>
        <v>1269607819</v>
      </c>
      <c r="J75" s="42">
        <f>VLOOKUP($A75,'Dados ClubeFII'!$A:$AU,column(J75)-$A$5,0)/mid(VLOOKUP($A75,'Dados ClubeFII'!$A:$AU,2,0),3,SEARCH(",",VLOOKUP($A75,'Dados ClubeFII'!$A:$AU,2,0)))*B75</f>
        <v>0.9270530239</v>
      </c>
      <c r="K75" s="41">
        <f>if(VLOOKUP($A75,'Dados ClubeFII'!$A:$AU,column(K75)-$A$5,0)="N/D",0,MID(VLOOKUP($A75,'Dados ClubeFII'!$A:$AU,column(K75)-$A$5,0),3,100)/1)/mid(VLOOKUP($A75,'Dados ClubeFII'!$A:$AU,2,0),3,SEARCH(",",VLOOKUP($A75,'Dados ClubeFII'!$A:$AU,2,0)))*B75</f>
        <v>0</v>
      </c>
      <c r="L75" s="41">
        <f>if(VLOOKUP($A75,'Dados ClubeFII'!$A:$AU,column(L75)-$A$5,0)="N/D",0,MID(VLOOKUP($A75,'Dados ClubeFII'!$A:$AU,column(L75)-$A$5,0),3,100)/1)</f>
        <v>0</v>
      </c>
      <c r="M75" s="41">
        <f>MID(VLOOKUP($A75,'Dados ClubeFII'!$A:$AU,column(M75)-$A$5,0),3,100)/1</f>
        <v>0.95</v>
      </c>
      <c r="N75" s="41">
        <f>MID(VLOOKUP($A75,'Dados ClubeFII'!$A:$AU,column(N75)-$A$5,0),3,100)/1</f>
        <v>0</v>
      </c>
      <c r="O75" s="41">
        <f>LEFT(VLOOKUP($A75,'Dados ClubeFII'!$A:$AU,column(O75)-$A$5,0),len(VLOOKUP($A75,'Dados ClubeFII'!$A:$AU,column(O75)-$A$5,0))-2)/1</f>
        <v>0</v>
      </c>
      <c r="P75" s="43">
        <f>VLOOKUP($A75,'Dados ClubeFII'!$A:$AU,column(P75)-$A$5,0)</f>
        <v>44971</v>
      </c>
      <c r="Q75" s="44">
        <f>VLOOKUP($A75,'Dados ClubeFII'!$A:$AU,column(Q75)-$A$5,0)/mid(VLOOKUP($A75,'Dados ClubeFII'!$A:$AU,2,0),3,SEARCH(",",VLOOKUP($A75,'Dados ClubeFII'!$A:$AU,2,0)))*B75</f>
        <v>0.147195419</v>
      </c>
      <c r="R75" s="44">
        <f>VLOOKUP($A75,'Dados ClubeFII'!$A:$AU,column(R75)-$A$5,0)/mid(VLOOKUP($A75,'Dados ClubeFII'!$A:$AU,2,0),3,SEARCH(",",VLOOKUP($A75,'Dados ClubeFII'!$A:$AU,2,0)))*B75</f>
        <v>0.1459593483</v>
      </c>
      <c r="S75" s="43">
        <f>VLOOKUP($A75,'Dados ClubeFII'!$A:$AU,column(S75)-$A$5,0)</f>
        <v>43217</v>
      </c>
      <c r="T75" s="41">
        <f>MID(VLOOKUP($A75,'Dados ClubeFII'!$A:$AU,column(T75)-$A$5,0),3,100)/1</f>
        <v>100</v>
      </c>
      <c r="U75" s="45">
        <f>VLOOKUP($A75,'Dados ClubeFII'!$A:$AU,column(U75)-$A$5,0)/mid(VLOOKUP($A75,'Dados ClubeFII'!$A:$AU,2,0),4,SEARCH(",",VLOOKUP($A75,'Dados ClubeFII'!$A:$AU,2,0))-1)*B75</f>
        <v>0.2026892744</v>
      </c>
      <c r="V75" s="42" t="str">
        <f>VLOOKUP($A75,'Dados ClubeFII'!$A:$AU,column(V75)-$A$5,0)</f>
        <v>N/D</v>
      </c>
      <c r="W75" s="43" t="str">
        <f>VLOOKUP($A75,'Dados ClubeFII'!$A:$AU,column(W75)-$A$5,0)</f>
        <v>N/D</v>
      </c>
      <c r="X75" s="45">
        <f>VLOOKUP($A75,'Dados ClubeFII'!$A:$AU,column(X75)-$A$5,0)</f>
        <v>0.0104</v>
      </c>
      <c r="Y75" s="41">
        <f>MID(VLOOKUP($A75,'Dados ClubeFII'!$A:$AU,column(Y75)-$A$5,0),3,100)/1</f>
        <v>4204460.86</v>
      </c>
      <c r="Z75" s="46">
        <f>VLOOKUP($A75,'Dados ClubeFII'!$A:$AU,column(Z75)-$A$5,0)</f>
        <v>128678</v>
      </c>
      <c r="AA75" s="47">
        <f t="shared" si="2"/>
        <v>359713357</v>
      </c>
      <c r="AB75" s="48">
        <f t="shared" si="3"/>
        <v>3.529498681</v>
      </c>
      <c r="AC75" s="48"/>
      <c r="AD75" s="48"/>
      <c r="AE75" s="48"/>
    </row>
    <row r="76">
      <c r="A76" s="37" t="s">
        <v>100</v>
      </c>
      <c r="B76" s="38">
        <f>IFERROR(__xludf.DUMMYFUNCTION("GOOGLEFINANCE(A76)"),101.99)</f>
        <v>101.99</v>
      </c>
      <c r="C76" s="38">
        <f>IFERROR(__xludf.DUMMYFUNCTION("GOOGLEFINANCE($A76,""high52"")"),109.38)</f>
        <v>109.38</v>
      </c>
      <c r="D76" s="39">
        <f t="shared" si="4"/>
        <v>-0.06756262571</v>
      </c>
      <c r="E76" s="40" t="str">
        <f>VLOOKUP($A76,'Dados ClubeFII'!$A:$AU,column(E76)-$A$5,0)</f>
        <v>TRX Real Estate</v>
      </c>
      <c r="F76" s="40" t="str">
        <f>VLOOKUP($A76,'Dados ClubeFII'!$A:$AU,column(F76)-$A$5,0)</f>
        <v>TRX</v>
      </c>
      <c r="G76" s="40" t="str">
        <f>VLOOKUP($A76,'Dados ClubeFII'!$A:$AU,column(G76)-$A$5,0)</f>
        <v>Híbrido</v>
      </c>
      <c r="H76" s="41">
        <f>MID(VLOOKUP($A76,'Dados ClubeFII'!$A:$AU,COLUMN(H76)-$A$5,0),3,100)/MID(VLOOKUP($A76,'Dados ClubeFII'!$A:$AU,2,0),3,SEARCH(",",VLOOKUP($A76,'Dados ClubeFII'!$A:$AU,2,0)))*B76</f>
        <v>1224193647</v>
      </c>
      <c r="I76" s="41">
        <f>MID(VLOOKUP($A76,'Dados ClubeFII'!$A:$AU,column(I76)-$A$5,0),3,100)/1</f>
        <v>1250647872</v>
      </c>
      <c r="J76" s="42">
        <f>VLOOKUP($A76,'Dados ClubeFII'!$A:$AU,column(J76)-$A$5,0)/mid(VLOOKUP($A76,'Dados ClubeFII'!$A:$AU,2,0),3,SEARCH(",",VLOOKUP($A76,'Dados ClubeFII'!$A:$AU,2,0)))*B76</f>
        <v>0.9816169394</v>
      </c>
      <c r="K76" s="41">
        <f>if(VLOOKUP($A76,'Dados ClubeFII'!$A:$AU,column(K76)-$A$5,0)="N/D",0,MID(VLOOKUP($A76,'Dados ClubeFII'!$A:$AU,column(K76)-$A$5,0),3,100)/1)/mid(VLOOKUP($A76,'Dados ClubeFII'!$A:$AU,2,0),3,SEARCH(",",VLOOKUP($A76,'Dados ClubeFII'!$A:$AU,2,0)))*B76</f>
        <v>2475.500495</v>
      </c>
      <c r="L76" s="41">
        <f>if(VLOOKUP($A76,'Dados ClubeFII'!$A:$AU,column(L76)-$A$5,0)="N/D",0,MID(VLOOKUP($A76,'Dados ClubeFII'!$A:$AU,column(L76)-$A$5,0),3,100)/1)</f>
        <v>2529</v>
      </c>
      <c r="M76" s="41">
        <f>MID(VLOOKUP($A76,'Dados ClubeFII'!$A:$AU,column(M76)-$A$5,0),3,100)/1</f>
        <v>0.85</v>
      </c>
      <c r="N76" s="41">
        <f>MID(VLOOKUP($A76,'Dados ClubeFII'!$A:$AU,column(N76)-$A$5,0),3,100)/1</f>
        <v>20.61</v>
      </c>
      <c r="O76" s="41">
        <f>LEFT(VLOOKUP($A76,'Dados ClubeFII'!$A:$AU,column(O76)-$A$5,0),len(VLOOKUP($A76,'Dados ClubeFII'!$A:$AU,column(O76)-$A$5,0))-2)/1</f>
        <v>494523</v>
      </c>
      <c r="P76" s="43">
        <f>VLOOKUP($A76,'Dados ClubeFII'!$A:$AU,column(P76)-$A$5,0)</f>
        <v>44971</v>
      </c>
      <c r="Q76" s="44">
        <f>VLOOKUP($A76,'Dados ClubeFII'!$A:$AU,column(Q76)-$A$5,0)/mid(VLOOKUP($A76,'Dados ClubeFII'!$A:$AU,2,0),3,SEARCH(",",VLOOKUP($A76,'Dados ClubeFII'!$A:$AU,2,0)))*B76</f>
        <v>0.100713898</v>
      </c>
      <c r="R76" s="44">
        <f>VLOOKUP($A76,'Dados ClubeFII'!$A:$AU,column(R76)-$A$5,0)/mid(VLOOKUP($A76,'Dados ClubeFII'!$A:$AU,2,0),3,SEARCH(",",VLOOKUP($A76,'Dados ClubeFII'!$A:$AU,2,0)))*B76</f>
        <v>0.1000267661</v>
      </c>
      <c r="S76" s="43">
        <f>VLOOKUP($A76,'Dados ClubeFII'!$A:$AU,column(S76)-$A$5,0)</f>
        <v>43488</v>
      </c>
      <c r="T76" s="41">
        <f>MID(VLOOKUP($A76,'Dados ClubeFII'!$A:$AU,column(T76)-$A$5,0),3,100)/1</f>
        <v>100</v>
      </c>
      <c r="U76" s="45">
        <f>VLOOKUP($A76,'Dados ClubeFII'!$A:$AU,column(U76)-$A$5,0)/mid(VLOOKUP($A76,'Dados ClubeFII'!$A:$AU,2,0),4,SEARCH(",",VLOOKUP($A76,'Dados ClubeFII'!$A:$AU,2,0))-1)*B76</f>
        <v>-0.2876641026</v>
      </c>
      <c r="V76" s="42">
        <f>VLOOKUP($A76,'Dados ClubeFII'!$A:$AU,column(V76)-$A$5,0)</f>
        <v>0</v>
      </c>
      <c r="W76" s="43">
        <f>VLOOKUP($A76,'Dados ClubeFII'!$A:$AU,column(W76)-$A$5,0)</f>
        <v>44957</v>
      </c>
      <c r="X76" s="45">
        <f>VLOOKUP($A76,'Dados ClubeFII'!$A:$AU,column(X76)-$A$5,0)</f>
        <v>0.0103</v>
      </c>
      <c r="Y76" s="41">
        <f>MID(VLOOKUP($A76,'Dados ClubeFII'!$A:$AU,column(Y76)-$A$5,0),3,100)/1</f>
        <v>2728302.31</v>
      </c>
      <c r="Z76" s="46">
        <f>VLOOKUP($A76,'Dados ClubeFII'!$A:$AU,column(Z76)-$A$5,0)</f>
        <v>83057</v>
      </c>
      <c r="AA76" s="47">
        <f t="shared" si="2"/>
        <v>12003075</v>
      </c>
      <c r="AB76" s="48">
        <f t="shared" si="3"/>
        <v>104.1939563</v>
      </c>
      <c r="AC76" s="17"/>
      <c r="AD76" s="17"/>
      <c r="AE76" s="17"/>
    </row>
    <row r="77">
      <c r="A77" s="37" t="s">
        <v>101</v>
      </c>
      <c r="B77" s="38">
        <f>IFERROR(__xludf.DUMMYFUNCTION("GOOGLEFINANCE(A77)"),61.99)</f>
        <v>61.99</v>
      </c>
      <c r="C77" s="38">
        <f>IFERROR(__xludf.DUMMYFUNCTION("GOOGLEFINANCE($A77,""high52"")"),74.96)</f>
        <v>74.96</v>
      </c>
      <c r="D77" s="39">
        <f t="shared" si="4"/>
        <v>-0.1730256137</v>
      </c>
      <c r="E77" s="40" t="str">
        <f>VLOOKUP($A77,'Dados ClubeFII'!$A:$AU,column(E77)-$A$5,0)</f>
        <v>Mogno Hoteis</v>
      </c>
      <c r="F77" s="40" t="str">
        <f>VLOOKUP($A77,'Dados ClubeFII'!$A:$AU,column(F77)-$A$5,0)</f>
        <v>MOGNO CAPITAL</v>
      </c>
      <c r="G77" s="40" t="str">
        <f>VLOOKUP($A77,'Dados ClubeFII'!$A:$AU,column(G77)-$A$5,0)</f>
        <v>Hoteis</v>
      </c>
      <c r="H77" s="41">
        <f>MID(VLOOKUP($A77,'Dados ClubeFII'!$A:$AU,column(H77)-$A$5,0),3,100)/mid(VLOOKUP($A77,'Dados ClubeFII'!$A:$AU,2,0),4,SEARCH(",",VLOOKUP($A77,'Dados ClubeFII'!$A:$AU,2,0))-1)*B77</f>
        <v>566257751.3</v>
      </c>
      <c r="I77" s="41">
        <f>MID(VLOOKUP($A77,'Dados ClubeFII'!$A:$AU,column(I77)-$A$5,0),3,100)/1</f>
        <v>111293895.3</v>
      </c>
      <c r="J77" s="42">
        <f>VLOOKUP($A77,'Dados ClubeFII'!$A:$AU,column(J77)-$A$5,0)/mid(VLOOKUP($A77,'Dados ClubeFII'!$A:$AU,2,0),3,SEARCH(",",VLOOKUP($A77,'Dados ClubeFII'!$A:$AU,2,0)))*B77</f>
        <v>0.7417606838</v>
      </c>
      <c r="K77" s="41">
        <f>if(VLOOKUP($A77,'Dados ClubeFII'!$A:$AU,column(K77)-$A$5,0)="N/D",0,MID(VLOOKUP($A77,'Dados ClubeFII'!$A:$AU,column(K77)-$A$5,0),3,100)/1)/mid(VLOOKUP($A77,'Dados ClubeFII'!$A:$AU,2,0),3,SEARCH(",",VLOOKUP($A77,'Dados ClubeFII'!$A:$AU,2,0)))*B77</f>
        <v>0</v>
      </c>
      <c r="L77" s="41">
        <f>if(VLOOKUP($A77,'Dados ClubeFII'!$A:$AU,column(L77)-$A$5,0)="N/D",0,MID(VLOOKUP($A77,'Dados ClubeFII'!$A:$AU,column(L77)-$A$5,0),3,100)/1)</f>
        <v>0</v>
      </c>
      <c r="M77" s="41">
        <f>MID(VLOOKUP($A77,'Dados ClubeFII'!$A:$AU,column(M77)-$A$5,0),3,100)/1</f>
        <v>0.8</v>
      </c>
      <c r="N77" s="41">
        <f>MID(VLOOKUP($A77,'Dados ClubeFII'!$A:$AU,column(N77)-$A$5,0),3,100)/1</f>
        <v>0</v>
      </c>
      <c r="O77" s="41">
        <f>LEFT(VLOOKUP($A77,'Dados ClubeFII'!$A:$AU,column(O77)-$A$5,0),len(VLOOKUP($A77,'Dados ClubeFII'!$A:$AU,column(O77)-$A$5,0))-2)/1</f>
        <v>0</v>
      </c>
      <c r="P77" s="43">
        <f>VLOOKUP($A77,'Dados ClubeFII'!$A:$AU,column(P77)-$A$5,0)</f>
        <v>44974</v>
      </c>
      <c r="Q77" s="44">
        <f>VLOOKUP($A77,'Dados ClubeFII'!$A:$AU,column(Q77)-$A$5,0)/mid(VLOOKUP($A77,'Dados ClubeFII'!$A:$AU,2,0),3,SEARCH(",",VLOOKUP($A77,'Dados ClubeFII'!$A:$AU,2,0)))*B77</f>
        <v>0.1855461368</v>
      </c>
      <c r="R77" s="44">
        <f>VLOOKUP($A77,'Dados ClubeFII'!$A:$AU,column(R77)-$A$5,0)/mid(VLOOKUP($A77,'Dados ClubeFII'!$A:$AU,2,0),3,SEARCH(",",VLOOKUP($A77,'Dados ClubeFII'!$A:$AU,2,0)))*B77</f>
        <v>0.1613859316</v>
      </c>
      <c r="S77" s="43">
        <f>VLOOKUP($A77,'Dados ClubeFII'!$A:$AU,column(S77)-$A$5,0)</f>
        <v>43937</v>
      </c>
      <c r="T77" s="41">
        <f>MID(VLOOKUP($A77,'Dados ClubeFII'!$A:$AU,column(T77)-$A$5,0),3,100)/1</f>
        <v>100</v>
      </c>
      <c r="U77" s="45">
        <f>VLOOKUP($A77,'Dados ClubeFII'!$A:$AU,column(U77)-$A$5,0)/mid(VLOOKUP($A77,'Dados ClubeFII'!$A:$AU,2,0),4,SEARCH(",",VLOOKUP($A77,'Dados ClubeFII'!$A:$AU,2,0))-1)*B77</f>
        <v>0.8394175294</v>
      </c>
      <c r="V77" s="42" t="str">
        <f>VLOOKUP($A77,'Dados ClubeFII'!$A:$AU,column(V77)-$A$5,0)</f>
        <v>N/D</v>
      </c>
      <c r="W77" s="43" t="str">
        <f>VLOOKUP($A77,'Dados ClubeFII'!$A:$AU,column(W77)-$A$5,0)</f>
        <v>N/D</v>
      </c>
      <c r="X77" s="45">
        <f>VLOOKUP($A77,'Dados ClubeFII'!$A:$AU,column(X77)-$A$5,0)</f>
        <v>0</v>
      </c>
      <c r="Y77" s="41">
        <f>MID(VLOOKUP($A77,'Dados ClubeFII'!$A:$AU,column(Y77)-$A$5,0),3,100)/1</f>
        <v>67817.46</v>
      </c>
      <c r="Z77" s="46">
        <f>VLOOKUP($A77,'Dados ClubeFII'!$A:$AU,column(Z77)-$A$5,0)</f>
        <v>2752</v>
      </c>
      <c r="AA77" s="47">
        <f t="shared" si="2"/>
        <v>9134662</v>
      </c>
      <c r="AB77" s="48">
        <f t="shared" si="3"/>
        <v>12.18369058</v>
      </c>
      <c r="AC77" s="48"/>
      <c r="AD77" s="48"/>
      <c r="AE77" s="48"/>
    </row>
    <row r="78">
      <c r="A78" s="37" t="s">
        <v>102</v>
      </c>
      <c r="B78" s="38">
        <f>IFERROR(__xludf.DUMMYFUNCTION("GOOGLEFINANCE(A78)"),75.3)</f>
        <v>75.3</v>
      </c>
      <c r="C78" s="38">
        <f>IFERROR(__xludf.DUMMYFUNCTION("GOOGLEFINANCE($A78,""high52"")"),84.37)</f>
        <v>84.37</v>
      </c>
      <c r="D78" s="39">
        <f t="shared" si="4"/>
        <v>-0.1075026668</v>
      </c>
      <c r="E78" s="40" t="str">
        <f>VLOOKUP($A78,'Dados ClubeFII'!$A:$AU,column(E78)-$A$5,0)</f>
        <v>Green Towers</v>
      </c>
      <c r="F78" s="40" t="str">
        <f>VLOOKUP($A78,'Dados ClubeFII'!$A:$AU,column(F78)-$A$5,0)</f>
        <v>BV DTVM</v>
      </c>
      <c r="G78" s="40" t="str">
        <f>VLOOKUP($A78,'Dados ClubeFII'!$A:$AU,column(G78)-$A$5,0)</f>
        <v>Lajes Comerciais</v>
      </c>
      <c r="H78" s="41">
        <f>MID(VLOOKUP($A78,'Dados ClubeFII'!$A:$AU,COLUMN(H78)-$A$5,0),3,100)/MID(VLOOKUP($A78,'Dados ClubeFII'!$A:$AU,2,0),3,SEARCH(",",VLOOKUP($A78,'Dados ClubeFII'!$A:$AU,2,0)))*B78</f>
        <v>909746938.8</v>
      </c>
      <c r="I78" s="41">
        <f>MID(VLOOKUP($A78,'Dados ClubeFII'!$A:$AU,column(I78)-$A$5,0),3,100)/1</f>
        <v>1136832641</v>
      </c>
      <c r="J78" s="42">
        <f>VLOOKUP($A78,'Dados ClubeFII'!$A:$AU,column(J78)-$A$5,0)/mid(VLOOKUP($A78,'Dados ClubeFII'!$A:$AU,2,0),3,SEARCH(",",VLOOKUP($A78,'Dados ClubeFII'!$A:$AU,2,0)))*B78</f>
        <v>0.7991020408</v>
      </c>
      <c r="K78" s="41">
        <f>if(VLOOKUP($A78,'Dados ClubeFII'!$A:$AU,column(K78)-$A$5,0)="N/D",0,MID(VLOOKUP($A78,'Dados ClubeFII'!$A:$AU,column(K78)-$A$5,0),3,100)/1)/mid(VLOOKUP($A78,'Dados ClubeFII'!$A:$AU,2,0),3,SEARCH(",",VLOOKUP($A78,'Dados ClubeFII'!$A:$AU,2,0)))*B78</f>
        <v>12001.93894</v>
      </c>
      <c r="L78" s="41">
        <f>if(VLOOKUP($A78,'Dados ClubeFII'!$A:$AU,column(L78)-$A$5,0)="N/D",0,MID(VLOOKUP($A78,'Dados ClubeFII'!$A:$AU,column(L78)-$A$5,0),3,100)/1)</f>
        <v>14997.79</v>
      </c>
      <c r="M78" s="41">
        <f>MID(VLOOKUP($A78,'Dados ClubeFII'!$A:$AU,column(M78)-$A$5,0),3,100)/1</f>
        <v>0.79</v>
      </c>
      <c r="N78" s="41">
        <f>MID(VLOOKUP($A78,'Dados ClubeFII'!$A:$AU,column(N78)-$A$5,0),3,100)/1</f>
        <v>125.07</v>
      </c>
      <c r="O78" s="41">
        <f>LEFT(VLOOKUP($A78,'Dados ClubeFII'!$A:$AU,column(O78)-$A$5,0),len(VLOOKUP($A78,'Dados ClubeFII'!$A:$AU,column(O78)-$A$5,0))-2)/1</f>
        <v>75800</v>
      </c>
      <c r="P78" s="43">
        <f>VLOOKUP($A78,'Dados ClubeFII'!$A:$AU,column(P78)-$A$5,0)</f>
        <v>44971</v>
      </c>
      <c r="Q78" s="44">
        <f>VLOOKUP($A78,'Dados ClubeFII'!$A:$AU,column(Q78)-$A$5,0)/mid(VLOOKUP($A78,'Dados ClubeFII'!$A:$AU,2,0),3,SEARCH(",",VLOOKUP($A78,'Dados ClubeFII'!$A:$AU,2,0)))*B78</f>
        <v>0.1392281633</v>
      </c>
      <c r="R78" s="44">
        <f>VLOOKUP($A78,'Dados ClubeFII'!$A:$AU,column(R78)-$A$5,0)/mid(VLOOKUP($A78,'Dados ClubeFII'!$A:$AU,2,0),3,SEARCH(",",VLOOKUP($A78,'Dados ClubeFII'!$A:$AU,2,0)))*B78</f>
        <v>0.1243730612</v>
      </c>
      <c r="S78" s="43">
        <f>VLOOKUP($A78,'Dados ClubeFII'!$A:$AU,column(S78)-$A$5,0)</f>
        <v>43635</v>
      </c>
      <c r="T78" s="41">
        <f>MID(VLOOKUP($A78,'Dados ClubeFII'!$A:$AU,column(T78)-$A$5,0),3,100)/1</f>
        <v>100</v>
      </c>
      <c r="U78" s="45">
        <f>VLOOKUP($A78,'Dados ClubeFII'!$A:$AU,column(U78)-$A$5,0)/mid(VLOOKUP($A78,'Dados ClubeFII'!$A:$AU,2,0),4,SEARCH(",",VLOOKUP($A78,'Dados ClubeFII'!$A:$AU,2,0))-1)*B78</f>
        <v>-1.488788571</v>
      </c>
      <c r="V78" s="42">
        <f>VLOOKUP($A78,'Dados ClubeFII'!$A:$AU,column(V78)-$A$5,0)</f>
        <v>0</v>
      </c>
      <c r="W78" s="43">
        <f>VLOOKUP($A78,'Dados ClubeFII'!$A:$AU,column(W78)-$A$5,0)</f>
        <v>44957</v>
      </c>
      <c r="X78" s="45">
        <f>VLOOKUP($A78,'Dados ClubeFII'!$A:$AU,column(X78)-$A$5,0)</f>
        <v>0.0087</v>
      </c>
      <c r="Y78" s="41">
        <f>MID(VLOOKUP($A78,'Dados ClubeFII'!$A:$AU,column(Y78)-$A$5,0),3,100)/1</f>
        <v>691770.05</v>
      </c>
      <c r="Z78" s="46">
        <f>VLOOKUP($A78,'Dados ClubeFII'!$A:$AU,column(Z78)-$A$5,0)</f>
        <v>26661</v>
      </c>
      <c r="AA78" s="47">
        <f t="shared" si="2"/>
        <v>12081632</v>
      </c>
      <c r="AB78" s="48">
        <f t="shared" si="3"/>
        <v>94.09595006</v>
      </c>
      <c r="AC78" s="48"/>
      <c r="AD78" s="48"/>
      <c r="AE78" s="48"/>
    </row>
    <row r="79">
      <c r="A79" s="37" t="s">
        <v>103</v>
      </c>
      <c r="B79" s="38">
        <f>IFERROR(__xludf.DUMMYFUNCTION("GOOGLEFINANCE(A79)"),6.77)</f>
        <v>6.77</v>
      </c>
      <c r="C79" s="38">
        <f>IFERROR(__xludf.DUMMYFUNCTION("GOOGLEFINANCE($A79,""high52"")"),7.53)</f>
        <v>7.53</v>
      </c>
      <c r="D79" s="39">
        <f t="shared" si="4"/>
        <v>-0.1009296149</v>
      </c>
      <c r="E79" s="40" t="str">
        <f>VLOOKUP($A79,'Dados ClubeFII'!$A:$AU,column(E79)-$A$5,0)</f>
        <v>Vinci Instrumentos Financeiros</v>
      </c>
      <c r="F79" s="40" t="str">
        <f>VLOOKUP($A79,'Dados ClubeFII'!$A:$AU,column(F79)-$A$5,0)</f>
        <v>VINCI REAL ESTATE</v>
      </c>
      <c r="G79" s="40" t="str">
        <f>VLOOKUP($A79,'Dados ClubeFII'!$A:$AU,column(G79)-$A$5,0)</f>
        <v>Fundo de Fundos</v>
      </c>
      <c r="H79" s="41">
        <f>MID(VLOOKUP($A79,'Dados ClubeFII'!$A:$AU,column(H79)-$A$5,0),3,100)/mid(VLOOKUP($A79,'Dados ClubeFII'!$A:$AU,2,0),4,SEARCH(",",VLOOKUP($A79,'Dados ClubeFII'!$A:$AU,2,0))-1)*B79</f>
        <v>512650169.3</v>
      </c>
      <c r="I79" s="41">
        <f>MID(VLOOKUP($A79,'Dados ClubeFII'!$A:$AU,column(I79)-$A$5,0),3,100)/1</f>
        <v>69794791.27</v>
      </c>
      <c r="J79" s="42">
        <f>VLOOKUP($A79,'Dados ClubeFII'!$A:$AU,column(J79)-$A$5,0)/mid(VLOOKUP($A79,'Dados ClubeFII'!$A:$AU,2,0),3,SEARCH(",",VLOOKUP($A79,'Dados ClubeFII'!$A:$AU,2,0)))*B79</f>
        <v>0.7858035714</v>
      </c>
      <c r="K79" s="41">
        <f>if(VLOOKUP($A79,'Dados ClubeFII'!$A:$AU,column(K79)-$A$5,0)="N/D",0,MID(VLOOKUP($A79,'Dados ClubeFII'!$A:$AU,column(K79)-$A$5,0),3,100)/1)/mid(VLOOKUP($A79,'Dados ClubeFII'!$A:$AU,2,0),3,SEARCH(",",VLOOKUP($A79,'Dados ClubeFII'!$A:$AU,2,0)))*B79</f>
        <v>0</v>
      </c>
      <c r="L79" s="41">
        <f>if(VLOOKUP($A79,'Dados ClubeFII'!$A:$AU,column(L79)-$A$5,0)="N/D",0,MID(VLOOKUP($A79,'Dados ClubeFII'!$A:$AU,column(L79)-$A$5,0),3,100)/1)</f>
        <v>0</v>
      </c>
      <c r="M79" s="41">
        <f>MID(VLOOKUP($A79,'Dados ClubeFII'!$A:$AU,column(M79)-$A$5,0),3,100)/1</f>
        <v>0.07</v>
      </c>
      <c r="N79" s="41">
        <f>MID(VLOOKUP($A79,'Dados ClubeFII'!$A:$AU,column(N79)-$A$5,0),3,100)/1</f>
        <v>0</v>
      </c>
      <c r="O79" s="41">
        <f>LEFT(VLOOKUP($A79,'Dados ClubeFII'!$A:$AU,column(O79)-$A$5,0),len(VLOOKUP($A79,'Dados ClubeFII'!$A:$AU,column(O79)-$A$5,0))-2)/1</f>
        <v>0</v>
      </c>
      <c r="P79" s="43">
        <f>VLOOKUP($A79,'Dados ClubeFII'!$A:$AU,column(P79)-$A$5,0)</f>
        <v>44971</v>
      </c>
      <c r="Q79" s="44">
        <f>VLOOKUP($A79,'Dados ClubeFII'!$A:$AU,column(Q79)-$A$5,0)/mid(VLOOKUP($A79,'Dados ClubeFII'!$A:$AU,2,0),3,SEARCH(",",VLOOKUP($A79,'Dados ClubeFII'!$A:$AU,2,0)))*B79</f>
        <v>0.1230084821</v>
      </c>
      <c r="R79" s="44">
        <f>VLOOKUP($A79,'Dados ClubeFII'!$A:$AU,column(R79)-$A$5,0)/mid(VLOOKUP($A79,'Dados ClubeFII'!$A:$AU,2,0),3,SEARCH(",",VLOOKUP($A79,'Dados ClubeFII'!$A:$AU,2,0)))*B79</f>
        <v>0.1109191964</v>
      </c>
      <c r="S79" s="43">
        <f>VLOOKUP($A79,'Dados ClubeFII'!$A:$AU,column(S79)-$A$5,0)</f>
        <v>43882</v>
      </c>
      <c r="T79" s="41">
        <f>MID(VLOOKUP($A79,'Dados ClubeFII'!$A:$AU,column(T79)-$A$5,0),3,100)/1</f>
        <v>10</v>
      </c>
      <c r="U79" s="45">
        <f>VLOOKUP($A79,'Dados ClubeFII'!$A:$AU,column(U79)-$A$5,0)/mid(VLOOKUP($A79,'Dados ClubeFII'!$A:$AU,2,0),4,SEARCH(",",VLOOKUP($A79,'Dados ClubeFII'!$A:$AU,2,0))-1)*B79</f>
        <v>-0.3366194444</v>
      </c>
      <c r="V79" s="42" t="str">
        <f>VLOOKUP($A79,'Dados ClubeFII'!$A:$AU,column(V79)-$A$5,0)</f>
        <v>N/D</v>
      </c>
      <c r="W79" s="43" t="str">
        <f>VLOOKUP($A79,'Dados ClubeFII'!$A:$AU,column(W79)-$A$5,0)</f>
        <v>N/D</v>
      </c>
      <c r="X79" s="45">
        <f>VLOOKUP($A79,'Dados ClubeFII'!$A:$AU,column(X79)-$A$5,0)</f>
        <v>0</v>
      </c>
      <c r="Y79" s="41">
        <f>MID(VLOOKUP($A79,'Dados ClubeFII'!$A:$AU,column(Y79)-$A$5,0),3,100)/1</f>
        <v>86646.39</v>
      </c>
      <c r="Z79" s="46">
        <f>VLOOKUP($A79,'Dados ClubeFII'!$A:$AU,column(Z79)-$A$5,0)</f>
        <v>6929</v>
      </c>
      <c r="AA79" s="47">
        <f t="shared" si="2"/>
        <v>75723806</v>
      </c>
      <c r="AB79" s="48">
        <f t="shared" si="3"/>
        <v>0.9217021034</v>
      </c>
      <c r="AC79" s="48"/>
      <c r="AD79" s="48"/>
      <c r="AE79" s="48"/>
    </row>
    <row r="80">
      <c r="A80" s="49" t="s">
        <v>104</v>
      </c>
      <c r="B80" s="38">
        <f>IFERROR(__xludf.DUMMYFUNCTION("GOOGLEFINANCE(A80)"),118.52)</f>
        <v>118.52</v>
      </c>
      <c r="C80" s="38">
        <f>IFERROR(__xludf.DUMMYFUNCTION("GOOGLEFINANCE($A80,""high52"")"),135.09)</f>
        <v>135.09</v>
      </c>
      <c r="D80" s="39">
        <f t="shared" si="4"/>
        <v>-0.1226589681</v>
      </c>
      <c r="E80" s="40" t="str">
        <f>VLOOKUP($A80,'Dados ClubeFII'!$A:$AU,column(E80)-$A$5,0)</f>
        <v>TRX Real Estate II</v>
      </c>
      <c r="F80" s="40" t="str">
        <f>VLOOKUP($A80,'Dados ClubeFII'!$A:$AU,column(F80)-$A$5,0)</f>
        <v>TRX</v>
      </c>
      <c r="G80" s="40" t="str">
        <f>VLOOKUP($A80,'Dados ClubeFII'!$A:$AU,column(G80)-$A$5,0)</f>
        <v>Logisticos</v>
      </c>
      <c r="H80" s="41">
        <f>MID(VLOOKUP($A80,'Dados ClubeFII'!$A:$AU,COLUMN(H80)-$A$5,0),3,100)/MID(VLOOKUP($A80,'Dados ClubeFII'!$A:$AU,2,0),3,SEARCH(",",VLOOKUP($A80,'Dados ClubeFII'!$A:$AU,2,0)))*B80</f>
        <v>323620163.7</v>
      </c>
      <c r="I80" s="41">
        <f>MID(VLOOKUP($A80,'Dados ClubeFII'!$A:$AU,column(I80)-$A$5,0),3,100)/1</f>
        <v>314564299.3</v>
      </c>
      <c r="J80" s="42">
        <f>VLOOKUP($A80,'Dados ClubeFII'!$A:$AU,column(J80)-$A$5,0)/mid(VLOOKUP($A80,'Dados ClubeFII'!$A:$AU,2,0),3,SEARCH(",",VLOOKUP($A80,'Dados ClubeFII'!$A:$AU,2,0)))*B80</f>
        <v>1.032419959</v>
      </c>
      <c r="K80" s="41">
        <f>if(VLOOKUP($A80,'Dados ClubeFII'!$A:$AU,column(K80)-$A$5,0)="N/D",0,MID(VLOOKUP($A80,'Dados ClubeFII'!$A:$AU,column(K80)-$A$5,0),3,100)/1)/mid(VLOOKUP($A80,'Dados ClubeFII'!$A:$AU,2,0),3,SEARCH(",",VLOOKUP($A80,'Dados ClubeFII'!$A:$AU,2,0)))*B80</f>
        <v>0</v>
      </c>
      <c r="L80" s="41">
        <f>if(VLOOKUP($A80,'Dados ClubeFII'!$A:$AU,column(L80)-$A$5,0)="N/D",0,MID(VLOOKUP($A80,'Dados ClubeFII'!$A:$AU,column(L80)-$A$5,0),3,100)/1)</f>
        <v>0</v>
      </c>
      <c r="M80" s="41">
        <f>MID(VLOOKUP($A80,'Dados ClubeFII'!$A:$AU,column(M80)-$A$5,0),3,100)/1</f>
        <v>0.9</v>
      </c>
      <c r="N80" s="41">
        <f>MID(VLOOKUP($A80,'Dados ClubeFII'!$A:$AU,column(N80)-$A$5,0),3,100)/1</f>
        <v>0</v>
      </c>
      <c r="O80" s="41">
        <f>LEFT(VLOOKUP($A80,'Dados ClubeFII'!$A:$AU,column(O80)-$A$5,0),len(VLOOKUP($A80,'Dados ClubeFII'!$A:$AU,column(O80)-$A$5,0))-2)/1</f>
        <v>0</v>
      </c>
      <c r="P80" s="43">
        <f>VLOOKUP($A80,'Dados ClubeFII'!$A:$AU,column(P80)-$A$5,0)</f>
        <v>44971</v>
      </c>
      <c r="Q80" s="44">
        <f>VLOOKUP($A80,'Dados ClubeFII'!$A:$AU,column(Q80)-$A$5,0)/mid(VLOOKUP($A80,'Dados ClubeFII'!$A:$AU,2,0),3,SEARCH(",",VLOOKUP($A80,'Dados ClubeFII'!$A:$AU,2,0)))*B80</f>
        <v>0.07761262321</v>
      </c>
      <c r="R80" s="44">
        <f>VLOOKUP($A80,'Dados ClubeFII'!$A:$AU,column(R80)-$A$5,0)/mid(VLOOKUP($A80,'Dados ClubeFII'!$A:$AU,2,0),3,SEARCH(",",VLOOKUP($A80,'Dados ClubeFII'!$A:$AU,2,0)))*B80</f>
        <v>0.07516741805</v>
      </c>
      <c r="S80" s="43">
        <f>VLOOKUP($A80,'Dados ClubeFII'!$A:$AU,column(S80)-$A$5,0)</f>
        <v>44049</v>
      </c>
      <c r="T80" s="41">
        <f>MID(VLOOKUP($A80,'Dados ClubeFII'!$A:$AU,column(T80)-$A$5,0),3,100)/1</f>
        <v>100</v>
      </c>
      <c r="U80" s="45">
        <f>VLOOKUP($A80,'Dados ClubeFII'!$A:$AU,column(U80)-$A$5,0)/mid(VLOOKUP($A80,'Dados ClubeFII'!$A:$AU,2,0),4,SEARCH(",",VLOOKUP($A80,'Dados ClubeFII'!$A:$AU,2,0))-1)*B80</f>
        <v>0.2134665371</v>
      </c>
      <c r="V80" s="42" t="str">
        <f>VLOOKUP($A80,'Dados ClubeFII'!$A:$AU,column(V80)-$A$5,0)</f>
        <v>N/D</v>
      </c>
      <c r="W80" s="43" t="str">
        <f>VLOOKUP($A80,'Dados ClubeFII'!$A:$AU,column(W80)-$A$5,0)</f>
        <v>N/D</v>
      </c>
      <c r="X80" s="45">
        <f>VLOOKUP($A80,'Dados ClubeFII'!$A:$AU,column(X80)-$A$5,0)</f>
        <v>0</v>
      </c>
      <c r="Y80" s="41">
        <f>MID(VLOOKUP($A80,'Dados ClubeFII'!$A:$AU,column(Y80)-$A$5,0),3,100)/1</f>
        <v>2053026.62</v>
      </c>
      <c r="Z80" s="46">
        <f>VLOOKUP($A80,'Dados ClubeFII'!$A:$AU,column(Z80)-$A$5,0)</f>
        <v>188</v>
      </c>
      <c r="AA80" s="47">
        <f t="shared" si="2"/>
        <v>2730511</v>
      </c>
      <c r="AB80" s="48">
        <f t="shared" si="3"/>
        <v>115.2034543</v>
      </c>
      <c r="AC80" s="48"/>
      <c r="AD80" s="48"/>
      <c r="AE80" s="48"/>
    </row>
    <row r="81">
      <c r="A81" s="49" t="s">
        <v>105</v>
      </c>
      <c r="B81" s="38">
        <f>IFERROR(__xludf.DUMMYFUNCTION("GOOGLEFINANCE(A81)"),91.27)</f>
        <v>91.27</v>
      </c>
      <c r="C81" s="38">
        <f>IFERROR(__xludf.DUMMYFUNCTION("GOOGLEFINANCE($A81,""high52"")"),98.95)</f>
        <v>98.95</v>
      </c>
      <c r="D81" s="39">
        <f t="shared" si="4"/>
        <v>-0.07761495705</v>
      </c>
      <c r="E81" s="40" t="str">
        <f>VLOOKUP($A81,'Dados ClubeFII'!$A:$AU,column(E81)-$A$5,0)</f>
        <v>BRLPROP</v>
      </c>
      <c r="F81" s="40" t="str">
        <f>VLOOKUP($A81,'Dados ClubeFII'!$A:$AU,column(F81)-$A$5,0)</f>
        <v/>
      </c>
      <c r="G81" s="40" t="str">
        <f>VLOOKUP($A81,'Dados ClubeFII'!$A:$AU,column(G81)-$A$5,0)</f>
        <v>Logisticos</v>
      </c>
      <c r="H81" s="41">
        <f>MID(VLOOKUP($A81,'Dados ClubeFII'!$A:$AU,COLUMN(H81)-$A$5,0),3,100)/MID(VLOOKUP($A81,'Dados ClubeFII'!$A:$AU,2,0),3,SEARCH(",",VLOOKUP($A81,'Dados ClubeFII'!$A:$AU,2,0)))*B81</f>
        <v>123199623</v>
      </c>
      <c r="I81" s="41">
        <f>MID(VLOOKUP($A81,'Dados ClubeFII'!$A:$AU,column(I81)-$A$5,0),3,100)/1</f>
        <v>147314892.2</v>
      </c>
      <c r="J81" s="42">
        <f>VLOOKUP($A81,'Dados ClubeFII'!$A:$AU,column(J81)-$A$5,0)/mid(VLOOKUP($A81,'Dados ClubeFII'!$A:$AU,2,0),3,SEARCH(",",VLOOKUP($A81,'Dados ClubeFII'!$A:$AU,2,0)))*B81</f>
        <v>0.84</v>
      </c>
      <c r="K81" s="41">
        <f>if(VLOOKUP($A81,'Dados ClubeFII'!$A:$AU,column(K81)-$A$5,0)="N/D",0,MID(VLOOKUP($A81,'Dados ClubeFII'!$A:$AU,column(K81)-$A$5,0),3,100)/1)/mid(VLOOKUP($A81,'Dados ClubeFII'!$A:$AU,2,0),3,SEARCH(",",VLOOKUP($A81,'Dados ClubeFII'!$A:$AU,2,0)))*B81</f>
        <v>5297.31</v>
      </c>
      <c r="L81" s="41">
        <f>if(VLOOKUP($A81,'Dados ClubeFII'!$A:$AU,column(L81)-$A$5,0)="N/D",0,MID(VLOOKUP($A81,'Dados ClubeFII'!$A:$AU,column(L81)-$A$5,0),3,100)/1)</f>
        <v>6334.22</v>
      </c>
      <c r="M81" s="41">
        <f>MID(VLOOKUP($A81,'Dados ClubeFII'!$A:$AU,column(M81)-$A$5,0),3,100)/1</f>
        <v>0.92</v>
      </c>
      <c r="N81" s="41">
        <f>MID(VLOOKUP($A81,'Dados ClubeFII'!$A:$AU,column(N81)-$A$5,0),3,100)/1</f>
        <v>53.2</v>
      </c>
      <c r="O81" s="41">
        <f>LEFT(VLOOKUP($A81,'Dados ClubeFII'!$A:$AU,column(O81)-$A$5,0),len(VLOOKUP($A81,'Dados ClubeFII'!$A:$AU,column(O81)-$A$5,0))-2)/1</f>
        <v>23257</v>
      </c>
      <c r="P81" s="43">
        <f>VLOOKUP($A81,'Dados ClubeFII'!$A:$AU,column(P81)-$A$5,0)</f>
        <v>44971</v>
      </c>
      <c r="Q81" s="44">
        <f>VLOOKUP($A81,'Dados ClubeFII'!$A:$AU,column(Q81)-$A$5,0)/mid(VLOOKUP($A81,'Dados ClubeFII'!$A:$AU,2,0),3,SEARCH(",",VLOOKUP($A81,'Dados ClubeFII'!$A:$AU,2,0)))*B81</f>
        <v>0.1274</v>
      </c>
      <c r="R81" s="44">
        <f>VLOOKUP($A81,'Dados ClubeFII'!$A:$AU,column(R81)-$A$5,0)/mid(VLOOKUP($A81,'Dados ClubeFII'!$A:$AU,2,0),3,SEARCH(",",VLOOKUP($A81,'Dados ClubeFII'!$A:$AU,2,0)))*B81</f>
        <v>0.1143</v>
      </c>
      <c r="S81" s="43">
        <f>VLOOKUP($A81,'Dados ClubeFII'!$A:$AU,column(S81)-$A$5,0)</f>
        <v>43705</v>
      </c>
      <c r="T81" s="41">
        <f>MID(VLOOKUP($A81,'Dados ClubeFII'!$A:$AU,column(T81)-$A$5,0),3,100)/1</f>
        <v>100</v>
      </c>
      <c r="U81" s="45">
        <f>VLOOKUP($A81,'Dados ClubeFII'!$A:$AU,column(U81)-$A$5,0)/mid(VLOOKUP($A81,'Dados ClubeFII'!$A:$AU,2,0),4,SEARCH(",",VLOOKUP($A81,'Dados ClubeFII'!$A:$AU,2,0))-1)*B81</f>
        <v>-6.920709449</v>
      </c>
      <c r="V81" s="42" t="str">
        <f>VLOOKUP($A81,'Dados ClubeFII'!$A:$AU,column(V81)-$A$5,0)</f>
        <v>N/D</v>
      </c>
      <c r="W81" s="43" t="str">
        <f>VLOOKUP($A81,'Dados ClubeFII'!$A:$AU,column(W81)-$A$5,0)</f>
        <v>N/D</v>
      </c>
      <c r="X81" s="45">
        <f>VLOOKUP($A81,'Dados ClubeFII'!$A:$AU,column(X81)-$A$5,0)</f>
        <v>0</v>
      </c>
      <c r="Y81" s="41">
        <f>MID(VLOOKUP($A81,'Dados ClubeFII'!$A:$AU,column(Y81)-$A$5,0),3,100)/1</f>
        <v>1522.03</v>
      </c>
      <c r="Z81" s="46">
        <f>VLOOKUP($A81,'Dados ClubeFII'!$A:$AU,column(Z81)-$A$5,0)</f>
        <v>178</v>
      </c>
      <c r="AA81" s="47">
        <f t="shared" si="2"/>
        <v>1349837</v>
      </c>
      <c r="AB81" s="48">
        <f t="shared" si="3"/>
        <v>109.1353195</v>
      </c>
      <c r="AC81" s="48"/>
      <c r="AD81" s="48"/>
      <c r="AE81" s="48"/>
    </row>
    <row r="82">
      <c r="A82" s="37" t="s">
        <v>106</v>
      </c>
      <c r="B82" s="38">
        <f>IFERROR(__xludf.DUMMYFUNCTION("GOOGLEFINANCE(A82)"),239.99)</f>
        <v>239.99</v>
      </c>
      <c r="C82" s="38">
        <f>IFERROR(__xludf.DUMMYFUNCTION("GOOGLEFINANCE($A82,""high52"")"),257.69)</f>
        <v>257.69</v>
      </c>
      <c r="D82" s="39">
        <f t="shared" si="4"/>
        <v>-0.06868718227</v>
      </c>
      <c r="E82" s="40" t="str">
        <f>VLOOKUP($A82,'Dados ClubeFII'!$A:$AU,column(E82)-$A$5,0)</f>
        <v>Hospital da Criança</v>
      </c>
      <c r="F82" s="40" t="str">
        <f>VLOOKUP($A82,'Dados ClubeFII'!$A:$AU,column(F82)-$A$5,0)</f>
        <v>BTG PACTUAL</v>
      </c>
      <c r="G82" s="40" t="str">
        <f>VLOOKUP($A82,'Dados ClubeFII'!$A:$AU,column(G82)-$A$5,0)</f>
        <v>Hospital</v>
      </c>
      <c r="H82" s="41">
        <f>MID(VLOOKUP($A82,'Dados ClubeFII'!$A:$AU,column(H82)-$A$5,0),3,100)/mid(VLOOKUP($A82,'Dados ClubeFII'!$A:$AU,2,0),4,SEARCH(",",VLOOKUP($A82,'Dados ClubeFII'!$A:$AU,2,0))-1)*B82</f>
        <v>343427663.7</v>
      </c>
      <c r="I82" s="41">
        <f>MID(VLOOKUP($A82,'Dados ClubeFII'!$A:$AU,column(I82)-$A$5,0),3,100)/1</f>
        <v>61586036.37</v>
      </c>
      <c r="J82" s="42">
        <f>VLOOKUP($A82,'Dados ClubeFII'!$A:$AU,column(J82)-$A$5,0)/mid(VLOOKUP($A82,'Dados ClubeFII'!$A:$AU,2,0),3,SEARCH(",",VLOOKUP($A82,'Dados ClubeFII'!$A:$AU,2,0)))*B82</f>
        <v>0.7833715586</v>
      </c>
      <c r="K82" s="41">
        <f>if(VLOOKUP($A82,'Dados ClubeFII'!$A:$AU,column(K82)-$A$5,0)="N/D",0,MID(VLOOKUP($A82,'Dados ClubeFII'!$A:$AU,column(K82)-$A$5,0),3,100)/1)/mid(VLOOKUP($A82,'Dados ClubeFII'!$A:$AU,2,0),3,SEARCH(",",VLOOKUP($A82,'Dados ClubeFII'!$A:$AU,2,0)))*B82</f>
        <v>8775.462198</v>
      </c>
      <c r="L82" s="41">
        <f>if(VLOOKUP($A82,'Dados ClubeFII'!$A:$AU,column(L82)-$A$5,0)="N/D",0,MID(VLOOKUP($A82,'Dados ClubeFII'!$A:$AU,column(L82)-$A$5,0),3,100)/1)</f>
        <v>11160.53</v>
      </c>
      <c r="M82" s="41">
        <f>MID(VLOOKUP($A82,'Dados ClubeFII'!$A:$AU,column(M82)-$A$5,0),3,100)/1</f>
        <v>2.51</v>
      </c>
      <c r="N82" s="41">
        <f>MID(VLOOKUP($A82,'Dados ClubeFII'!$A:$AU,column(N82)-$A$5,0),3,100)/1</f>
        <v>90.98</v>
      </c>
      <c r="O82" s="41">
        <f>LEFT(VLOOKUP($A82,'Dados ClubeFII'!$A:$AU,column(O82)-$A$5,0),len(VLOOKUP($A82,'Dados ClubeFII'!$A:$AU,column(O82)-$A$5,0))-2)/1</f>
        <v>5518.2</v>
      </c>
      <c r="P82" s="43">
        <f>VLOOKUP($A82,'Dados ClubeFII'!$A:$AU,column(P82)-$A$5,0)</f>
        <v>44974</v>
      </c>
      <c r="Q82" s="44">
        <f>VLOOKUP($A82,'Dados ClubeFII'!$A:$AU,column(Q82)-$A$5,0)/mid(VLOOKUP($A82,'Dados ClubeFII'!$A:$AU,2,0),3,SEARCH(",",VLOOKUP($A82,'Dados ClubeFII'!$A:$AU,2,0)))*B82</f>
        <v>0.1402853541</v>
      </c>
      <c r="R82" s="44">
        <f>VLOOKUP($A82,'Dados ClubeFII'!$A:$AU,column(R82)-$A$5,0)/mid(VLOOKUP($A82,'Dados ClubeFII'!$A:$AU,2,0),3,SEARCH(",",VLOOKUP($A82,'Dados ClubeFII'!$A:$AU,2,0)))*B82</f>
        <v>0.08751084912</v>
      </c>
      <c r="S82" s="43">
        <f>VLOOKUP($A82,'Dados ClubeFII'!$A:$AU,column(S82)-$A$5,0)</f>
        <v>38504</v>
      </c>
      <c r="T82" s="41">
        <f>MID(VLOOKUP($A82,'Dados ClubeFII'!$A:$AU,column(T82)-$A$5,0),3,100)/1</f>
        <v>100</v>
      </c>
      <c r="U82" s="45">
        <f>VLOOKUP($A82,'Dados ClubeFII'!$A:$AU,column(U82)-$A$5,0)/mid(VLOOKUP($A82,'Dados ClubeFII'!$A:$AU,2,0),4,SEARCH(",",VLOOKUP($A82,'Dados ClubeFII'!$A:$AU,2,0))-1)*B82</f>
        <v>0.2448877551</v>
      </c>
      <c r="V82" s="42">
        <f>VLOOKUP($A82,'Dados ClubeFII'!$A:$AU,column(V82)-$A$5,0)</f>
        <v>0</v>
      </c>
      <c r="W82" s="43" t="str">
        <f>VLOOKUP($A82,'Dados ClubeFII'!$A:$AU,column(W82)-$A$5,0)</f>
        <v>N/D</v>
      </c>
      <c r="X82" s="45">
        <f>VLOOKUP($A82,'Dados ClubeFII'!$A:$AU,column(X82)-$A$5,0)</f>
        <v>0</v>
      </c>
      <c r="Y82" s="41">
        <f>MID(VLOOKUP($A82,'Dados ClubeFII'!$A:$AU,column(Y82)-$A$5,0),3,100)/1</f>
        <v>40009.52</v>
      </c>
      <c r="Z82" s="46">
        <f>VLOOKUP($A82,'Dados ClubeFII'!$A:$AU,column(Z82)-$A$5,0)</f>
        <v>3083</v>
      </c>
      <c r="AA82" s="47">
        <f t="shared" si="2"/>
        <v>1431008</v>
      </c>
      <c r="AB82" s="48">
        <f t="shared" si="3"/>
        <v>43.03682186</v>
      </c>
      <c r="AC82" s="48"/>
      <c r="AD82" s="48"/>
      <c r="AE82" s="48"/>
    </row>
    <row r="83">
      <c r="A83" s="49" t="s">
        <v>107</v>
      </c>
      <c r="B83" s="38">
        <f>IFERROR(__xludf.DUMMYFUNCTION("GOOGLEFINANCE(A83)"),62.08)</f>
        <v>62.08</v>
      </c>
      <c r="C83" s="38">
        <f>IFERROR(__xludf.DUMMYFUNCTION("GOOGLEFINANCE($A83,""high52"")"),86.16)</f>
        <v>86.16</v>
      </c>
      <c r="D83" s="39">
        <f t="shared" si="4"/>
        <v>-0.2794800371</v>
      </c>
      <c r="E83" s="40" t="str">
        <f>VLOOKUP($A83,'Dados ClubeFII'!$A:$AU,column(E83)-$A$5,0)</f>
        <v>Max Retail</v>
      </c>
      <c r="F83" s="40" t="str">
        <f>VLOOKUP($A83,'Dados ClubeFII'!$A:$AU,column(F83)-$A$5,0)</f>
        <v>BTG PACTUAL</v>
      </c>
      <c r="G83" s="40" t="str">
        <f>VLOOKUP($A83,'Dados ClubeFII'!$A:$AU,column(G83)-$A$5,0)</f>
        <v>Shopping/Varejo</v>
      </c>
      <c r="H83" s="41">
        <f>MID(VLOOKUP($A83,'Dados ClubeFII'!$A:$AU,COLUMN(H83)-$A$5,0),3,100)/MID(VLOOKUP($A83,'Dados ClubeFII'!$A:$AU,2,0),3,SEARCH(",",VLOOKUP($A83,'Dados ClubeFII'!$A:$AU,2,0)))*B83</f>
        <v>70499684.02</v>
      </c>
      <c r="I83" s="41">
        <f>MID(VLOOKUP($A83,'Dados ClubeFII'!$A:$AU,column(I83)-$A$5,0),3,100)/1</f>
        <v>139022535.8</v>
      </c>
      <c r="J83" s="42">
        <f>VLOOKUP($A83,'Dados ClubeFII'!$A:$AU,column(J83)-$A$5,0)/mid(VLOOKUP($A83,'Dados ClubeFII'!$A:$AU,2,0),3,SEARCH(",",VLOOKUP($A83,'Dados ClubeFII'!$A:$AU,2,0)))*B83</f>
        <v>0.5091863517</v>
      </c>
      <c r="K83" s="41">
        <f>if(VLOOKUP($A83,'Dados ClubeFII'!$A:$AU,column(K83)-$A$5,0)="N/D",0,MID(VLOOKUP($A83,'Dados ClubeFII'!$A:$AU,column(K83)-$A$5,0),3,100)/1)/mid(VLOOKUP($A83,'Dados ClubeFII'!$A:$AU,2,0),3,SEARCH(",",VLOOKUP($A83,'Dados ClubeFII'!$A:$AU,2,0)))*B83</f>
        <v>1168.063307</v>
      </c>
      <c r="L83" s="41">
        <f>if(VLOOKUP($A83,'Dados ClubeFII'!$A:$AU,column(L83)-$A$5,0)="N/D",0,MID(VLOOKUP($A83,'Dados ClubeFII'!$A:$AU,column(L83)-$A$5,0),3,100)/1)</f>
        <v>2303.38</v>
      </c>
      <c r="M83" s="41">
        <f>MID(VLOOKUP($A83,'Dados ClubeFII'!$A:$AU,column(M83)-$A$5,0),3,100)/1</f>
        <v>0.32</v>
      </c>
      <c r="N83" s="41">
        <f>MID(VLOOKUP($A83,'Dados ClubeFII'!$A:$AU,column(N83)-$A$5,0),3,100)/1</f>
        <v>5.9</v>
      </c>
      <c r="O83" s="41">
        <f>LEFT(VLOOKUP($A83,'Dados ClubeFII'!$A:$AU,column(O83)-$A$5,0),len(VLOOKUP($A83,'Dados ClubeFII'!$A:$AU,column(O83)-$A$5,0))-2)/1</f>
        <v>60356</v>
      </c>
      <c r="P83" s="43">
        <f>VLOOKUP($A83,'Dados ClubeFII'!$A:$AU,column(P83)-$A$5,0)</f>
        <v>44971</v>
      </c>
      <c r="Q83" s="44">
        <f>VLOOKUP($A83,'Dados ClubeFII'!$A:$AU,column(Q83)-$A$5,0)/mid(VLOOKUP($A83,'Dados ClubeFII'!$A:$AU,2,0),3,SEARCH(",",VLOOKUP($A83,'Dados ClubeFII'!$A:$AU,2,0)))*B83</f>
        <v>0.06466666667</v>
      </c>
      <c r="R83" s="44">
        <f>VLOOKUP($A83,'Dados ClubeFII'!$A:$AU,column(R83)-$A$5,0)/mid(VLOOKUP($A83,'Dados ClubeFII'!$A:$AU,2,0),3,SEARCH(",",VLOOKUP($A83,'Dados ClubeFII'!$A:$AU,2,0)))*B83</f>
        <v>0.1205753281</v>
      </c>
      <c r="S83" s="43">
        <f>VLOOKUP($A83,'Dados ClubeFII'!$A:$AU,column(S83)-$A$5,0)</f>
        <v>40112</v>
      </c>
      <c r="T83" s="41">
        <f>MID(VLOOKUP($A83,'Dados ClubeFII'!$A:$AU,column(T83)-$A$5,0),3,100)/1</f>
        <v>52.63</v>
      </c>
      <c r="U83" s="45">
        <f>VLOOKUP($A83,'Dados ClubeFII'!$A:$AU,column(U83)-$A$5,0)/mid(VLOOKUP($A83,'Dados ClubeFII'!$A:$AU,2,0),4,SEARCH(",",VLOOKUP($A83,'Dados ClubeFII'!$A:$AU,2,0))-1)*B83</f>
        <v>-7.481933333</v>
      </c>
      <c r="V83" s="42">
        <f>VLOOKUP($A83,'Dados ClubeFII'!$A:$AU,column(V83)-$A$5,0)</f>
        <v>0.028</v>
      </c>
      <c r="W83" s="43" t="str">
        <f>VLOOKUP($A83,'Dados ClubeFII'!$A:$AU,column(W83)-$A$5,0)</f>
        <v>N/D</v>
      </c>
      <c r="X83" s="45">
        <f>VLOOKUP($A83,'Dados ClubeFII'!$A:$AU,column(X83)-$A$5,0)</f>
        <v>0</v>
      </c>
      <c r="Y83" s="41">
        <f>MID(VLOOKUP($A83,'Dados ClubeFII'!$A:$AU,column(Y83)-$A$5,0),3,100)/1</f>
        <v>245446</v>
      </c>
      <c r="Z83" s="46">
        <f>VLOOKUP($A83,'Dados ClubeFII'!$A:$AU,column(Z83)-$A$5,0)</f>
        <v>4195</v>
      </c>
      <c r="AA83" s="47">
        <f t="shared" si="2"/>
        <v>1135626</v>
      </c>
      <c r="AB83" s="48">
        <f t="shared" si="3"/>
        <v>122.4192963</v>
      </c>
      <c r="AC83" s="48"/>
      <c r="AD83" s="48"/>
      <c r="AE83" s="48"/>
    </row>
    <row r="84">
      <c r="A84" s="37" t="s">
        <v>108</v>
      </c>
      <c r="B84" s="38" t="str">
        <f>IFERROR(__xludf.DUMMYFUNCTION("GOOGLEFINANCE(A84)"),"#N/A")</f>
        <v>#N/A</v>
      </c>
      <c r="C84" s="38" t="str">
        <f>IFERROR(__xludf.DUMMYFUNCTION("GOOGLEFINANCE($A84,""high52"")"),"#N/A")</f>
        <v>#N/A</v>
      </c>
      <c r="D84" s="39" t="str">
        <f t="shared" si="4"/>
        <v>#N/A</v>
      </c>
      <c r="E84" s="40" t="str">
        <f>VLOOKUP($A84,'Dados ClubeFII'!$A:$AU,column(E84)-$A$5,0)</f>
        <v>#N/A</v>
      </c>
      <c r="F84" s="40" t="str">
        <f>VLOOKUP($A84,'Dados ClubeFII'!$A:$AU,column(F84)-$A$5,0)</f>
        <v>#N/A</v>
      </c>
      <c r="G84" s="40" t="str">
        <f>VLOOKUP($A84,'Dados ClubeFII'!$A:$AU,column(G84)-$A$5,0)</f>
        <v>#N/A</v>
      </c>
      <c r="H84" s="41" t="str">
        <f>MID(VLOOKUP($A84,'Dados ClubeFII'!$A:$AU,COLUMN(H84)-$A$5,0),3,100)/MID(VLOOKUP($A84,'Dados ClubeFII'!$A:$AU,2,0),3,SEARCH(",",VLOOKUP($A84,'Dados ClubeFII'!$A:$AU,2,0)))*B84</f>
        <v>#N/A</v>
      </c>
      <c r="I84" s="41" t="str">
        <f>MID(VLOOKUP($A84,'Dados ClubeFII'!$A:$AU,column(I84)-$A$5,0),3,100)/1</f>
        <v>#N/A</v>
      </c>
      <c r="J84" s="42" t="str">
        <f>VLOOKUP($A84,'Dados ClubeFII'!$A:$AU,column(J84)-$A$5,0)/mid(VLOOKUP($A84,'Dados ClubeFII'!$A:$AU,2,0),3,SEARCH(",",VLOOKUP($A84,'Dados ClubeFII'!$A:$AU,2,0)))*B84</f>
        <v>#N/A</v>
      </c>
      <c r="K84" s="41" t="str">
        <f>if(VLOOKUP($A84,'Dados ClubeFII'!$A:$AU,column(K84)-$A$5,0)="N/D",0,MID(VLOOKUP($A84,'Dados ClubeFII'!$A:$AU,column(K84)-$A$5,0),3,100)/1)/mid(VLOOKUP($A84,'Dados ClubeFII'!$A:$AU,2,0),3,SEARCH(",",VLOOKUP($A84,'Dados ClubeFII'!$A:$AU,2,0)))*B84</f>
        <v>#N/A</v>
      </c>
      <c r="L84" s="41" t="str">
        <f>if(VLOOKUP($A84,'Dados ClubeFII'!$A:$AU,column(L84)-$A$5,0)="N/D",0,MID(VLOOKUP($A84,'Dados ClubeFII'!$A:$AU,column(L84)-$A$5,0),3,100)/1)</f>
        <v>#N/A</v>
      </c>
      <c r="M84" s="41" t="str">
        <f>MID(VLOOKUP($A84,'Dados ClubeFII'!$A:$AU,column(M84)-$A$5,0),3,100)/1</f>
        <v>#N/A</v>
      </c>
      <c r="N84" s="41" t="str">
        <f>MID(VLOOKUP($A84,'Dados ClubeFII'!$A:$AU,column(N84)-$A$5,0),3,100)/1</f>
        <v>#N/A</v>
      </c>
      <c r="O84" s="41" t="str">
        <f>LEFT(VLOOKUP($A84,'Dados ClubeFII'!$A:$AU,column(O84)-$A$5,0),len(VLOOKUP($A84,'Dados ClubeFII'!$A:$AU,column(O84)-$A$5,0))-2)/1</f>
        <v>#N/A</v>
      </c>
      <c r="P84" s="43" t="str">
        <f>VLOOKUP($A84,'Dados ClubeFII'!$A:$AU,column(P84)-$A$5,0)</f>
        <v>#N/A</v>
      </c>
      <c r="Q84" s="44" t="str">
        <f>VLOOKUP($A84,'Dados ClubeFII'!$A:$AU,column(Q84)-$A$5,0)/mid(VLOOKUP($A84,'Dados ClubeFII'!$A:$AU,2,0),3,SEARCH(",",VLOOKUP($A84,'Dados ClubeFII'!$A:$AU,2,0)))*B84</f>
        <v>#N/A</v>
      </c>
      <c r="R84" s="44" t="str">
        <f>VLOOKUP($A84,'Dados ClubeFII'!$A:$AU,column(R84)-$A$5,0)/mid(VLOOKUP($A84,'Dados ClubeFII'!$A:$AU,2,0),3,SEARCH(",",VLOOKUP($A84,'Dados ClubeFII'!$A:$AU,2,0)))*B84</f>
        <v>#N/A</v>
      </c>
      <c r="S84" s="43" t="str">
        <f>VLOOKUP($A84,'Dados ClubeFII'!$A:$AU,column(S84)-$A$5,0)</f>
        <v>#N/A</v>
      </c>
      <c r="T84" s="41" t="str">
        <f>MID(VLOOKUP($A84,'Dados ClubeFII'!$A:$AU,column(T84)-$A$5,0),3,100)/1</f>
        <v>#N/A</v>
      </c>
      <c r="U84" s="45" t="str">
        <f>VLOOKUP($A84,'Dados ClubeFII'!$A:$AU,column(U84)-$A$5,0)/mid(VLOOKUP($A84,'Dados ClubeFII'!$A:$AU,2,0),4,SEARCH(",",VLOOKUP($A84,'Dados ClubeFII'!$A:$AU,2,0))-1)*B84</f>
        <v>#N/A</v>
      </c>
      <c r="V84" s="42" t="str">
        <f>VLOOKUP($A84,'Dados ClubeFII'!$A:$AU,column(V84)-$A$5,0)</f>
        <v>#N/A</v>
      </c>
      <c r="W84" s="43" t="str">
        <f>VLOOKUP($A84,'Dados ClubeFII'!$A:$AU,column(W84)-$A$5,0)</f>
        <v>#N/A</v>
      </c>
      <c r="X84" s="45" t="str">
        <f>VLOOKUP($A84,'Dados ClubeFII'!$A:$AU,column(X84)-$A$5,0)</f>
        <v>#N/A</v>
      </c>
      <c r="Y84" s="41" t="str">
        <f>MID(VLOOKUP($A84,'Dados ClubeFII'!$A:$AU,column(Y84)-$A$5,0),3,100)/1</f>
        <v>#N/A</v>
      </c>
      <c r="Z84" s="40" t="str">
        <f>VLOOKUP($A84,'Dados ClubeFII'!$A:$AU,column(Z84)-$A$5,0)</f>
        <v>#N/A</v>
      </c>
      <c r="AA84" s="47" t="str">
        <f t="shared" si="2"/>
        <v>#N/A</v>
      </c>
      <c r="AB84" s="48" t="str">
        <f t="shared" si="3"/>
        <v>#N/A</v>
      </c>
      <c r="AC84" s="48"/>
      <c r="AD84" s="48"/>
      <c r="AE84" s="48"/>
    </row>
    <row r="85">
      <c r="A85" s="37" t="s">
        <v>109</v>
      </c>
      <c r="B85" s="38">
        <f>IFERROR(__xludf.DUMMYFUNCTION("GOOGLEFINANCE(A85)"),61.68)</f>
        <v>61.68</v>
      </c>
      <c r="C85" s="38">
        <f>IFERROR(__xludf.DUMMYFUNCTION("GOOGLEFINANCE($A85,""high52"")"),69.7)</f>
        <v>69.7</v>
      </c>
      <c r="D85" s="39">
        <f t="shared" si="4"/>
        <v>-0.1150645624</v>
      </c>
      <c r="E85" s="40" t="str">
        <f>VLOOKUP($A85,'Dados ClubeFII'!$A:$AU,column(E85)-$A$5,0)</f>
        <v>BTG Pactual Fundo de Fundos</v>
      </c>
      <c r="F85" s="40" t="str">
        <f>VLOOKUP($A85,'Dados ClubeFII'!$A:$AU,column(F85)-$A$5,0)</f>
        <v>BTG PACTUAL</v>
      </c>
      <c r="G85" s="40" t="str">
        <f>VLOOKUP($A85,'Dados ClubeFII'!$A:$AU,column(G85)-$A$5,0)</f>
        <v>Fundo de Fundos</v>
      </c>
      <c r="H85" s="41">
        <f>MID(VLOOKUP($A85,'Dados ClubeFII'!$A:$AU,column(H85)-$A$5,0),3,100)/mid(VLOOKUP($A85,'Dados ClubeFII'!$A:$AU,2,0),4,SEARCH(",",VLOOKUP($A85,'Dados ClubeFII'!$A:$AU,2,0))-1)*B85</f>
        <v>32891982155</v>
      </c>
      <c r="I85" s="41">
        <f>MID(VLOOKUP($A85,'Dados ClubeFII'!$A:$AU,column(I85)-$A$5,0),3,100)/1</f>
        <v>1855471698</v>
      </c>
      <c r="J85" s="42">
        <f>VLOOKUP($A85,'Dados ClubeFII'!$A:$AU,column(J85)-$A$5,0)/mid(VLOOKUP($A85,'Dados ClubeFII'!$A:$AU,2,0),3,SEARCH(",",VLOOKUP($A85,'Dados ClubeFII'!$A:$AU,2,0)))*B85</f>
        <v>0.8328514694</v>
      </c>
      <c r="K85" s="41">
        <f>if(VLOOKUP($A85,'Dados ClubeFII'!$A:$AU,column(K85)-$A$5,0)="N/D",0,MID(VLOOKUP($A85,'Dados ClubeFII'!$A:$AU,column(K85)-$A$5,0),3,100)/1)/mid(VLOOKUP($A85,'Dados ClubeFII'!$A:$AU,2,0),3,SEARCH(",",VLOOKUP($A85,'Dados ClubeFII'!$A:$AU,2,0)))*B85</f>
        <v>0</v>
      </c>
      <c r="L85" s="41">
        <f>if(VLOOKUP($A85,'Dados ClubeFII'!$A:$AU,column(L85)-$A$5,0)="N/D",0,MID(VLOOKUP($A85,'Dados ClubeFII'!$A:$AU,column(L85)-$A$5,0),3,100)/1)</f>
        <v>0</v>
      </c>
      <c r="M85" s="41">
        <f>MID(VLOOKUP($A85,'Dados ClubeFII'!$A:$AU,column(M85)-$A$5,0),3,100)/1</f>
        <v>0.56</v>
      </c>
      <c r="N85" s="41">
        <f>MID(VLOOKUP($A85,'Dados ClubeFII'!$A:$AU,column(N85)-$A$5,0),3,100)/1</f>
        <v>0</v>
      </c>
      <c r="O85" s="41">
        <f>LEFT(VLOOKUP($A85,'Dados ClubeFII'!$A:$AU,column(O85)-$A$5,0),len(VLOOKUP($A85,'Dados ClubeFII'!$A:$AU,column(O85)-$A$5,0))-2)/1</f>
        <v>0</v>
      </c>
      <c r="P85" s="43">
        <f>VLOOKUP($A85,'Dados ClubeFII'!$A:$AU,column(P85)-$A$5,0)</f>
        <v>44971</v>
      </c>
      <c r="Q85" s="44">
        <f>VLOOKUP($A85,'Dados ClubeFII'!$A:$AU,column(Q85)-$A$5,0)/mid(VLOOKUP($A85,'Dados ClubeFII'!$A:$AU,2,0),3,SEARCH(",",VLOOKUP($A85,'Dados ClubeFII'!$A:$AU,2,0)))*B85</f>
        <v>0.1108182367</v>
      </c>
      <c r="R85" s="44">
        <f>VLOOKUP($A85,'Dados ClubeFII'!$A:$AU,column(R85)-$A$5,0)/mid(VLOOKUP($A85,'Dados ClubeFII'!$A:$AU,2,0),3,SEARCH(",",VLOOKUP($A85,'Dados ClubeFII'!$A:$AU,2,0)))*B85</f>
        <v>0.1047433201</v>
      </c>
      <c r="S85" s="43">
        <f>VLOOKUP($A85,'Dados ClubeFII'!$A:$AU,column(S85)-$A$5,0)</f>
        <v>40346</v>
      </c>
      <c r="T85" s="41">
        <f>MID(VLOOKUP($A85,'Dados ClubeFII'!$A:$AU,column(T85)-$A$5,0),3,100)/1</f>
        <v>100</v>
      </c>
      <c r="U85" s="45">
        <f>VLOOKUP($A85,'Dados ClubeFII'!$A:$AU,column(U85)-$A$5,0)/mid(VLOOKUP($A85,'Dados ClubeFII'!$A:$AU,2,0),4,SEARCH(",",VLOOKUP($A85,'Dados ClubeFII'!$A:$AU,2,0))-1)*B85</f>
        <v>-1.198055593</v>
      </c>
      <c r="V85" s="42" t="str">
        <f>VLOOKUP($A85,'Dados ClubeFII'!$A:$AU,column(V85)-$A$5,0)</f>
        <v>N/D</v>
      </c>
      <c r="W85" s="43" t="str">
        <f>VLOOKUP($A85,'Dados ClubeFII'!$A:$AU,column(W85)-$A$5,0)</f>
        <v>N/D</v>
      </c>
      <c r="X85" s="45">
        <f>VLOOKUP($A85,'Dados ClubeFII'!$A:$AU,column(X85)-$A$5,0)</f>
        <v>0.0153</v>
      </c>
      <c r="Y85" s="41">
        <f>MID(VLOOKUP($A85,'Dados ClubeFII'!$A:$AU,column(Y85)-$A$5,0),3,100)/1</f>
        <v>2409257.36</v>
      </c>
      <c r="Z85" s="46">
        <f>VLOOKUP($A85,'Dados ClubeFII'!$A:$AU,column(Z85)-$A$5,0)</f>
        <v>310386</v>
      </c>
      <c r="AA85" s="47">
        <f t="shared" si="2"/>
        <v>533268193</v>
      </c>
      <c r="AB85" s="48">
        <f t="shared" si="3"/>
        <v>3.479434405</v>
      </c>
      <c r="AC85" s="48"/>
      <c r="AD85" s="48"/>
      <c r="AE85" s="48"/>
    </row>
    <row r="86">
      <c r="A86" s="37" t="s">
        <v>110</v>
      </c>
      <c r="B86" s="38">
        <f>IFERROR(__xludf.DUMMYFUNCTION("GOOGLEFINANCE(A86)"),60.9)</f>
        <v>60.9</v>
      </c>
      <c r="C86" s="38">
        <f>IFERROR(__xludf.DUMMYFUNCTION("GOOGLEFINANCE($A86,""high52"")"),81.72)</f>
        <v>81.72</v>
      </c>
      <c r="D86" s="39">
        <f t="shared" si="4"/>
        <v>-0.2547723935</v>
      </c>
      <c r="E86" s="40" t="str">
        <f>VLOOKUP($A86,'Dados ClubeFII'!$A:$AU,column(E86)-$A$5,0)</f>
        <v>Pátria Logística</v>
      </c>
      <c r="F86" s="40" t="str">
        <f>VLOOKUP($A86,'Dados ClubeFII'!$A:$AU,column(F86)-$A$5,0)</f>
        <v>VBI REAL ESTATE</v>
      </c>
      <c r="G86" s="40" t="str">
        <f>VLOOKUP($A86,'Dados ClubeFII'!$A:$AU,column(G86)-$A$5,0)</f>
        <v>Logisticos</v>
      </c>
      <c r="H86" s="41">
        <f>MID(VLOOKUP($A86,'Dados ClubeFII'!$A:$AU,COLUMN(H86)-$A$5,0),3,100)/MID(VLOOKUP($A86,'Dados ClubeFII'!$A:$AU,2,0),3,SEARCH(",",VLOOKUP($A86,'Dados ClubeFII'!$A:$AU,2,0)))*B86</f>
        <v>302922948.4</v>
      </c>
      <c r="I86" s="41">
        <f>MID(VLOOKUP($A86,'Dados ClubeFII'!$A:$AU,column(I86)-$A$5,0),3,100)/1</f>
        <v>489269976</v>
      </c>
      <c r="J86" s="42">
        <f>VLOOKUP($A86,'Dados ClubeFII'!$A:$AU,column(J86)-$A$5,0)/mid(VLOOKUP($A86,'Dados ClubeFII'!$A:$AU,2,0),3,SEARCH(",",VLOOKUP($A86,'Dados ClubeFII'!$A:$AU,2,0)))*B86</f>
        <v>0.6186666667</v>
      </c>
      <c r="K86" s="41">
        <f>if(VLOOKUP($A86,'Dados ClubeFII'!$A:$AU,column(K86)-$A$5,0)="N/D",0,MID(VLOOKUP($A86,'Dados ClubeFII'!$A:$AU,column(K86)-$A$5,0),3,100)/1)/mid(VLOOKUP($A86,'Dados ClubeFII'!$A:$AU,2,0),3,SEARCH(",",VLOOKUP($A86,'Dados ClubeFII'!$A:$AU,2,0)))*B86</f>
        <v>2004.383333</v>
      </c>
      <c r="L86" s="41">
        <f>if(VLOOKUP($A86,'Dados ClubeFII'!$A:$AU,column(L86)-$A$5,0)="N/D",0,MID(VLOOKUP($A86,'Dados ClubeFII'!$A:$AU,column(L86)-$A$5,0),3,100)/1)</f>
        <v>3237.41</v>
      </c>
      <c r="M86" s="41">
        <f>MID(VLOOKUP($A86,'Dados ClubeFII'!$A:$AU,column(M86)-$A$5,0),3,100)/1</f>
        <v>0.58</v>
      </c>
      <c r="N86" s="41">
        <f>MID(VLOOKUP($A86,'Dados ClubeFII'!$A:$AU,column(N86)-$A$5,0),3,100)/1</f>
        <v>19.16</v>
      </c>
      <c r="O86" s="41">
        <f>LEFT(VLOOKUP($A86,'Dados ClubeFII'!$A:$AU,column(O86)-$A$5,0),len(VLOOKUP($A86,'Dados ClubeFII'!$A:$AU,column(O86)-$A$5,0))-2)/1</f>
        <v>151130</v>
      </c>
      <c r="P86" s="43">
        <f>VLOOKUP($A86,'Dados ClubeFII'!$A:$AU,column(P86)-$A$5,0)</f>
        <v>44965</v>
      </c>
      <c r="Q86" s="44">
        <f>VLOOKUP($A86,'Dados ClubeFII'!$A:$AU,column(Q86)-$A$5,0)/mid(VLOOKUP($A86,'Dados ClubeFII'!$A:$AU,2,0),3,SEARCH(",",VLOOKUP($A86,'Dados ClubeFII'!$A:$AU,2,0)))*B86</f>
        <v>0.11281</v>
      </c>
      <c r="R86" s="44">
        <f>VLOOKUP($A86,'Dados ClubeFII'!$A:$AU,column(R86)-$A$5,0)/mid(VLOOKUP($A86,'Dados ClubeFII'!$A:$AU,2,0),3,SEARCH(",",VLOOKUP($A86,'Dados ClubeFII'!$A:$AU,2,0)))*B86</f>
        <v>0.1072033333</v>
      </c>
      <c r="S86" s="43">
        <f>VLOOKUP($A86,'Dados ClubeFII'!$A:$AU,column(S86)-$A$5,0)</f>
        <v>44057</v>
      </c>
      <c r="T86" s="41">
        <f>MID(VLOOKUP($A86,'Dados ClubeFII'!$A:$AU,column(T86)-$A$5,0),3,100)/1</f>
        <v>100</v>
      </c>
      <c r="U86" s="45">
        <f>VLOOKUP($A86,'Dados ClubeFII'!$A:$AU,column(U86)-$A$5,0)/mid(VLOOKUP($A86,'Dados ClubeFII'!$A:$AU,2,0),4,SEARCH(",",VLOOKUP($A86,'Dados ClubeFII'!$A:$AU,2,0))-1)*B86</f>
        <v>-2.18022</v>
      </c>
      <c r="V86" s="42">
        <f>VLOOKUP($A86,'Dados ClubeFII'!$A:$AU,column(V86)-$A$5,0)</f>
        <v>0.006</v>
      </c>
      <c r="W86" s="43">
        <f>VLOOKUP($A86,'Dados ClubeFII'!$A:$AU,column(W86)-$A$5,0)</f>
        <v>44742</v>
      </c>
      <c r="X86" s="45">
        <f>VLOOKUP($A86,'Dados ClubeFII'!$A:$AU,column(X86)-$A$5,0)</f>
        <v>0.0032</v>
      </c>
      <c r="Y86" s="41">
        <f>MID(VLOOKUP($A86,'Dados ClubeFII'!$A:$AU,column(Y86)-$A$5,0),3,100)/1</f>
        <v>867273.95</v>
      </c>
      <c r="Z86" s="46">
        <f>VLOOKUP($A86,'Dados ClubeFII'!$A:$AU,column(Z86)-$A$5,0)</f>
        <v>24158</v>
      </c>
      <c r="AA86" s="47">
        <f t="shared" si="2"/>
        <v>4974104</v>
      </c>
      <c r="AB86" s="48">
        <f t="shared" si="3"/>
        <v>98.36343912</v>
      </c>
      <c r="AC86" s="48"/>
      <c r="AD86" s="48"/>
      <c r="AE86" s="48"/>
    </row>
    <row r="87">
      <c r="A87" s="37" t="s">
        <v>111</v>
      </c>
      <c r="B87" s="38">
        <f>IFERROR(__xludf.DUMMYFUNCTION("GOOGLEFINANCE(A87)"),93.8)</f>
        <v>93.8</v>
      </c>
      <c r="C87" s="38">
        <f>IFERROR(__xludf.DUMMYFUNCTION("GOOGLEFINANCE($A87,""high52"")"),104.7)</f>
        <v>104.7</v>
      </c>
      <c r="D87" s="39">
        <f t="shared" si="4"/>
        <v>-0.1041069723</v>
      </c>
      <c r="E87" s="40" t="str">
        <f>VLOOKUP($A87,'Dados ClubeFII'!$A:$AU,column(E87)-$A$5,0)</f>
        <v>Athena I</v>
      </c>
      <c r="F87" s="40" t="str">
        <f>VLOOKUP($A87,'Dados ClubeFII'!$A:$AU,column(F87)-$A$5,0)</f>
        <v>BR-CAPITAL</v>
      </c>
      <c r="G87" s="40" t="str">
        <f>VLOOKUP($A87,'Dados ClubeFII'!$A:$AU,column(G87)-$A$5,0)</f>
        <v>Híbrido</v>
      </c>
      <c r="H87" s="41">
        <f>MID(VLOOKUP($A87,'Dados ClubeFII'!$A:$AU,column(H87)-$A$5,0),3,100)/mid(VLOOKUP($A87,'Dados ClubeFII'!$A:$AU,2,0),4,SEARCH(",",VLOOKUP($A87,'Dados ClubeFII'!$A:$AU,2,0))-1)*B87</f>
        <v>2679758908</v>
      </c>
      <c r="I87" s="41">
        <f>MID(VLOOKUP($A87,'Dados ClubeFII'!$A:$AU,column(I87)-$A$5,0),3,100)/1</f>
        <v>120838445.9</v>
      </c>
      <c r="J87" s="42">
        <f>VLOOKUP($A87,'Dados ClubeFII'!$A:$AU,column(J87)-$A$5,0)/mid(VLOOKUP($A87,'Dados ClubeFII'!$A:$AU,2,0),3,SEARCH(",",VLOOKUP($A87,'Dados ClubeFII'!$A:$AU,2,0)))*B87</f>
        <v>0.9479787234</v>
      </c>
      <c r="K87" s="41">
        <f>if(VLOOKUP($A87,'Dados ClubeFII'!$A:$AU,column(K87)-$A$5,0)="N/D",0,MID(VLOOKUP($A87,'Dados ClubeFII'!$A:$AU,column(K87)-$A$5,0),3,100)/1)/mid(VLOOKUP($A87,'Dados ClubeFII'!$A:$AU,2,0),3,SEARCH(",",VLOOKUP($A87,'Dados ClubeFII'!$A:$AU,2,0)))*B87</f>
        <v>9924.479064</v>
      </c>
      <c r="L87" s="41">
        <f>if(VLOOKUP($A87,'Dados ClubeFII'!$A:$AU,column(L87)-$A$5,0)="N/D",0,MID(VLOOKUP($A87,'Dados ClubeFII'!$A:$AU,column(L87)-$A$5,0),3,100)/1)</f>
        <v>10516.84</v>
      </c>
      <c r="M87" s="41">
        <f>MID(VLOOKUP($A87,'Dados ClubeFII'!$A:$AU,column(M87)-$A$5,0),3,100)/1</f>
        <v>0.9</v>
      </c>
      <c r="N87" s="41">
        <f>MID(VLOOKUP($A87,'Dados ClubeFII'!$A:$AU,column(N87)-$A$5,0),3,100)/1</f>
        <v>95.18</v>
      </c>
      <c r="O87" s="41">
        <f>LEFT(VLOOKUP($A87,'Dados ClubeFII'!$A:$AU,column(O87)-$A$5,0),len(VLOOKUP($A87,'Dados ClubeFII'!$A:$AU,column(O87)-$A$5,0))-2)/1</f>
        <v>11490</v>
      </c>
      <c r="P87" s="43">
        <f>VLOOKUP($A87,'Dados ClubeFII'!$A:$AU,column(P87)-$A$5,0)</f>
        <v>44971</v>
      </c>
      <c r="Q87" s="44">
        <f>VLOOKUP($A87,'Dados ClubeFII'!$A:$AU,column(Q87)-$A$5,0)/mid(VLOOKUP($A87,'Dados ClubeFII'!$A:$AU,2,0),3,SEARCH(",",VLOOKUP($A87,'Dados ClubeFII'!$A:$AU,2,0)))*B87</f>
        <v>0.1208423404</v>
      </c>
      <c r="R87" s="44">
        <f>VLOOKUP($A87,'Dados ClubeFII'!$A:$AU,column(R87)-$A$5,0)/mid(VLOOKUP($A87,'Dados ClubeFII'!$A:$AU,2,0),3,SEARCH(",",VLOOKUP($A87,'Dados ClubeFII'!$A:$AU,2,0)))*B87</f>
        <v>0.1075706383</v>
      </c>
      <c r="S87" s="43">
        <f>VLOOKUP($A87,'Dados ClubeFII'!$A:$AU,column(S87)-$A$5,0)</f>
        <v>43986</v>
      </c>
      <c r="T87" s="41">
        <f>MID(VLOOKUP($A87,'Dados ClubeFII'!$A:$AU,column(T87)-$A$5,0),3,100)/1</f>
        <v>100</v>
      </c>
      <c r="U87" s="45">
        <f>VLOOKUP($A87,'Dados ClubeFII'!$A:$AU,column(U87)-$A$5,0)/mid(VLOOKUP($A87,'Dados ClubeFII'!$A:$AU,2,0),4,SEARCH(",",VLOOKUP($A87,'Dados ClubeFII'!$A:$AU,2,0))-1)*B87</f>
        <v>0.021105</v>
      </c>
      <c r="V87" s="42">
        <f>VLOOKUP($A87,'Dados ClubeFII'!$A:$AU,column(V87)-$A$5,0)</f>
        <v>0</v>
      </c>
      <c r="W87" s="43" t="str">
        <f>VLOOKUP($A87,'Dados ClubeFII'!$A:$AU,column(W87)-$A$5,0)</f>
        <v>N/D</v>
      </c>
      <c r="X87" s="45">
        <f>VLOOKUP($A87,'Dados ClubeFII'!$A:$AU,column(X87)-$A$5,0)</f>
        <v>0</v>
      </c>
      <c r="Y87" s="41">
        <f>MID(VLOOKUP($A87,'Dados ClubeFII'!$A:$AU,column(Y87)-$A$5,0),3,100)/1</f>
        <v>59138.78</v>
      </c>
      <c r="Z87" s="46">
        <f>VLOOKUP($A87,'Dados ClubeFII'!$A:$AU,column(Z87)-$A$5,0)</f>
        <v>919</v>
      </c>
      <c r="AA87" s="47">
        <f t="shared" si="2"/>
        <v>28568858</v>
      </c>
      <c r="AB87" s="48">
        <f t="shared" si="3"/>
        <v>4.229726156</v>
      </c>
      <c r="AC87" s="48"/>
      <c r="AD87" s="48"/>
      <c r="AE87" s="48"/>
    </row>
    <row r="88">
      <c r="A88" s="37" t="s">
        <v>112</v>
      </c>
      <c r="B88" s="38">
        <f>IFERROR(__xludf.DUMMYFUNCTION("GOOGLEFINANCE(A88)"),61.1)</f>
        <v>61.1</v>
      </c>
      <c r="C88" s="38">
        <f>IFERROR(__xludf.DUMMYFUNCTION("GOOGLEFINANCE($A88,""high52"")"),76.91)</f>
        <v>76.91</v>
      </c>
      <c r="D88" s="39">
        <f t="shared" si="4"/>
        <v>-0.205564946</v>
      </c>
      <c r="E88" s="40" t="str">
        <f>VLOOKUP($A88,'Dados ClubeFII'!$A:$AU,column(E88)-$A$5,0)</f>
        <v>Autonomy Edifícios Corporativos</v>
      </c>
      <c r="F88" s="40" t="str">
        <f>VLOOKUP($A88,'Dados ClubeFII'!$A:$AU,column(F88)-$A$5,0)</f>
        <v>Autonomy Investimentos</v>
      </c>
      <c r="G88" s="40" t="str">
        <f>VLOOKUP($A88,'Dados ClubeFII'!$A:$AU,column(G88)-$A$5,0)</f>
        <v>Lajes Comerciais</v>
      </c>
      <c r="H88" s="41">
        <f>MID(VLOOKUP($A88,'Dados ClubeFII'!$A:$AU,COLUMN(H88)-$A$5,0),3,100)/MID(VLOOKUP($A88,'Dados ClubeFII'!$A:$AU,2,0),3,SEARCH(",",VLOOKUP($A88,'Dados ClubeFII'!$A:$AU,2,0)))*B88</f>
        <v>293295118.7</v>
      </c>
      <c r="I88" s="41">
        <f>MID(VLOOKUP($A88,'Dados ClubeFII'!$A:$AU,column(I88)-$A$5,0),3,100)/1</f>
        <v>454619127.5</v>
      </c>
      <c r="J88" s="42">
        <f>VLOOKUP($A88,'Dados ClubeFII'!$A:$AU,column(J88)-$A$5,0)/mid(VLOOKUP($A88,'Dados ClubeFII'!$A:$AU,2,0),3,SEARCH(",",VLOOKUP($A88,'Dados ClubeFII'!$A:$AU,2,0)))*B88</f>
        <v>0.6461464509</v>
      </c>
      <c r="K88" s="41">
        <f>if(VLOOKUP($A88,'Dados ClubeFII'!$A:$AU,column(K88)-$A$5,0)="N/D",0,MID(VLOOKUP($A88,'Dados ClubeFII'!$A:$AU,column(K88)-$A$5,0),3,100)/1)/mid(VLOOKUP($A88,'Dados ClubeFII'!$A:$AU,2,0),3,SEARCH(",",VLOOKUP($A88,'Dados ClubeFII'!$A:$AU,2,0)))*B88</f>
        <v>12758.06377</v>
      </c>
      <c r="L88" s="41">
        <f>if(VLOOKUP($A88,'Dados ClubeFII'!$A:$AU,column(L88)-$A$5,0)="N/D",0,MID(VLOOKUP($A88,'Dados ClubeFII'!$A:$AU,column(L88)-$A$5,0),3,100)/1)</f>
        <v>19775.51</v>
      </c>
      <c r="M88" s="41">
        <f>MID(VLOOKUP($A88,'Dados ClubeFII'!$A:$AU,column(M88)-$A$5,0),3,100)/1</f>
        <v>0.18</v>
      </c>
      <c r="N88" s="41">
        <f>MID(VLOOKUP($A88,'Dados ClubeFII'!$A:$AU,column(N88)-$A$5,0),3,100)/1</f>
        <v>37.78</v>
      </c>
      <c r="O88" s="41">
        <f>LEFT(VLOOKUP($A88,'Dados ClubeFII'!$A:$AU,column(O88)-$A$5,0),len(VLOOKUP($A88,'Dados ClubeFII'!$A:$AU,column(O88)-$A$5,0))-2)/1</f>
        <v>22989</v>
      </c>
      <c r="P88" s="43">
        <f>VLOOKUP($A88,'Dados ClubeFII'!$A:$AU,column(P88)-$A$5,0)</f>
        <v>44965</v>
      </c>
      <c r="Q88" s="44">
        <f>VLOOKUP($A88,'Dados ClubeFII'!$A:$AU,column(Q88)-$A$5,0)/mid(VLOOKUP($A88,'Dados ClubeFII'!$A:$AU,2,0),3,SEARCH(",",VLOOKUP($A88,'Dados ClubeFII'!$A:$AU,2,0)))*B88</f>
        <v>0.034656946</v>
      </c>
      <c r="R88" s="44">
        <f>VLOOKUP($A88,'Dados ClubeFII'!$A:$AU,column(R88)-$A$5,0)/mid(VLOOKUP($A88,'Dados ClubeFII'!$A:$AU,2,0),3,SEARCH(",",VLOOKUP($A88,'Dados ClubeFII'!$A:$AU,2,0)))*B88</f>
        <v>0.1482220798</v>
      </c>
      <c r="S88" s="43">
        <f>VLOOKUP($A88,'Dados ClubeFII'!$A:$AU,column(S88)-$A$5,0)</f>
        <v>44076</v>
      </c>
      <c r="T88" s="41">
        <f>MID(VLOOKUP($A88,'Dados ClubeFII'!$A:$AU,column(T88)-$A$5,0),3,100)/1</f>
        <v>100</v>
      </c>
      <c r="U88" s="45">
        <f>VLOOKUP($A88,'Dados ClubeFII'!$A:$AU,column(U88)-$A$5,0)/mid(VLOOKUP($A88,'Dados ClubeFII'!$A:$AU,2,0),4,SEARCH(",",VLOOKUP($A88,'Dados ClubeFII'!$A:$AU,2,0))-1)*B88</f>
        <v>-2.687385892</v>
      </c>
      <c r="V88" s="42">
        <f>VLOOKUP($A88,'Dados ClubeFII'!$A:$AU,column(V88)-$A$5,0)</f>
        <v>0</v>
      </c>
      <c r="W88" s="43" t="str">
        <f>VLOOKUP($A88,'Dados ClubeFII'!$A:$AU,column(W88)-$A$5,0)</f>
        <v>N/D</v>
      </c>
      <c r="X88" s="45">
        <f>VLOOKUP($A88,'Dados ClubeFII'!$A:$AU,column(X88)-$A$5,0)</f>
        <v>0.003</v>
      </c>
      <c r="Y88" s="41">
        <f>MID(VLOOKUP($A88,'Dados ClubeFII'!$A:$AU,column(Y88)-$A$5,0),3,100)/1</f>
        <v>382880.34</v>
      </c>
      <c r="Z88" s="46">
        <f>VLOOKUP($A88,'Dados ClubeFII'!$A:$AU,column(Z88)-$A$5,0)</f>
        <v>12407</v>
      </c>
      <c r="AA88" s="47">
        <f t="shared" si="2"/>
        <v>4800247</v>
      </c>
      <c r="AB88" s="48">
        <f t="shared" si="3"/>
        <v>94.70744475</v>
      </c>
      <c r="AC88" s="48"/>
      <c r="AD88" s="48"/>
      <c r="AE88" s="48"/>
    </row>
    <row r="89">
      <c r="A89" s="49" t="s">
        <v>113</v>
      </c>
      <c r="B89" s="38">
        <f>IFERROR(__xludf.DUMMYFUNCTION("GOOGLEFINANCE(A89)"),183.03)</f>
        <v>183.03</v>
      </c>
      <c r="C89" s="38">
        <f>IFERROR(__xludf.DUMMYFUNCTION("GOOGLEFINANCE($A89,""high52"")"),250.0)</f>
        <v>250</v>
      </c>
      <c r="D89" s="39">
        <f t="shared" si="4"/>
        <v>-0.26788</v>
      </c>
      <c r="E89" s="40" t="str">
        <f>VLOOKUP($A89,'Dados ClubeFII'!$A:$AU,column(E89)-$A$5,0)</f>
        <v>Edifício Ourinvest</v>
      </c>
      <c r="F89" s="40" t="str">
        <f>VLOOKUP($A89,'Dados ClubeFII'!$A:$AU,column(F89)-$A$5,0)</f>
        <v>OLIVEIRA TRUST</v>
      </c>
      <c r="G89" s="40" t="str">
        <f>VLOOKUP($A89,'Dados ClubeFII'!$A:$AU,column(G89)-$A$5,0)</f>
        <v>Lajes Comerciais</v>
      </c>
      <c r="H89" s="41">
        <f>MID(VLOOKUP($A89,'Dados ClubeFII'!$A:$AU,COLUMN(H89)-$A$5,0),3,100)/MID(VLOOKUP($A89,'Dados ClubeFII'!$A:$AU,2,0),3,SEARCH(",",VLOOKUP($A89,'Dados ClubeFII'!$A:$AU,2,0)))*B89</f>
        <v>43197239.86</v>
      </c>
      <c r="I89" s="41">
        <f>MID(VLOOKUP($A89,'Dados ClubeFII'!$A:$AU,column(I89)-$A$5,0),3,100)/1</f>
        <v>42629769.94</v>
      </c>
      <c r="J89" s="42">
        <f>VLOOKUP($A89,'Dados ClubeFII'!$A:$AU,column(J89)-$A$5,0)/mid(VLOOKUP($A89,'Dados ClubeFII'!$A:$AU,2,0),3,SEARCH(",",VLOOKUP($A89,'Dados ClubeFII'!$A:$AU,2,0)))*B89</f>
        <v>1.015867293</v>
      </c>
      <c r="K89" s="41">
        <f>if(VLOOKUP($A89,'Dados ClubeFII'!$A:$AU,column(K89)-$A$5,0)="N/D",0,MID(VLOOKUP($A89,'Dados ClubeFII'!$A:$AU,column(K89)-$A$5,0),3,100)/1)/mid(VLOOKUP($A89,'Dados ClubeFII'!$A:$AU,2,0),3,SEARCH(",",VLOOKUP($A89,'Dados ClubeFII'!$A:$AU,2,0)))*B89</f>
        <v>10431.59346</v>
      </c>
      <c r="L89" s="41">
        <f>if(VLOOKUP($A89,'Dados ClubeFII'!$A:$AU,column(L89)-$A$5,0)="N/D",0,MID(VLOOKUP($A89,'Dados ClubeFII'!$A:$AU,column(L89)-$A$5,0),3,100)/1)</f>
        <v>10294.56</v>
      </c>
      <c r="M89" s="41">
        <f>MID(VLOOKUP($A89,'Dados ClubeFII'!$A:$AU,column(M89)-$A$5,0),3,100)/1</f>
        <v>1.7</v>
      </c>
      <c r="N89" s="41">
        <f>MID(VLOOKUP($A89,'Dados ClubeFII'!$A:$AU,column(N89)-$A$5,0),3,100)/1</f>
        <v>97.05</v>
      </c>
      <c r="O89" s="41">
        <f>LEFT(VLOOKUP($A89,'Dados ClubeFII'!$A:$AU,column(O89)-$A$5,0),len(VLOOKUP($A89,'Dados ClubeFII'!$A:$AU,column(O89)-$A$5,0))-2)/1</f>
        <v>4141</v>
      </c>
      <c r="P89" s="43">
        <f>VLOOKUP($A89,'Dados ClubeFII'!$A:$AU,column(P89)-$A$5,0)</f>
        <v>44967</v>
      </c>
      <c r="Q89" s="44">
        <f>VLOOKUP($A89,'Dados ClubeFII'!$A:$AU,column(Q89)-$A$5,0)/mid(VLOOKUP($A89,'Dados ClubeFII'!$A:$AU,2,0),3,SEARCH(",",VLOOKUP($A89,'Dados ClubeFII'!$A:$AU,2,0)))*B89</f>
        <v>0.09801746587</v>
      </c>
      <c r="R89" s="44">
        <f>VLOOKUP($A89,'Dados ClubeFII'!$A:$AU,column(R89)-$A$5,0)/mid(VLOOKUP($A89,'Dados ClubeFII'!$A:$AU,2,0),3,SEARCH(",",VLOOKUP($A89,'Dados ClubeFII'!$A:$AU,2,0)))*B89</f>
        <v>0.09051286064</v>
      </c>
      <c r="S89" s="43">
        <f>VLOOKUP($A89,'Dados ClubeFII'!$A:$AU,column(S89)-$A$5,0)</f>
        <v>38740</v>
      </c>
      <c r="T89" s="41">
        <f>MID(VLOOKUP($A89,'Dados ClubeFII'!$A:$AU,column(T89)-$A$5,0),3,100)/1</f>
        <v>100</v>
      </c>
      <c r="U89" s="45">
        <f>VLOOKUP($A89,'Dados ClubeFII'!$A:$AU,column(U89)-$A$5,0)/mid(VLOOKUP($A89,'Dados ClubeFII'!$A:$AU,2,0),4,SEARCH(",",VLOOKUP($A89,'Dados ClubeFII'!$A:$AU,2,0))-1)*B89</f>
        <v>-0.1663909091</v>
      </c>
      <c r="V89" s="42">
        <f>VLOOKUP($A89,'Dados ClubeFII'!$A:$AU,column(V89)-$A$5,0)</f>
        <v>0.071</v>
      </c>
      <c r="W89" s="43">
        <f>VLOOKUP($A89,'Dados ClubeFII'!$A:$AU,column(W89)-$A$5,0)</f>
        <v>42978</v>
      </c>
      <c r="X89" s="45">
        <f>VLOOKUP($A89,'Dados ClubeFII'!$A:$AU,column(X89)-$A$5,0)</f>
        <v>0</v>
      </c>
      <c r="Y89" s="41">
        <f>MID(VLOOKUP($A89,'Dados ClubeFII'!$A:$AU,column(Y89)-$A$5,0),3,100)/1</f>
        <v>3087.14</v>
      </c>
      <c r="Z89" s="46">
        <f>VLOOKUP($A89,'Dados ClubeFII'!$A:$AU,column(Z89)-$A$5,0)</f>
        <v>546</v>
      </c>
      <c r="AA89" s="47">
        <f t="shared" si="2"/>
        <v>236011</v>
      </c>
      <c r="AB89" s="48">
        <f t="shared" si="3"/>
        <v>180.6261994</v>
      </c>
      <c r="AC89" s="48"/>
      <c r="AD89" s="48"/>
      <c r="AE89" s="48"/>
    </row>
    <row r="90">
      <c r="A90" s="49" t="s">
        <v>114</v>
      </c>
      <c r="B90" s="38">
        <f>IFERROR(__xludf.DUMMYFUNCTION("GOOGLEFINANCE(A90)"),56.86)</f>
        <v>56.86</v>
      </c>
      <c r="C90" s="38">
        <f>IFERROR(__xludf.DUMMYFUNCTION("GOOGLEFINANCE($A90,""high52"")"),73.62)</f>
        <v>73.62</v>
      </c>
      <c r="D90" s="39">
        <f t="shared" si="4"/>
        <v>-0.2276555284</v>
      </c>
      <c r="E90" s="40" t="str">
        <f>VLOOKUP($A90,'Dados ClubeFII'!$A:$AU,column(E90)-$A$5,0)</f>
        <v>BTG Pactual Shoppings</v>
      </c>
      <c r="F90" s="40" t="str">
        <f>VLOOKUP($A90,'Dados ClubeFII'!$A:$AU,column(F90)-$A$5,0)</f>
        <v>BTG PACTUAL</v>
      </c>
      <c r="G90" s="40" t="str">
        <f>VLOOKUP($A90,'Dados ClubeFII'!$A:$AU,column(G90)-$A$5,0)</f>
        <v>Shopping/Varejo</v>
      </c>
      <c r="H90" s="41">
        <f>MID(VLOOKUP($A90,'Dados ClubeFII'!$A:$AU,COLUMN(H90)-$A$5,0),3,100)/MID(VLOOKUP($A90,'Dados ClubeFII'!$A:$AU,2,0),3,SEARCH(",",VLOOKUP($A90,'Dados ClubeFII'!$A:$AU,2,0)))*B90</f>
        <v>244786791.9</v>
      </c>
      <c r="I90" s="41">
        <f>MID(VLOOKUP($A90,'Dados ClubeFII'!$A:$AU,column(I90)-$A$5,0),3,100)/1</f>
        <v>534355401.4</v>
      </c>
      <c r="J90" s="42">
        <f>VLOOKUP($A90,'Dados ClubeFII'!$A:$AU,column(J90)-$A$5,0)/mid(VLOOKUP($A90,'Dados ClubeFII'!$A:$AU,2,0),3,SEARCH(",",VLOOKUP($A90,'Dados ClubeFII'!$A:$AU,2,0)))*B90</f>
        <v>0.4535675492</v>
      </c>
      <c r="K90" s="41">
        <f>if(VLOOKUP($A90,'Dados ClubeFII'!$A:$AU,column(K90)-$A$5,0)="N/D",0,MID(VLOOKUP($A90,'Dados ClubeFII'!$A:$AU,column(K90)-$A$5,0),3,100)/1)/mid(VLOOKUP($A90,'Dados ClubeFII'!$A:$AU,2,0),3,SEARCH(",",VLOOKUP($A90,'Dados ClubeFII'!$A:$AU,2,0)))*B90</f>
        <v>1738.418262</v>
      </c>
      <c r="L90" s="41">
        <f>if(VLOOKUP($A90,'Dados ClubeFII'!$A:$AU,column(L90)-$A$5,0)="N/D",0,MID(VLOOKUP($A90,'Dados ClubeFII'!$A:$AU,column(L90)-$A$5,0),3,100)/1)</f>
        <v>3794.87</v>
      </c>
      <c r="M90" s="41">
        <f>MID(VLOOKUP($A90,'Dados ClubeFII'!$A:$AU,column(M90)-$A$5,0),3,100)/1</f>
        <v>0.27</v>
      </c>
      <c r="N90" s="41">
        <f>MID(VLOOKUP($A90,'Dados ClubeFII'!$A:$AU,column(N90)-$A$5,0),3,100)/1</f>
        <v>8.27</v>
      </c>
      <c r="O90" s="41">
        <f>LEFT(VLOOKUP($A90,'Dados ClubeFII'!$A:$AU,column(O90)-$A$5,0),len(VLOOKUP($A90,'Dados ClubeFII'!$A:$AU,column(O90)-$A$5,0))-2)/1</f>
        <v>140810</v>
      </c>
      <c r="P90" s="43">
        <f>VLOOKUP($A90,'Dados ClubeFII'!$A:$AU,column(P90)-$A$5,0)</f>
        <v>44981</v>
      </c>
      <c r="Q90" s="44">
        <f>VLOOKUP($A90,'Dados ClubeFII'!$A:$AU,column(Q90)-$A$5,0)/mid(VLOOKUP($A90,'Dados ClubeFII'!$A:$AU,2,0),3,SEARCH(",",VLOOKUP($A90,'Dados ClubeFII'!$A:$AU,2,0)))*B90</f>
        <v>0.05452460964</v>
      </c>
      <c r="R90" s="44">
        <f>VLOOKUP($A90,'Dados ClubeFII'!$A:$AU,column(R90)-$A$5,0)/mid(VLOOKUP($A90,'Dados ClubeFII'!$A:$AU,2,0),3,SEARCH(",",VLOOKUP($A90,'Dados ClubeFII'!$A:$AU,2,0)))*B90</f>
        <v>0.04487423625</v>
      </c>
      <c r="S90" s="43">
        <f>VLOOKUP($A90,'Dados ClubeFII'!$A:$AU,column(S90)-$A$5,0)</f>
        <v>43672</v>
      </c>
      <c r="T90" s="41">
        <f>MID(VLOOKUP($A90,'Dados ClubeFII'!$A:$AU,column(T90)-$A$5,0),3,100)/1</f>
        <v>100</v>
      </c>
      <c r="U90" s="45">
        <f>VLOOKUP($A90,'Dados ClubeFII'!$A:$AU,column(U90)-$A$5,0)/mid(VLOOKUP($A90,'Dados ClubeFII'!$A:$AU,2,0),4,SEARCH(",",VLOOKUP($A90,'Dados ClubeFII'!$A:$AU,2,0))-1)*B90</f>
        <v>-0.4232627803</v>
      </c>
      <c r="V90" s="42">
        <f>VLOOKUP($A90,'Dados ClubeFII'!$A:$AU,column(V90)-$A$5,0)</f>
        <v>0.048</v>
      </c>
      <c r="W90" s="43" t="str">
        <f>VLOOKUP($A90,'Dados ClubeFII'!$A:$AU,column(W90)-$A$5,0)</f>
        <v>N/D</v>
      </c>
      <c r="X90" s="45">
        <f>VLOOKUP($A90,'Dados ClubeFII'!$A:$AU,column(X90)-$A$5,0)</f>
        <v>0</v>
      </c>
      <c r="Y90" s="41">
        <f>MID(VLOOKUP($A90,'Dados ClubeFII'!$A:$AU,column(Y90)-$A$5,0),3,100)/1</f>
        <v>13563.55</v>
      </c>
      <c r="Z90" s="46">
        <f>VLOOKUP($A90,'Dados ClubeFII'!$A:$AU,column(Z90)-$A$5,0)</f>
        <v>1587</v>
      </c>
      <c r="AA90" s="47">
        <f t="shared" si="2"/>
        <v>4305079</v>
      </c>
      <c r="AB90" s="48">
        <f t="shared" si="3"/>
        <v>124.1220896</v>
      </c>
      <c r="AC90" s="48"/>
      <c r="AD90" s="48"/>
      <c r="AE90" s="48"/>
    </row>
    <row r="91">
      <c r="A91" s="37" t="s">
        <v>115</v>
      </c>
      <c r="B91" s="38">
        <f>IFERROR(__xludf.DUMMYFUNCTION("GOOGLEFINANCE(A91)"),226.98)</f>
        <v>226.98</v>
      </c>
      <c r="C91" s="38">
        <f>IFERROR(__xludf.DUMMYFUNCTION("GOOGLEFINANCE($A91,""high52"")"),249.38)</f>
        <v>249.38</v>
      </c>
      <c r="D91" s="39">
        <f t="shared" si="4"/>
        <v>-0.08982276045</v>
      </c>
      <c r="E91" s="40" t="str">
        <f>VLOOKUP($A91,'Dados ClubeFII'!$A:$AU,column(E91)-$A$5,0)</f>
        <v>Europar</v>
      </c>
      <c r="F91" s="40" t="str">
        <f>VLOOKUP($A91,'Dados ClubeFII'!$A:$AU,column(F91)-$A$5,0)</f>
        <v>COINVALORES</v>
      </c>
      <c r="G91" s="40" t="str">
        <f>VLOOKUP($A91,'Dados ClubeFII'!$A:$AU,column(G91)-$A$5,0)</f>
        <v>Logisticos</v>
      </c>
      <c r="H91" s="41">
        <f>MID(VLOOKUP($A91,'Dados ClubeFII'!$A:$AU,COLUMN(H91)-$A$5,0),3,100)/MID(VLOOKUP($A91,'Dados ClubeFII'!$A:$AU,2,0),3,SEARCH(",",VLOOKUP($A91,'Dados ClubeFII'!$A:$AU,2,0)))*B91</f>
        <v>86822479.44</v>
      </c>
      <c r="I91" s="41">
        <f>MID(VLOOKUP($A91,'Dados ClubeFII'!$A:$AU,column(I91)-$A$5,0),3,100)/1</f>
        <v>124835471</v>
      </c>
      <c r="J91" s="42">
        <f>VLOOKUP($A91,'Dados ClubeFII'!$A:$AU,column(J91)-$A$5,0)/mid(VLOOKUP($A91,'Dados ClubeFII'!$A:$AU,2,0),3,SEARCH(",",VLOOKUP($A91,'Dados ClubeFII'!$A:$AU,2,0)))*B91</f>
        <v>0.700175914</v>
      </c>
      <c r="K91" s="41">
        <f>if(VLOOKUP($A91,'Dados ClubeFII'!$A:$AU,column(K91)-$A$5,0)="N/D",0,MID(VLOOKUP($A91,'Dados ClubeFII'!$A:$AU,column(K91)-$A$5,0),3,100)/1)/mid(VLOOKUP($A91,'Dados ClubeFII'!$A:$AU,2,0),3,SEARCH(",",VLOOKUP($A91,'Dados ClubeFII'!$A:$AU,2,0)))*B91</f>
        <v>2358.4101</v>
      </c>
      <c r="L91" s="41">
        <f>if(VLOOKUP($A91,'Dados ClubeFII'!$A:$AU,column(L91)-$A$5,0)="N/D",0,MID(VLOOKUP($A91,'Dados ClubeFII'!$A:$AU,column(L91)-$A$5,0),3,100)/1)</f>
        <v>3390.98</v>
      </c>
      <c r="M91" s="41">
        <f>MID(VLOOKUP($A91,'Dados ClubeFII'!$A:$AU,column(M91)-$A$5,0),3,100)/1</f>
        <v>1.87</v>
      </c>
      <c r="N91" s="41">
        <f>MID(VLOOKUP($A91,'Dados ClubeFII'!$A:$AU,column(N91)-$A$5,0),3,100)/1</f>
        <v>19.5</v>
      </c>
      <c r="O91" s="41">
        <f>LEFT(VLOOKUP($A91,'Dados ClubeFII'!$A:$AU,column(O91)-$A$5,0),len(VLOOKUP($A91,'Dados ClubeFII'!$A:$AU,column(O91)-$A$5,0))-2)/1</f>
        <v>36814</v>
      </c>
      <c r="P91" s="43">
        <f>VLOOKUP($A91,'Dados ClubeFII'!$A:$AU,column(P91)-$A$5,0)</f>
        <v>44971</v>
      </c>
      <c r="Q91" s="44">
        <f>VLOOKUP($A91,'Dados ClubeFII'!$A:$AU,column(Q91)-$A$5,0)/mid(VLOOKUP($A91,'Dados ClubeFII'!$A:$AU,2,0),3,SEARCH(",",VLOOKUP($A91,'Dados ClubeFII'!$A:$AU,2,0)))*B91</f>
        <v>0.09272599942</v>
      </c>
      <c r="R91" s="44">
        <f>VLOOKUP($A91,'Dados ClubeFII'!$A:$AU,column(R91)-$A$5,0)/mid(VLOOKUP($A91,'Dados ClubeFII'!$A:$AU,2,0),3,SEARCH(",",VLOOKUP($A91,'Dados ClubeFII'!$A:$AU,2,0)))*B91</f>
        <v>0.08610271374</v>
      </c>
      <c r="S91" s="43">
        <f>VLOOKUP($A91,'Dados ClubeFII'!$A:$AU,column(S91)-$A$5,0)</f>
        <v>37638</v>
      </c>
      <c r="T91" s="41">
        <f>MID(VLOOKUP($A91,'Dados ClubeFII'!$A:$AU,column(T91)-$A$5,0),3,100)/1</f>
        <v>100</v>
      </c>
      <c r="U91" s="45">
        <f>VLOOKUP($A91,'Dados ClubeFII'!$A:$AU,column(U91)-$A$5,0)/mid(VLOOKUP($A91,'Dados ClubeFII'!$A:$AU,2,0),4,SEARCH(",",VLOOKUP($A91,'Dados ClubeFII'!$A:$AU,2,0))-1)*B91</f>
        <v>0.2224847832</v>
      </c>
      <c r="V91" s="42">
        <f>VLOOKUP($A91,'Dados ClubeFII'!$A:$AU,column(V91)-$A$5,0)</f>
        <v>0.0542</v>
      </c>
      <c r="W91" s="43" t="str">
        <f>VLOOKUP($A91,'Dados ClubeFII'!$A:$AU,column(W91)-$A$5,0)</f>
        <v>N/D</v>
      </c>
      <c r="X91" s="45">
        <f>VLOOKUP($A91,'Dados ClubeFII'!$A:$AU,column(X91)-$A$5,0)</f>
        <v>0</v>
      </c>
      <c r="Y91" s="41">
        <f>MID(VLOOKUP($A91,'Dados ClubeFII'!$A:$AU,column(Y91)-$A$5,0),3,100)/1</f>
        <v>81042.17</v>
      </c>
      <c r="Z91" s="46">
        <f>VLOOKUP($A91,'Dados ClubeFII'!$A:$AU,column(Z91)-$A$5,0)</f>
        <v>2541</v>
      </c>
      <c r="AA91" s="47">
        <f t="shared" si="2"/>
        <v>382511</v>
      </c>
      <c r="AB91" s="48">
        <f t="shared" si="3"/>
        <v>326.3578589</v>
      </c>
      <c r="AC91" s="48"/>
      <c r="AD91" s="48"/>
      <c r="AE91" s="48"/>
    </row>
    <row r="92">
      <c r="A92" s="37" t="s">
        <v>116</v>
      </c>
      <c r="B92" s="38">
        <f>IFERROR(__xludf.DUMMYFUNCTION("GOOGLEFINANCE(A92)"),101.0)</f>
        <v>101</v>
      </c>
      <c r="C92" s="38">
        <f>IFERROR(__xludf.DUMMYFUNCTION("GOOGLEFINANCE($A92,""high52"")"),103.65)</f>
        <v>103.65</v>
      </c>
      <c r="D92" s="39">
        <f t="shared" si="4"/>
        <v>-0.02556681138</v>
      </c>
      <c r="E92" s="40" t="str">
        <f>VLOOKUP($A92,'Dados ClubeFII'!$A:$AU,column(E92)-$A$5,0)</f>
        <v>BM Brascan Lajes Corporativas</v>
      </c>
      <c r="F92" s="40" t="str">
        <f>VLOOKUP($A92,'Dados ClubeFII'!$A:$AU,column(F92)-$A$5,0)</f>
        <v>Argucia Capital Management</v>
      </c>
      <c r="G92" s="40" t="str">
        <f>VLOOKUP($A92,'Dados ClubeFII'!$A:$AU,column(G92)-$A$5,0)</f>
        <v>Lajes Comerciais</v>
      </c>
      <c r="H92" s="41">
        <f>MID(VLOOKUP($A92,'Dados ClubeFII'!$A:$AU,COLUMN(H92)-$A$5,0),3,100)/MID(VLOOKUP($A92,'Dados ClubeFII'!$A:$AU,2,0),3,SEARCH(",",VLOOKUP($A92,'Dados ClubeFII'!$A:$AU,2,0)))*B92</f>
        <v>100838905</v>
      </c>
      <c r="I92" s="41">
        <f>MID(VLOOKUP($A92,'Dados ClubeFII'!$A:$AU,column(I92)-$A$5,0),3,100)/1</f>
        <v>113282862.4</v>
      </c>
      <c r="J92" s="42">
        <f>VLOOKUP($A92,'Dados ClubeFII'!$A:$AU,column(J92)-$A$5,0)/mid(VLOOKUP($A92,'Dados ClubeFII'!$A:$AU,2,0),3,SEARCH(",",VLOOKUP($A92,'Dados ClubeFII'!$A:$AU,2,0)))*B92</f>
        <v>0.8856157635</v>
      </c>
      <c r="K92" s="41">
        <f>if(VLOOKUP($A92,'Dados ClubeFII'!$A:$AU,column(K92)-$A$5,0)="N/D",0,MID(VLOOKUP($A92,'Dados ClubeFII'!$A:$AU,column(K92)-$A$5,0),3,100)/1)/mid(VLOOKUP($A92,'Dados ClubeFII'!$A:$AU,2,0),3,SEARCH(",",VLOOKUP($A92,'Dados ClubeFII'!$A:$AU,2,0)))*B92</f>
        <v>13790.87833</v>
      </c>
      <c r="L92" s="41">
        <f>if(VLOOKUP($A92,'Dados ClubeFII'!$A:$AU,column(L92)-$A$5,0)="N/D",0,MID(VLOOKUP($A92,'Dados ClubeFII'!$A:$AU,column(L92)-$A$5,0),3,100)/1)</f>
        <v>15492.73</v>
      </c>
      <c r="M92" s="41">
        <f>MID(VLOOKUP($A92,'Dados ClubeFII'!$A:$AU,column(M92)-$A$5,0),3,100)/1</f>
        <v>0.66</v>
      </c>
      <c r="N92" s="41">
        <f>MID(VLOOKUP($A92,'Dados ClubeFII'!$A:$AU,column(N92)-$A$5,0),3,100)/1</f>
        <v>90.12</v>
      </c>
      <c r="O92" s="41">
        <f>LEFT(VLOOKUP($A92,'Dados ClubeFII'!$A:$AU,column(O92)-$A$5,0),len(VLOOKUP($A92,'Dados ClubeFII'!$A:$AU,column(O92)-$A$5,0))-2)/1</f>
        <v>7312</v>
      </c>
      <c r="P92" s="43">
        <f>VLOOKUP($A92,'Dados ClubeFII'!$A:$AU,column(P92)-$A$5,0)</f>
        <v>44971</v>
      </c>
      <c r="Q92" s="44">
        <f>VLOOKUP($A92,'Dados ClubeFII'!$A:$AU,column(Q92)-$A$5,0)/mid(VLOOKUP($A92,'Dados ClubeFII'!$A:$AU,2,0),3,SEARCH(",",VLOOKUP($A92,'Dados ClubeFII'!$A:$AU,2,0)))*B92</f>
        <v>0.08050147783</v>
      </c>
      <c r="R92" s="44">
        <f>VLOOKUP($A92,'Dados ClubeFII'!$A:$AU,column(R92)-$A$5,0)/mid(VLOOKUP($A92,'Dados ClubeFII'!$A:$AU,2,0),3,SEARCH(",",VLOOKUP($A92,'Dados ClubeFII'!$A:$AU,2,0)))*B92</f>
        <v>0.08836256158</v>
      </c>
      <c r="S92" s="43">
        <f>VLOOKUP($A92,'Dados ClubeFII'!$A:$AU,column(S92)-$A$5,0)</f>
        <v>40953</v>
      </c>
      <c r="T92" s="41">
        <f>MID(VLOOKUP($A92,'Dados ClubeFII'!$A:$AU,column(T92)-$A$5,0),3,100)/1</f>
        <v>100</v>
      </c>
      <c r="U92" s="45">
        <f>VLOOKUP($A92,'Dados ClubeFII'!$A:$AU,column(U92)-$A$5,0)/mid(VLOOKUP($A92,'Dados ClubeFII'!$A:$AU,2,0),4,SEARCH(",",VLOOKUP($A92,'Dados ClubeFII'!$A:$AU,2,0))-1)*B92</f>
        <v>-0.3232</v>
      </c>
      <c r="V92" s="42">
        <f>VLOOKUP($A92,'Dados ClubeFII'!$A:$AU,column(V92)-$A$5,0)</f>
        <v>0</v>
      </c>
      <c r="W92" s="43" t="str">
        <f>VLOOKUP($A92,'Dados ClubeFII'!$A:$AU,column(W92)-$A$5,0)</f>
        <v>N/D</v>
      </c>
      <c r="X92" s="45">
        <f>VLOOKUP($A92,'Dados ClubeFII'!$A:$AU,column(X92)-$A$5,0)</f>
        <v>0</v>
      </c>
      <c r="Y92" s="41">
        <f>MID(VLOOKUP($A92,'Dados ClubeFII'!$A:$AU,column(Y92)-$A$5,0),3,100)/1</f>
        <v>96530.84</v>
      </c>
      <c r="Z92" s="46">
        <f>VLOOKUP($A92,'Dados ClubeFII'!$A:$AU,column(Z92)-$A$5,0)</f>
        <v>1438</v>
      </c>
      <c r="AA92" s="47">
        <f t="shared" si="2"/>
        <v>998405</v>
      </c>
      <c r="AB92" s="48">
        <f t="shared" si="3"/>
        <v>113.4638372</v>
      </c>
      <c r="AC92" s="48"/>
      <c r="AD92" s="48"/>
      <c r="AE92" s="48"/>
    </row>
    <row r="93">
      <c r="A93" s="37" t="s">
        <v>117</v>
      </c>
      <c r="B93" s="38">
        <f>IFERROR(__xludf.DUMMYFUNCTION("GOOGLEFINANCE(A93)"),167.9)</f>
        <v>167.9</v>
      </c>
      <c r="C93" s="38">
        <f>IFERROR(__xludf.DUMMYFUNCTION("GOOGLEFINANCE($A93,""high52"")"),177.76)</f>
        <v>177.76</v>
      </c>
      <c r="D93" s="39">
        <f t="shared" si="4"/>
        <v>-0.0554680468</v>
      </c>
      <c r="E93" s="40" t="str">
        <f>VLOOKUP($A93,'Dados ClubeFII'!$A:$AU,column(E93)-$A$5,0)</f>
        <v>Hospital Nossa Senhora de Lourdes</v>
      </c>
      <c r="F93" s="40" t="str">
        <f>VLOOKUP($A93,'Dados ClubeFII'!$A:$AU,column(F93)-$A$5,0)</f>
        <v>BTG PACTUAL</v>
      </c>
      <c r="G93" s="40" t="str">
        <f>VLOOKUP($A93,'Dados ClubeFII'!$A:$AU,column(G93)-$A$5,0)</f>
        <v>Hospital</v>
      </c>
      <c r="H93" s="41">
        <f>MID(VLOOKUP($A93,'Dados ClubeFII'!$A:$AU,column(H93)-$A$5,0),3,100)/mid(VLOOKUP($A93,'Dados ClubeFII'!$A:$AU,2,0),4,SEARCH(",",VLOOKUP($A93,'Dados ClubeFII'!$A:$AU,2,0))-1)*B93</f>
        <v>562170636.3</v>
      </c>
      <c r="I93" s="41">
        <f>MID(VLOOKUP($A93,'Dados ClubeFII'!$A:$AU,column(I93)-$A$5,0),3,100)/1</f>
        <v>257396219.6</v>
      </c>
      <c r="J93" s="42">
        <f>VLOOKUP($A93,'Dados ClubeFII'!$A:$AU,column(J93)-$A$5,0)/mid(VLOOKUP($A93,'Dados ClubeFII'!$A:$AU,2,0),3,SEARCH(",",VLOOKUP($A93,'Dados ClubeFII'!$A:$AU,2,0)))*B93</f>
        <v>0.8448576338</v>
      </c>
      <c r="K93" s="41">
        <f>if(VLOOKUP($A93,'Dados ClubeFII'!$A:$AU,column(K93)-$A$5,0)="N/D",0,MID(VLOOKUP($A93,'Dados ClubeFII'!$A:$AU,column(K93)-$A$5,0),3,100)/1)/mid(VLOOKUP($A93,'Dados ClubeFII'!$A:$AU,2,0),3,SEARCH(",",VLOOKUP($A93,'Dados ClubeFII'!$A:$AU,2,0)))*B93</f>
        <v>9233.243017</v>
      </c>
      <c r="L93" s="41">
        <f>if(VLOOKUP($A93,'Dados ClubeFII'!$A:$AU,column(L93)-$A$5,0)="N/D",0,MID(VLOOKUP($A93,'Dados ClubeFII'!$A:$AU,column(L93)-$A$5,0),3,100)/1)</f>
        <v>10942.2</v>
      </c>
      <c r="M93" s="41">
        <f>MID(VLOOKUP($A93,'Dados ClubeFII'!$A:$AU,column(M93)-$A$5,0),3,100)/1</f>
        <v>1.55</v>
      </c>
      <c r="N93" s="41">
        <f>MID(VLOOKUP($A93,'Dados ClubeFII'!$A:$AU,column(N93)-$A$5,0),3,100)/1</f>
        <v>85.47</v>
      </c>
      <c r="O93" s="41">
        <f>LEFT(VLOOKUP($A93,'Dados ClubeFII'!$A:$AU,column(O93)-$A$5,0),len(VLOOKUP($A93,'Dados ClubeFII'!$A:$AU,column(O93)-$A$5,0))-2)/1</f>
        <v>23523.27</v>
      </c>
      <c r="P93" s="43">
        <f>VLOOKUP($A93,'Dados ClubeFII'!$A:$AU,column(P93)-$A$5,0)</f>
        <v>44964</v>
      </c>
      <c r="Q93" s="44">
        <f>VLOOKUP($A93,'Dados ClubeFII'!$A:$AU,column(Q93)-$A$5,0)/mid(VLOOKUP($A93,'Dados ClubeFII'!$A:$AU,2,0),3,SEARCH(",",VLOOKUP($A93,'Dados ClubeFII'!$A:$AU,2,0)))*B93</f>
        <v>0.124255891</v>
      </c>
      <c r="R93" s="44">
        <f>VLOOKUP($A93,'Dados ClubeFII'!$A:$AU,column(R93)-$A$5,0)/mid(VLOOKUP($A93,'Dados ClubeFII'!$A:$AU,2,0),3,SEARCH(",",VLOOKUP($A93,'Dados ClubeFII'!$A:$AU,2,0)))*B93</f>
        <v>0.0675886107</v>
      </c>
      <c r="S93" s="43">
        <f>VLOOKUP($A93,'Dados ClubeFII'!$A:$AU,column(S93)-$A$5,0)</f>
        <v>39008</v>
      </c>
      <c r="T93" s="41">
        <f>MID(VLOOKUP($A93,'Dados ClubeFII'!$A:$AU,column(T93)-$A$5,0),3,100)/1</f>
        <v>100</v>
      </c>
      <c r="U93" s="45">
        <f>VLOOKUP($A93,'Dados ClubeFII'!$A:$AU,column(U93)-$A$5,0)/mid(VLOOKUP($A93,'Dados ClubeFII'!$A:$AU,2,0),4,SEARCH(",",VLOOKUP($A93,'Dados ClubeFII'!$A:$AU,2,0))-1)*B93</f>
        <v>-0.06213580051</v>
      </c>
      <c r="V93" s="42">
        <f>VLOOKUP($A93,'Dados ClubeFII'!$A:$AU,column(V93)-$A$5,0)</f>
        <v>0</v>
      </c>
      <c r="W93" s="43" t="str">
        <f>VLOOKUP($A93,'Dados ClubeFII'!$A:$AU,column(W93)-$A$5,0)</f>
        <v>N/D</v>
      </c>
      <c r="X93" s="45">
        <f>VLOOKUP($A93,'Dados ClubeFII'!$A:$AU,column(X93)-$A$5,0)</f>
        <v>0.002</v>
      </c>
      <c r="Y93" s="41">
        <f>MID(VLOOKUP($A93,'Dados ClubeFII'!$A:$AU,column(Y93)-$A$5,0),3,100)/1</f>
        <v>129751.64</v>
      </c>
      <c r="Z93" s="46">
        <f>VLOOKUP($A93,'Dados ClubeFII'!$A:$AU,column(Z93)-$A$5,0)</f>
        <v>6635</v>
      </c>
      <c r="AA93" s="47">
        <f t="shared" si="2"/>
        <v>3348246</v>
      </c>
      <c r="AB93" s="48">
        <f t="shared" si="3"/>
        <v>76.87494277</v>
      </c>
      <c r="AC93" s="17"/>
      <c r="AD93" s="17"/>
      <c r="AE93" s="17"/>
    </row>
    <row r="94">
      <c r="A94" s="50" t="s">
        <v>118</v>
      </c>
      <c r="B94" s="38">
        <f>IFERROR(__xludf.DUMMYFUNCTION("GOOGLEFINANCE(A94)"),101.5)</f>
        <v>101.5</v>
      </c>
      <c r="C94" s="38">
        <f>IFERROR(__xludf.DUMMYFUNCTION("GOOGLEFINANCE($A94,""high52"")"),102.28)</f>
        <v>102.28</v>
      </c>
      <c r="D94" s="39">
        <f t="shared" si="4"/>
        <v>-0.007626124364</v>
      </c>
      <c r="E94" s="40" t="str">
        <f>VLOOKUP($A94,'Dados ClubeFII'!$A:$AU,column(E94)-$A$5,0)</f>
        <v>CSHG Recebíveis Imobiliários</v>
      </c>
      <c r="F94" s="40" t="str">
        <f>VLOOKUP($A94,'Dados ClubeFII'!$A:$AU,column(F94)-$A$5,0)</f>
        <v>CREDIT SUISSE</v>
      </c>
      <c r="G94" s="40" t="str">
        <f>VLOOKUP($A94,'Dados ClubeFII'!$A:$AU,column(G94)-$A$5,0)</f>
        <v>Recebíveis Imobiliários</v>
      </c>
      <c r="H94" s="41">
        <f>MID(VLOOKUP($A94,'Dados ClubeFII'!$A:$AU,column(H94)-$A$5,0),3,100)/mid(VLOOKUP($A94,'Dados ClubeFII'!$A:$AU,2,0),4,SEARCH(",",VLOOKUP($A94,'Dados ClubeFII'!$A:$AU,2,0))-1)*B94</f>
        <v>228344831270</v>
      </c>
      <c r="I94" s="41">
        <f>MID(VLOOKUP($A94,'Dados ClubeFII'!$A:$AU,column(I94)-$A$5,0),3,100)/1</f>
        <v>1551733628</v>
      </c>
      <c r="J94" s="42">
        <f>VLOOKUP($A94,'Dados ClubeFII'!$A:$AU,column(J94)-$A$5,0)/mid(VLOOKUP($A94,'Dados ClubeFII'!$A:$AU,2,0),3,SEARCH(",",VLOOKUP($A94,'Dados ClubeFII'!$A:$AU,2,0)))*B94</f>
        <v>1.008044493</v>
      </c>
      <c r="K94" s="41">
        <f>if(VLOOKUP($A94,'Dados ClubeFII'!$A:$AU,column(K94)-$A$5,0)="N/D",0,MID(VLOOKUP($A94,'Dados ClubeFII'!$A:$AU,column(K94)-$A$5,0),3,100)/1)/mid(VLOOKUP($A94,'Dados ClubeFII'!$A:$AU,2,0),3,SEARCH(",",VLOOKUP($A94,'Dados ClubeFII'!$A:$AU,2,0)))*B94</f>
        <v>0</v>
      </c>
      <c r="L94" s="41">
        <f>if(VLOOKUP($A94,'Dados ClubeFII'!$A:$AU,column(L94)-$A$5,0)="N/D",0,MID(VLOOKUP($A94,'Dados ClubeFII'!$A:$AU,column(L94)-$A$5,0),3,100)/1)</f>
        <v>0</v>
      </c>
      <c r="M94" s="41">
        <f>MID(VLOOKUP($A94,'Dados ClubeFII'!$A:$AU,column(M94)-$A$5,0),3,100)/1</f>
        <v>1.2</v>
      </c>
      <c r="N94" s="41">
        <f>MID(VLOOKUP($A94,'Dados ClubeFII'!$A:$AU,column(N94)-$A$5,0),3,100)/1</f>
        <v>0</v>
      </c>
      <c r="O94" s="41">
        <f>LEFT(VLOOKUP($A94,'Dados ClubeFII'!$A:$AU,column(O94)-$A$5,0),len(VLOOKUP($A94,'Dados ClubeFII'!$A:$AU,column(O94)-$A$5,0))-2)/1</f>
        <v>0</v>
      </c>
      <c r="P94" s="43">
        <f>VLOOKUP($A94,'Dados ClubeFII'!$A:$AU,column(P94)-$A$5,0)</f>
        <v>44971</v>
      </c>
      <c r="Q94" s="44">
        <f>VLOOKUP($A94,'Dados ClubeFII'!$A:$AU,column(Q94)-$A$5,0)/mid(VLOOKUP($A94,'Dados ClubeFII'!$A:$AU,2,0),3,SEARCH(",",VLOOKUP($A94,'Dados ClubeFII'!$A:$AU,2,0)))*B94</f>
        <v>0.1540291985</v>
      </c>
      <c r="R94" s="44">
        <f>VLOOKUP($A94,'Dados ClubeFII'!$A:$AU,column(R94)-$A$5,0)/mid(VLOOKUP($A94,'Dados ClubeFII'!$A:$AU,2,0),3,SEARCH(",",VLOOKUP($A94,'Dados ClubeFII'!$A:$AU,2,0)))*B94</f>
        <v>0.1397149667</v>
      </c>
      <c r="S94" s="43">
        <f>VLOOKUP($A94,'Dados ClubeFII'!$A:$AU,column(S94)-$A$5,0)</f>
        <v>40191</v>
      </c>
      <c r="T94" s="41">
        <f>MID(VLOOKUP($A94,'Dados ClubeFII'!$A:$AU,column(T94)-$A$5,0),3,100)/1</f>
        <v>100</v>
      </c>
      <c r="U94" s="45">
        <f>VLOOKUP($A94,'Dados ClubeFII'!$A:$AU,column(U94)-$A$5,0)/mid(VLOOKUP($A94,'Dados ClubeFII'!$A:$AU,2,0),4,SEARCH(",",VLOOKUP($A94,'Dados ClubeFII'!$A:$AU,2,0))-1)*B94</f>
        <v>-2.11826087</v>
      </c>
      <c r="V94" s="42" t="str">
        <f>VLOOKUP($A94,'Dados ClubeFII'!$A:$AU,column(V94)-$A$5,0)</f>
        <v>N/D</v>
      </c>
      <c r="W94" s="43" t="str">
        <f>VLOOKUP($A94,'Dados ClubeFII'!$A:$AU,column(W94)-$A$5,0)</f>
        <v>N/D</v>
      </c>
      <c r="X94" s="45">
        <f>VLOOKUP($A94,'Dados ClubeFII'!$A:$AU,column(X94)-$A$5,0)</f>
        <v>0.0143</v>
      </c>
      <c r="Y94" s="41">
        <f>MID(VLOOKUP($A94,'Dados ClubeFII'!$A:$AU,column(Y94)-$A$5,0),3,100)/1</f>
        <v>4194440.42</v>
      </c>
      <c r="Z94" s="46">
        <f>VLOOKUP($A94,'Dados ClubeFII'!$A:$AU,column(Z94)-$A$5,0)</f>
        <v>84297</v>
      </c>
      <c r="AA94" s="47">
        <f t="shared" si="2"/>
        <v>2249702771</v>
      </c>
      <c r="AB94" s="48">
        <f t="shared" si="3"/>
        <v>0.6897505075</v>
      </c>
      <c r="AC94" s="48"/>
      <c r="AD94" s="48"/>
      <c r="AE94" s="48"/>
    </row>
    <row r="95">
      <c r="A95" s="37" t="s">
        <v>119</v>
      </c>
      <c r="B95" s="38">
        <f>IFERROR(__xludf.DUMMYFUNCTION("GOOGLEFINANCE(A95)"),88.53)</f>
        <v>88.53</v>
      </c>
      <c r="C95" s="38">
        <f>IFERROR(__xludf.DUMMYFUNCTION("GOOGLEFINANCE($A95,""high52"")"),94.62)</f>
        <v>94.62</v>
      </c>
      <c r="D95" s="39">
        <f t="shared" si="4"/>
        <v>-0.06436271401</v>
      </c>
      <c r="E95" s="40" t="str">
        <f>VLOOKUP($A95,'Dados ClubeFII'!$A:$AU,column(E95)-$A$5,0)</f>
        <v>SDI Rio Bravo Renda Logística</v>
      </c>
      <c r="F95" s="40" t="str">
        <f>VLOOKUP($A95,'Dados ClubeFII'!$A:$AU,column(F95)-$A$5,0)</f>
        <v>Rio Bravo e Tellus</v>
      </c>
      <c r="G95" s="40" t="str">
        <f>VLOOKUP($A95,'Dados ClubeFII'!$A:$AU,column(G95)-$A$5,0)</f>
        <v>Logisticos</v>
      </c>
      <c r="H95" s="41">
        <f>MID(VLOOKUP($A95,'Dados ClubeFII'!$A:$AU,COLUMN(H95)-$A$5,0),3,100)/MID(VLOOKUP($A95,'Dados ClubeFII'!$A:$AU,2,0),3,SEARCH(",",VLOOKUP($A95,'Dados ClubeFII'!$A:$AU,2,0)))*B95</f>
        <v>567512235.1</v>
      </c>
      <c r="I95" s="41">
        <f>MID(VLOOKUP($A95,'Dados ClubeFII'!$A:$AU,column(I95)-$A$5,0),3,100)/1</f>
        <v>623975372.7</v>
      </c>
      <c r="J95" s="42">
        <f>VLOOKUP($A95,'Dados ClubeFII'!$A:$AU,column(J95)-$A$5,0)/mid(VLOOKUP($A95,'Dados ClubeFII'!$A:$AU,2,0),3,SEARCH(",",VLOOKUP($A95,'Dados ClubeFII'!$A:$AU,2,0)))*B95</f>
        <v>0.9103861974</v>
      </c>
      <c r="K95" s="41">
        <f>if(VLOOKUP($A95,'Dados ClubeFII'!$A:$AU,column(K95)-$A$5,0)="N/D",0,MID(VLOOKUP($A95,'Dados ClubeFII'!$A:$AU,column(K95)-$A$5,0),3,100)/1)/mid(VLOOKUP($A95,'Dados ClubeFII'!$A:$AU,2,0),3,SEARCH(",",VLOOKUP($A95,'Dados ClubeFII'!$A:$AU,2,0)))*B95</f>
        <v>1776.810857</v>
      </c>
      <c r="L95" s="41">
        <f>if(VLOOKUP($A95,'Dados ClubeFII'!$A:$AU,column(L95)-$A$5,0)="N/D",0,MID(VLOOKUP($A95,'Dados ClubeFII'!$A:$AU,column(L95)-$A$5,0),3,100)/1)</f>
        <v>1953.59</v>
      </c>
      <c r="M95" s="41">
        <f>MID(VLOOKUP($A95,'Dados ClubeFII'!$A:$AU,column(M95)-$A$5,0),3,100)/1</f>
        <v>0.83</v>
      </c>
      <c r="N95" s="41">
        <f>MID(VLOOKUP($A95,'Dados ClubeFII'!$A:$AU,column(N95)-$A$5,0),3,100)/1</f>
        <v>16.62</v>
      </c>
      <c r="O95" s="41">
        <f>LEFT(VLOOKUP($A95,'Dados ClubeFII'!$A:$AU,column(O95)-$A$5,0),len(VLOOKUP($A95,'Dados ClubeFII'!$A:$AU,column(O95)-$A$5,0))-2)/1</f>
        <v>319400</v>
      </c>
      <c r="P95" s="43">
        <f>VLOOKUP($A95,'Dados ClubeFII'!$A:$AU,column(P95)-$A$5,0)</f>
        <v>44971</v>
      </c>
      <c r="Q95" s="44">
        <f>VLOOKUP($A95,'Dados ClubeFII'!$A:$AU,column(Q95)-$A$5,0)/mid(VLOOKUP($A95,'Dados ClubeFII'!$A:$AU,2,0),3,SEARCH(",",VLOOKUP($A95,'Dados ClubeFII'!$A:$AU,2,0)))*B95</f>
        <v>0.1209802102</v>
      </c>
      <c r="R95" s="44">
        <f>VLOOKUP($A95,'Dados ClubeFII'!$A:$AU,column(R95)-$A$5,0)/mid(VLOOKUP($A95,'Dados ClubeFII'!$A:$AU,2,0),3,SEARCH(",",VLOOKUP($A95,'Dados ClubeFII'!$A:$AU,2,0)))*B95</f>
        <v>0.1080324954</v>
      </c>
      <c r="S95" s="43">
        <f>VLOOKUP($A95,'Dados ClubeFII'!$A:$AU,column(S95)-$A$5,0)</f>
        <v>41232</v>
      </c>
      <c r="T95" s="41">
        <f>MID(VLOOKUP($A95,'Dados ClubeFII'!$A:$AU,column(T95)-$A$5,0),3,100)/1</f>
        <v>100</v>
      </c>
      <c r="U95" s="45">
        <f>VLOOKUP($A95,'Dados ClubeFII'!$A:$AU,column(U95)-$A$5,0)/mid(VLOOKUP($A95,'Dados ClubeFII'!$A:$AU,2,0),4,SEARCH(",",VLOOKUP($A95,'Dados ClubeFII'!$A:$AU,2,0))-1)*B95</f>
        <v>-0.9229723404</v>
      </c>
      <c r="V95" s="42">
        <f>VLOOKUP($A95,'Dados ClubeFII'!$A:$AU,column(V95)-$A$5,0)</f>
        <v>0.006</v>
      </c>
      <c r="W95" s="43">
        <f>VLOOKUP($A95,'Dados ClubeFII'!$A:$AU,column(W95)-$A$5,0)</f>
        <v>43069</v>
      </c>
      <c r="X95" s="45">
        <f>VLOOKUP($A95,'Dados ClubeFII'!$A:$AU,column(X95)-$A$5,0)</f>
        <v>0.0055</v>
      </c>
      <c r="Y95" s="41">
        <f>MID(VLOOKUP($A95,'Dados ClubeFII'!$A:$AU,column(Y95)-$A$5,0),3,100)/1</f>
        <v>773804.93</v>
      </c>
      <c r="Z95" s="46">
        <f>VLOOKUP($A95,'Dados ClubeFII'!$A:$AU,column(Z95)-$A$5,0)</f>
        <v>65802</v>
      </c>
      <c r="AA95" s="47">
        <f t="shared" si="2"/>
        <v>6410394</v>
      </c>
      <c r="AB95" s="48">
        <f t="shared" si="3"/>
        <v>97.33806888</v>
      </c>
      <c r="AC95" s="17"/>
      <c r="AD95" s="17"/>
      <c r="AE95" s="17"/>
    </row>
    <row r="96">
      <c r="A96" s="54" t="s">
        <v>120</v>
      </c>
      <c r="B96" s="38">
        <f>IFERROR(__xludf.DUMMYFUNCTION("GOOGLEFINANCE(A96)"),81.44)</f>
        <v>81.44</v>
      </c>
      <c r="C96" s="38">
        <f>IFERROR(__xludf.DUMMYFUNCTION("GOOGLEFINANCE($A96,""high52"")"),85.95)</f>
        <v>85.95</v>
      </c>
      <c r="D96" s="39">
        <f t="shared" si="4"/>
        <v>-0.05247236766</v>
      </c>
      <c r="E96" s="40" t="str">
        <f>VLOOKUP($A96,'Dados ClubeFII'!$A:$AU,column(E96)-$A$5,0)</f>
        <v>RB Capital Recebíveis Imobiliários</v>
      </c>
      <c r="F96" s="40" t="str">
        <f>VLOOKUP($A96,'Dados ClubeFII'!$A:$AU,column(F96)-$A$5,0)</f>
        <v>RB CAPITAL</v>
      </c>
      <c r="G96" s="40" t="str">
        <f>VLOOKUP($A96,'Dados ClubeFII'!$A:$AU,column(G96)-$A$5,0)</f>
        <v>Recebíveis Imobiliários</v>
      </c>
      <c r="H96" s="41">
        <f>MID(VLOOKUP($A96,'Dados ClubeFII'!$A:$AU,column(H96)-$A$5,0),3,100)/mid(VLOOKUP($A96,'Dados ClubeFII'!$A:$AU,2,0),4,SEARCH(",",VLOOKUP($A96,'Dados ClubeFII'!$A:$AU,2,0))-1)*B96</f>
        <v>992389755.4</v>
      </c>
      <c r="I96" s="41">
        <f>MID(VLOOKUP($A96,'Dados ClubeFII'!$A:$AU,column(I96)-$A$5,0),3,100)/1</f>
        <v>43697787.94</v>
      </c>
      <c r="J96" s="42">
        <f>VLOOKUP($A96,'Dados ClubeFII'!$A:$AU,column(J96)-$A$5,0)/mid(VLOOKUP($A96,'Dados ClubeFII'!$A:$AU,2,0),3,SEARCH(",",VLOOKUP($A96,'Dados ClubeFII'!$A:$AU,2,0)))*B96</f>
        <v>0.899457383</v>
      </c>
      <c r="K96" s="41">
        <f>if(VLOOKUP($A96,'Dados ClubeFII'!$A:$AU,column(K96)-$A$5,0)="N/D",0,MID(VLOOKUP($A96,'Dados ClubeFII'!$A:$AU,column(K96)-$A$5,0),3,100)/1)/mid(VLOOKUP($A96,'Dados ClubeFII'!$A:$AU,2,0),3,SEARCH(",",VLOOKUP($A96,'Dados ClubeFII'!$A:$AU,2,0)))*B96</f>
        <v>0</v>
      </c>
      <c r="L96" s="41">
        <f>if(VLOOKUP($A96,'Dados ClubeFII'!$A:$AU,column(L96)-$A$5,0)="N/D",0,MID(VLOOKUP($A96,'Dados ClubeFII'!$A:$AU,column(L96)-$A$5,0),3,100)/1)</f>
        <v>0</v>
      </c>
      <c r="M96" s="41">
        <f>MID(VLOOKUP($A96,'Dados ClubeFII'!$A:$AU,column(M96)-$A$5,0),3,100)/1</f>
        <v>0.9</v>
      </c>
      <c r="N96" s="41">
        <f>MID(VLOOKUP($A96,'Dados ClubeFII'!$A:$AU,column(N96)-$A$5,0),3,100)/1</f>
        <v>0</v>
      </c>
      <c r="O96" s="41">
        <f>LEFT(VLOOKUP($A96,'Dados ClubeFII'!$A:$AU,column(O96)-$A$5,0),len(VLOOKUP($A96,'Dados ClubeFII'!$A:$AU,column(O96)-$A$5,0))-2)/1</f>
        <v>0</v>
      </c>
      <c r="P96" s="43">
        <f>VLOOKUP($A96,'Dados ClubeFII'!$A:$AU,column(P96)-$A$5,0)</f>
        <v>44971</v>
      </c>
      <c r="Q96" s="44">
        <f>VLOOKUP($A96,'Dados ClubeFII'!$A:$AU,column(Q96)-$A$5,0)/mid(VLOOKUP($A96,'Dados ClubeFII'!$A:$AU,2,0),3,SEARCH(",",VLOOKUP($A96,'Dados ClubeFII'!$A:$AU,2,0)))*B96</f>
        <v>0.1342342377</v>
      </c>
      <c r="R96" s="44">
        <f>VLOOKUP($A96,'Dados ClubeFII'!$A:$AU,column(R96)-$A$5,0)/mid(VLOOKUP($A96,'Dados ClubeFII'!$A:$AU,2,0),3,SEARCH(",",VLOOKUP($A96,'Dados ClubeFII'!$A:$AU,2,0)))*B96</f>
        <v>0.1598492197</v>
      </c>
      <c r="S96" s="43">
        <f>VLOOKUP($A96,'Dados ClubeFII'!$A:$AU,column(S96)-$A$5,0)</f>
        <v>44154</v>
      </c>
      <c r="T96" s="41">
        <f>MID(VLOOKUP($A96,'Dados ClubeFII'!$A:$AU,column(T96)-$A$5,0),3,100)/1</f>
        <v>100</v>
      </c>
      <c r="U96" s="45">
        <f>VLOOKUP($A96,'Dados ClubeFII'!$A:$AU,column(U96)-$A$5,0)/mid(VLOOKUP($A96,'Dados ClubeFII'!$A:$AU,2,0),4,SEARCH(",",VLOOKUP($A96,'Dados ClubeFII'!$A:$AU,2,0))-1)*B96</f>
        <v>-1.191985455</v>
      </c>
      <c r="V96" s="42" t="str">
        <f>VLOOKUP($A96,'Dados ClubeFII'!$A:$AU,column(V96)-$A$5,0)</f>
        <v>N/D</v>
      </c>
      <c r="W96" s="43" t="str">
        <f>VLOOKUP($A96,'Dados ClubeFII'!$A:$AU,column(W96)-$A$5,0)</f>
        <v>N/D</v>
      </c>
      <c r="X96" s="45">
        <f>VLOOKUP($A96,'Dados ClubeFII'!$A:$AU,column(X96)-$A$5,0)</f>
        <v>0</v>
      </c>
      <c r="Y96" s="41">
        <f>MID(VLOOKUP($A96,'Dados ClubeFII'!$A:$AU,column(Y96)-$A$5,0),3,100)/1</f>
        <v>66264.7</v>
      </c>
      <c r="Z96" s="46">
        <f>VLOOKUP($A96,'Dados ClubeFII'!$A:$AU,column(Z96)-$A$5,0)</f>
        <v>2412</v>
      </c>
      <c r="AA96" s="47">
        <f t="shared" si="2"/>
        <v>12185532</v>
      </c>
      <c r="AB96" s="48">
        <f t="shared" si="3"/>
        <v>3.586038586</v>
      </c>
      <c r="AC96" s="17"/>
      <c r="AD96" s="17"/>
      <c r="AE96" s="17"/>
    </row>
    <row r="97">
      <c r="A97" s="49" t="s">
        <v>120</v>
      </c>
      <c r="B97" s="38">
        <f>IFERROR(__xludf.DUMMYFUNCTION("GOOGLEFINANCE(A97)"),81.44)</f>
        <v>81.44</v>
      </c>
      <c r="C97" s="38">
        <f>IFERROR(__xludf.DUMMYFUNCTION("GOOGLEFINANCE($A97,""high52"")"),85.95)</f>
        <v>85.95</v>
      </c>
      <c r="D97" s="39">
        <f t="shared" si="4"/>
        <v>-0.05247236766</v>
      </c>
      <c r="E97" s="40" t="str">
        <f>VLOOKUP($A97,'Dados ClubeFII'!$A:$AU,column(E97)-$A$5,0)</f>
        <v>RB Capital Recebíveis Imobiliários</v>
      </c>
      <c r="F97" s="40" t="str">
        <f>VLOOKUP($A97,'Dados ClubeFII'!$A:$AU,column(F97)-$A$5,0)</f>
        <v>RB CAPITAL</v>
      </c>
      <c r="G97" s="40" t="str">
        <f>VLOOKUP($A97,'Dados ClubeFII'!$A:$AU,column(G97)-$A$5,0)</f>
        <v>Recebíveis Imobiliários</v>
      </c>
      <c r="H97" s="41">
        <f>MID(VLOOKUP($A97,'Dados ClubeFII'!$A:$AU,column(H97)-$A$5,0),3,100)/mid(VLOOKUP($A97,'Dados ClubeFII'!$A:$AU,2,0),4,SEARCH(",",VLOOKUP($A97,'Dados ClubeFII'!$A:$AU,2,0))-1)*B97</f>
        <v>992389755.4</v>
      </c>
      <c r="I97" s="41">
        <f>MID(VLOOKUP($A97,'Dados ClubeFII'!$A:$AU,column(I97)-$A$5,0),3,100)/1</f>
        <v>43697787.94</v>
      </c>
      <c r="J97" s="42">
        <f>VLOOKUP($A97,'Dados ClubeFII'!$A:$AU,column(J97)-$A$5,0)/mid(VLOOKUP($A97,'Dados ClubeFII'!$A:$AU,2,0),3,SEARCH(",",VLOOKUP($A97,'Dados ClubeFII'!$A:$AU,2,0)))*B97</f>
        <v>0.899457383</v>
      </c>
      <c r="K97" s="41">
        <f>if(VLOOKUP($A97,'Dados ClubeFII'!$A:$AU,column(K97)-$A$5,0)="N/D",0,MID(VLOOKUP($A97,'Dados ClubeFII'!$A:$AU,column(K97)-$A$5,0),3,100)/1)/mid(VLOOKUP($A97,'Dados ClubeFII'!$A:$AU,2,0),3,SEARCH(",",VLOOKUP($A97,'Dados ClubeFII'!$A:$AU,2,0)))*B97</f>
        <v>0</v>
      </c>
      <c r="L97" s="41">
        <f>if(VLOOKUP($A97,'Dados ClubeFII'!$A:$AU,column(L97)-$A$5,0)="N/D",0,MID(VLOOKUP($A97,'Dados ClubeFII'!$A:$AU,column(L97)-$A$5,0),3,100)/1)</f>
        <v>0</v>
      </c>
      <c r="M97" s="41">
        <f>MID(VLOOKUP($A97,'Dados ClubeFII'!$A:$AU,column(M97)-$A$5,0),3,100)/1</f>
        <v>0.9</v>
      </c>
      <c r="N97" s="41">
        <f>MID(VLOOKUP($A97,'Dados ClubeFII'!$A:$AU,column(N97)-$A$5,0),3,100)/1</f>
        <v>0</v>
      </c>
      <c r="O97" s="41">
        <f>LEFT(VLOOKUP($A97,'Dados ClubeFII'!$A:$AU,column(O97)-$A$5,0),len(VLOOKUP($A97,'Dados ClubeFII'!$A:$AU,column(O97)-$A$5,0))-2)/1</f>
        <v>0</v>
      </c>
      <c r="P97" s="43">
        <f>VLOOKUP($A97,'Dados ClubeFII'!$A:$AU,column(P97)-$A$5,0)</f>
        <v>44971</v>
      </c>
      <c r="Q97" s="44">
        <f>VLOOKUP($A97,'Dados ClubeFII'!$A:$AU,column(Q97)-$A$5,0)/mid(VLOOKUP($A97,'Dados ClubeFII'!$A:$AU,2,0),3,SEARCH(",",VLOOKUP($A97,'Dados ClubeFII'!$A:$AU,2,0)))*B97</f>
        <v>0.1342342377</v>
      </c>
      <c r="R97" s="44">
        <f>VLOOKUP($A97,'Dados ClubeFII'!$A:$AU,column(R97)-$A$5,0)/mid(VLOOKUP($A97,'Dados ClubeFII'!$A:$AU,2,0),3,SEARCH(",",VLOOKUP($A97,'Dados ClubeFII'!$A:$AU,2,0)))*B97</f>
        <v>0.1598492197</v>
      </c>
      <c r="S97" s="43">
        <f>VLOOKUP($A97,'Dados ClubeFII'!$A:$AU,column(S97)-$A$5,0)</f>
        <v>44154</v>
      </c>
      <c r="T97" s="41">
        <f>MID(VLOOKUP($A97,'Dados ClubeFII'!$A:$AU,column(T97)-$A$5,0),3,100)/1</f>
        <v>100</v>
      </c>
      <c r="U97" s="45">
        <f>VLOOKUP($A97,'Dados ClubeFII'!$A:$AU,column(U97)-$A$5,0)/mid(VLOOKUP($A97,'Dados ClubeFII'!$A:$AU,2,0),4,SEARCH(",",VLOOKUP($A97,'Dados ClubeFII'!$A:$AU,2,0))-1)*B97</f>
        <v>-1.191985455</v>
      </c>
      <c r="V97" s="42" t="str">
        <f>VLOOKUP($A97,'Dados ClubeFII'!$A:$AU,column(V97)-$A$5,0)</f>
        <v>N/D</v>
      </c>
      <c r="W97" s="43" t="str">
        <f>VLOOKUP($A97,'Dados ClubeFII'!$A:$AU,column(W97)-$A$5,0)</f>
        <v>N/D</v>
      </c>
      <c r="X97" s="45">
        <f>VLOOKUP($A97,'Dados ClubeFII'!$A:$AU,column(X97)-$A$5,0)</f>
        <v>0</v>
      </c>
      <c r="Y97" s="41">
        <f>MID(VLOOKUP($A97,'Dados ClubeFII'!$A:$AU,column(Y97)-$A$5,0),3,100)/1</f>
        <v>66264.7</v>
      </c>
      <c r="Z97" s="46">
        <f>VLOOKUP($A97,'Dados ClubeFII'!$A:$AU,column(Z97)-$A$5,0)</f>
        <v>2412</v>
      </c>
      <c r="AA97" s="47">
        <f t="shared" si="2"/>
        <v>12185532</v>
      </c>
      <c r="AB97" s="48">
        <f t="shared" si="3"/>
        <v>3.586038586</v>
      </c>
      <c r="AC97" s="48"/>
      <c r="AD97" s="48"/>
      <c r="AE97" s="48"/>
    </row>
    <row r="98">
      <c r="A98" s="37" t="s">
        <v>121</v>
      </c>
      <c r="B98" s="38">
        <f>IFERROR(__xludf.DUMMYFUNCTION("GOOGLEFINANCE(A98)"),99.5)</f>
        <v>99.5</v>
      </c>
      <c r="C98" s="38">
        <f>IFERROR(__xludf.DUMMYFUNCTION("GOOGLEFINANCE($A98,""high52"")"),107.63)</f>
        <v>107.63</v>
      </c>
      <c r="D98" s="39">
        <f t="shared" si="4"/>
        <v>-0.07553656044</v>
      </c>
      <c r="E98" s="40" t="str">
        <f>VLOOKUP($A98,'Dados ClubeFII'!$A:$AU,column(E98)-$A$5,0)</f>
        <v>Malls Brasil Plural</v>
      </c>
      <c r="F98" s="40" t="str">
        <f>VLOOKUP($A98,'Dados ClubeFII'!$A:$AU,column(F98)-$A$5,0)</f>
        <v>GENIAL GESTÃO</v>
      </c>
      <c r="G98" s="40" t="str">
        <f>VLOOKUP($A98,'Dados ClubeFII'!$A:$AU,column(G98)-$A$5,0)</f>
        <v>Shopping/Varejo</v>
      </c>
      <c r="H98" s="41">
        <f>MID(VLOOKUP($A98,'Dados ClubeFII'!$A:$AU,COLUMN(H98)-$A$5,0),3,100)/MID(VLOOKUP($A98,'Dados ClubeFII'!$A:$AU,2,0),3,SEARCH(",",VLOOKUP($A98,'Dados ClubeFII'!$A:$AU,2,0)))*B98</f>
        <v>909261623.3</v>
      </c>
      <c r="I98" s="41">
        <f>MID(VLOOKUP($A98,'Dados ClubeFII'!$A:$AU,column(I98)-$A$5,0),3,100)/1</f>
        <v>1099470281</v>
      </c>
      <c r="J98" s="42">
        <f>VLOOKUP($A98,'Dados ClubeFII'!$A:$AU,column(J98)-$A$5,0)/mid(VLOOKUP($A98,'Dados ClubeFII'!$A:$AU,2,0),3,SEARCH(",",VLOOKUP($A98,'Dados ClubeFII'!$A:$AU,2,0)))*B98</f>
        <v>0.8235440766</v>
      </c>
      <c r="K98" s="41">
        <f>if(VLOOKUP($A98,'Dados ClubeFII'!$A:$AU,column(K98)-$A$5,0)="N/D",0,MID(VLOOKUP($A98,'Dados ClubeFII'!$A:$AU,column(K98)-$A$5,0),3,100)/1)/mid(VLOOKUP($A98,'Dados ClubeFII'!$A:$AU,2,0),3,SEARCH(",",VLOOKUP($A98,'Dados ClubeFII'!$A:$AU,2,0)))*B98</f>
        <v>8854.864978</v>
      </c>
      <c r="L98" s="41">
        <f>if(VLOOKUP($A98,'Dados ClubeFII'!$A:$AU,column(L98)-$A$5,0)="N/D",0,MID(VLOOKUP($A98,'Dados ClubeFII'!$A:$AU,column(L98)-$A$5,0),3,100)/1)</f>
        <v>10707.21</v>
      </c>
      <c r="M98" s="41">
        <f>MID(VLOOKUP($A98,'Dados ClubeFII'!$A:$AU,column(M98)-$A$5,0),3,100)/1</f>
        <v>0.78</v>
      </c>
      <c r="N98" s="41">
        <f>MID(VLOOKUP($A98,'Dados ClubeFII'!$A:$AU,column(N98)-$A$5,0),3,100)/1</f>
        <v>69.31</v>
      </c>
      <c r="O98" s="41">
        <f>LEFT(VLOOKUP($A98,'Dados ClubeFII'!$A:$AU,column(O98)-$A$5,0),len(VLOOKUP($A98,'Dados ClubeFII'!$A:$AU,column(O98)-$A$5,0))-2)/1</f>
        <v>102685</v>
      </c>
      <c r="P98" s="43">
        <f>VLOOKUP($A98,'Dados ClubeFII'!$A:$AU,column(P98)-$A$5,0)</f>
        <v>44971</v>
      </c>
      <c r="Q98" s="44">
        <f>VLOOKUP($A98,'Dados ClubeFII'!$A:$AU,column(Q98)-$A$5,0)/mid(VLOOKUP($A98,'Dados ClubeFII'!$A:$AU,2,0),3,SEARCH(",",VLOOKUP($A98,'Dados ClubeFII'!$A:$AU,2,0)))*B98</f>
        <v>0.0965431791</v>
      </c>
      <c r="R98" s="44">
        <f>VLOOKUP($A98,'Dados ClubeFII'!$A:$AU,column(R98)-$A$5,0)/mid(VLOOKUP($A98,'Dados ClubeFII'!$A:$AU,2,0),3,SEARCH(",",VLOOKUP($A98,'Dados ClubeFII'!$A:$AU,2,0)))*B98</f>
        <v>0.08929996011</v>
      </c>
      <c r="S98" s="43">
        <f>VLOOKUP($A98,'Dados ClubeFII'!$A:$AU,column(S98)-$A$5,0)</f>
        <v>43087</v>
      </c>
      <c r="T98" s="41">
        <f>MID(VLOOKUP($A98,'Dados ClubeFII'!$A:$AU,column(T98)-$A$5,0),3,100)/1</f>
        <v>100</v>
      </c>
      <c r="U98" s="45">
        <f>VLOOKUP($A98,'Dados ClubeFII'!$A:$AU,column(U98)-$A$5,0)/mid(VLOOKUP($A98,'Dados ClubeFII'!$A:$AU,2,0),4,SEARCH(",",VLOOKUP($A98,'Dados ClubeFII'!$A:$AU,2,0))-1)*B98</f>
        <v>-10.55410714</v>
      </c>
      <c r="V98" s="42">
        <f>VLOOKUP($A98,'Dados ClubeFII'!$A:$AU,column(V98)-$A$5,0)</f>
        <v>0.04</v>
      </c>
      <c r="W98" s="43" t="str">
        <f>VLOOKUP($A98,'Dados ClubeFII'!$A:$AU,column(W98)-$A$5,0)</f>
        <v>N/D</v>
      </c>
      <c r="X98" s="45">
        <f>VLOOKUP($A98,'Dados ClubeFII'!$A:$AU,column(X98)-$A$5,0)</f>
        <v>0.0086</v>
      </c>
      <c r="Y98" s="41">
        <f>MID(VLOOKUP($A98,'Dados ClubeFII'!$A:$AU,column(Y98)-$A$5,0),3,100)/1</f>
        <v>1481843.9</v>
      </c>
      <c r="Z98" s="46">
        <f>VLOOKUP($A98,'Dados ClubeFII'!$A:$AU,column(Z98)-$A$5,0)</f>
        <v>110986</v>
      </c>
      <c r="AA98" s="47">
        <f t="shared" si="2"/>
        <v>9138307</v>
      </c>
      <c r="AB98" s="48">
        <f t="shared" si="3"/>
        <v>120.3144391</v>
      </c>
      <c r="AC98" s="17"/>
      <c r="AD98" s="17"/>
      <c r="AE98" s="17"/>
    </row>
    <row r="99">
      <c r="A99" s="37" t="s">
        <v>122</v>
      </c>
      <c r="B99" s="38">
        <f>IFERROR(__xludf.DUMMYFUNCTION("GOOGLEFINANCE(A99)"),142.94)</f>
        <v>142.94</v>
      </c>
      <c r="C99" s="38">
        <f>IFERROR(__xludf.DUMMYFUNCTION("GOOGLEFINANCE($A99,""high52"")"),169.98)</f>
        <v>169.98</v>
      </c>
      <c r="D99" s="39">
        <f t="shared" si="4"/>
        <v>-0.1590775385</v>
      </c>
      <c r="E99" s="40" t="str">
        <f>VLOOKUP($A99,'Dados ClubeFII'!$A:$AU,column(E99)-$A$5,0)</f>
        <v>RB Capital Renda I</v>
      </c>
      <c r="F99" s="40" t="str">
        <f>VLOOKUP($A99,'Dados ClubeFII'!$A:$AU,column(F99)-$A$5,0)</f>
        <v>null</v>
      </c>
      <c r="G99" s="40" t="str">
        <f>VLOOKUP($A99,'Dados ClubeFII'!$A:$AU,column(G99)-$A$5,0)</f>
        <v>Híbrido</v>
      </c>
      <c r="H99" s="41">
        <f>MID(VLOOKUP($A99,'Dados ClubeFII'!$A:$AU,column(H99)-$A$5,0),3,100)/mid(VLOOKUP($A99,'Dados ClubeFII'!$A:$AU,2,0),4,SEARCH(",",VLOOKUP($A99,'Dados ClubeFII'!$A:$AU,2,0))-1)*B99</f>
        <v>439993513.9</v>
      </c>
      <c r="I99" s="41">
        <f>MID(VLOOKUP($A99,'Dados ClubeFII'!$A:$AU,column(I99)-$A$5,0),3,100)/1</f>
        <v>172719505.5</v>
      </c>
      <c r="J99" s="42">
        <f>VLOOKUP($A99,'Dados ClubeFII'!$A:$AU,column(J99)-$A$5,0)/mid(VLOOKUP($A99,'Dados ClubeFII'!$A:$AU,2,0),3,SEARCH(",",VLOOKUP($A99,'Dados ClubeFII'!$A:$AU,2,0)))*B99</f>
        <v>0.7684946237</v>
      </c>
      <c r="K99" s="41">
        <f>if(VLOOKUP($A99,'Dados ClubeFII'!$A:$AU,column(K99)-$A$5,0)="N/D",0,MID(VLOOKUP($A99,'Dados ClubeFII'!$A:$AU,column(K99)-$A$5,0),3,100)/1)/mid(VLOOKUP($A99,'Dados ClubeFII'!$A:$AU,2,0),3,SEARCH(",",VLOOKUP($A99,'Dados ClubeFII'!$A:$AU,2,0)))*B99</f>
        <v>1888.690313</v>
      </c>
      <c r="L99" s="41">
        <f>if(VLOOKUP($A99,'Dados ClubeFII'!$A:$AU,column(L99)-$A$5,0)="N/D",0,MID(VLOOKUP($A99,'Dados ClubeFII'!$A:$AU,column(L99)-$A$5,0),3,100)/1)</f>
        <v>2456.82</v>
      </c>
      <c r="M99" s="41">
        <f>MID(VLOOKUP($A99,'Dados ClubeFII'!$A:$AU,column(M99)-$A$5,0),3,100)/1</f>
        <v>1.35</v>
      </c>
      <c r="N99" s="41">
        <f>MID(VLOOKUP($A99,'Dados ClubeFII'!$A:$AU,column(N99)-$A$5,0),3,100)/1</f>
        <v>17.8</v>
      </c>
      <c r="O99" s="41">
        <f>LEFT(VLOOKUP($A99,'Dados ClubeFII'!$A:$AU,column(O99)-$A$5,0),len(VLOOKUP($A99,'Dados ClubeFII'!$A:$AU,column(O99)-$A$5,0))-2)/1</f>
        <v>70302</v>
      </c>
      <c r="P99" s="43">
        <f>VLOOKUP($A99,'Dados ClubeFII'!$A:$AU,column(P99)-$A$5,0)</f>
        <v>44971</v>
      </c>
      <c r="Q99" s="44">
        <f>VLOOKUP($A99,'Dados ClubeFII'!$A:$AU,column(Q99)-$A$5,0)/mid(VLOOKUP($A99,'Dados ClubeFII'!$A:$AU,2,0),3,SEARCH(",",VLOOKUP($A99,'Dados ClubeFII'!$A:$AU,2,0)))*B99</f>
        <v>0.1186675464</v>
      </c>
      <c r="R99" s="44">
        <f>VLOOKUP($A99,'Dados ClubeFII'!$A:$AU,column(R99)-$A$5,0)/mid(VLOOKUP($A99,'Dados ClubeFII'!$A:$AU,2,0),3,SEARCH(",",VLOOKUP($A99,'Dados ClubeFII'!$A:$AU,2,0)))*B99</f>
        <v>0.1102839687</v>
      </c>
      <c r="S99" s="43">
        <f>VLOOKUP($A99,'Dados ClubeFII'!$A:$AU,column(S99)-$A$5,0)</f>
        <v>40177</v>
      </c>
      <c r="T99" s="41">
        <f>MID(VLOOKUP($A99,'Dados ClubeFII'!$A:$AU,column(T99)-$A$5,0),3,100)/1</f>
        <v>100</v>
      </c>
      <c r="U99" s="45">
        <f>VLOOKUP($A99,'Dados ClubeFII'!$A:$AU,column(U99)-$A$5,0)/mid(VLOOKUP($A99,'Dados ClubeFII'!$A:$AU,2,0),4,SEARCH(",",VLOOKUP($A99,'Dados ClubeFII'!$A:$AU,2,0))-1)*B99</f>
        <v>-0.08929615919</v>
      </c>
      <c r="V99" s="42">
        <f>VLOOKUP($A99,'Dados ClubeFII'!$A:$AU,column(V99)-$A$5,0)</f>
        <v>0</v>
      </c>
      <c r="W99" s="43">
        <f>VLOOKUP($A99,'Dados ClubeFII'!$A:$AU,column(W99)-$A$5,0)</f>
        <v>43921</v>
      </c>
      <c r="X99" s="45">
        <f>VLOOKUP($A99,'Dados ClubeFII'!$A:$AU,column(X99)-$A$5,0)</f>
        <v>0</v>
      </c>
      <c r="Y99" s="41">
        <f>MID(VLOOKUP($A99,'Dados ClubeFII'!$A:$AU,column(Y99)-$A$5,0),3,100)/1</f>
        <v>55698.13</v>
      </c>
      <c r="Z99" s="46">
        <f>VLOOKUP($A99,'Dados ClubeFII'!$A:$AU,column(Z99)-$A$5,0)</f>
        <v>8066</v>
      </c>
      <c r="AA99" s="47">
        <f t="shared" si="2"/>
        <v>3078169</v>
      </c>
      <c r="AB99" s="48">
        <f t="shared" si="3"/>
        <v>56.11111849</v>
      </c>
      <c r="AC99" s="48"/>
      <c r="AD99" s="48"/>
      <c r="AE99" s="48"/>
    </row>
    <row r="100">
      <c r="A100" s="37" t="s">
        <v>123</v>
      </c>
      <c r="B100" s="38">
        <f>IFERROR(__xludf.DUMMYFUNCTION("GOOGLEFINANCE(A100)"),65.96)</f>
        <v>65.96</v>
      </c>
      <c r="C100" s="38">
        <f>IFERROR(__xludf.DUMMYFUNCTION("GOOGLEFINANCE($A100,""high52"")"),81.83)</f>
        <v>81.83</v>
      </c>
      <c r="D100" s="39">
        <f t="shared" si="4"/>
        <v>-0.1939386533</v>
      </c>
      <c r="E100" s="40" t="str">
        <f>VLOOKUP($A100,'Dados ClubeFII'!$A:$AU,column(E100)-$A$5,0)</f>
        <v>Tellus Properties</v>
      </c>
      <c r="F100" s="40" t="str">
        <f>VLOOKUP($A100,'Dados ClubeFII'!$A:$AU,column(F100)-$A$5,0)</f>
        <v>Tellus Investimentos</v>
      </c>
      <c r="G100" s="40" t="str">
        <f>VLOOKUP($A100,'Dados ClubeFII'!$A:$AU,column(G100)-$A$5,0)</f>
        <v>Lajes Comerciais</v>
      </c>
      <c r="H100" s="41">
        <f>MID(VLOOKUP($A100,'Dados ClubeFII'!$A:$AU,COLUMN(H100)-$A$5,0),3,100)/MID(VLOOKUP($A100,'Dados ClubeFII'!$A:$AU,2,0),3,SEARCH(",",VLOOKUP($A100,'Dados ClubeFII'!$A:$AU,2,0)))*B100</f>
        <v>273742610.9</v>
      </c>
      <c r="I100" s="41">
        <f>MID(VLOOKUP($A100,'Dados ClubeFII'!$A:$AU,column(I100)-$A$5,0),3,100)/1</f>
        <v>403454125.8</v>
      </c>
      <c r="J100" s="42">
        <f>VLOOKUP($A100,'Dados ClubeFII'!$A:$AU,column(J100)-$A$5,0)/mid(VLOOKUP($A100,'Dados ClubeFII'!$A:$AU,2,0),3,SEARCH(",",VLOOKUP($A100,'Dados ClubeFII'!$A:$AU,2,0)))*B100</f>
        <v>0.6792895522</v>
      </c>
      <c r="K100" s="41">
        <f>if(VLOOKUP($A100,'Dados ClubeFII'!$A:$AU,column(K100)-$A$5,0)="N/D",0,MID(VLOOKUP($A100,'Dados ClubeFII'!$A:$AU,column(K100)-$A$5,0),3,100)/1)/mid(VLOOKUP($A100,'Dados ClubeFII'!$A:$AU,2,0),3,SEARCH(",",VLOOKUP($A100,'Dados ClubeFII'!$A:$AU,2,0)))*B100</f>
        <v>7217.618854</v>
      </c>
      <c r="L100" s="41">
        <f>if(VLOOKUP($A100,'Dados ClubeFII'!$A:$AU,column(L100)-$A$5,0)="N/D",0,MID(VLOOKUP($A100,'Dados ClubeFII'!$A:$AU,column(L100)-$A$5,0),3,100)/1)</f>
        <v>10637.65</v>
      </c>
      <c r="M100" s="41">
        <f>MID(VLOOKUP($A100,'Dados ClubeFII'!$A:$AU,column(M100)-$A$5,0),3,100)/1</f>
        <v>0.49</v>
      </c>
      <c r="N100" s="41">
        <f>MID(VLOOKUP($A100,'Dados ClubeFII'!$A:$AU,column(N100)-$A$5,0),3,100)/1</f>
        <v>54.55</v>
      </c>
      <c r="O100" s="41">
        <f>LEFT(VLOOKUP($A100,'Dados ClubeFII'!$A:$AU,column(O100)-$A$5,0),len(VLOOKUP($A100,'Dados ClubeFII'!$A:$AU,column(O100)-$A$5,0))-2)/1</f>
        <v>37927</v>
      </c>
      <c r="P100" s="43">
        <f>VLOOKUP($A100,'Dados ClubeFII'!$A:$AU,column(P100)-$A$5,0)</f>
        <v>44971</v>
      </c>
      <c r="Q100" s="44">
        <f>VLOOKUP($A100,'Dados ClubeFII'!$A:$AU,column(Q100)-$A$5,0)/mid(VLOOKUP($A100,'Dados ClubeFII'!$A:$AU,2,0),3,SEARCH(",",VLOOKUP($A100,'Dados ClubeFII'!$A:$AU,2,0)))*B100</f>
        <v>0.09155641791</v>
      </c>
      <c r="R100" s="44">
        <f>VLOOKUP($A100,'Dados ClubeFII'!$A:$AU,column(R100)-$A$5,0)/mid(VLOOKUP($A100,'Dados ClubeFII'!$A:$AU,2,0),3,SEARCH(",",VLOOKUP($A100,'Dados ClubeFII'!$A:$AU,2,0)))*B100</f>
        <v>0.08850453731</v>
      </c>
      <c r="S100" s="43">
        <f>VLOOKUP($A100,'Dados ClubeFII'!$A:$AU,column(S100)-$A$5,0)</f>
        <v>43734</v>
      </c>
      <c r="T100" s="41">
        <f>MID(VLOOKUP($A100,'Dados ClubeFII'!$A:$AU,column(T100)-$A$5,0),3,100)/1</f>
        <v>100</v>
      </c>
      <c r="U100" s="45">
        <f>VLOOKUP($A100,'Dados ClubeFII'!$A:$AU,column(U100)-$A$5,0)/mid(VLOOKUP($A100,'Dados ClubeFII'!$A:$AU,2,0),4,SEARCH(",",VLOOKUP($A100,'Dados ClubeFII'!$A:$AU,2,0))-1)*B100</f>
        <v>-0.1620731429</v>
      </c>
      <c r="V100" s="42">
        <f>VLOOKUP($A100,'Dados ClubeFII'!$A:$AU,column(V100)-$A$5,0)</f>
        <v>0.0608</v>
      </c>
      <c r="W100" s="43">
        <f>VLOOKUP($A100,'Dados ClubeFII'!$A:$AU,column(W100)-$A$5,0)</f>
        <v>44957</v>
      </c>
      <c r="X100" s="45">
        <f>VLOOKUP($A100,'Dados ClubeFII'!$A:$AU,column(X100)-$A$5,0)</f>
        <v>0.0026</v>
      </c>
      <c r="Y100" s="41">
        <f>MID(VLOOKUP($A100,'Dados ClubeFII'!$A:$AU,column(Y100)-$A$5,0),3,100)/1</f>
        <v>451577.65</v>
      </c>
      <c r="Z100" s="46">
        <f>VLOOKUP($A100,'Dados ClubeFII'!$A:$AU,column(Z100)-$A$5,0)</f>
        <v>10170</v>
      </c>
      <c r="AA100" s="47">
        <f t="shared" si="2"/>
        <v>4150130</v>
      </c>
      <c r="AB100" s="48">
        <f t="shared" si="3"/>
        <v>97.21481636</v>
      </c>
      <c r="AC100" s="48"/>
      <c r="AD100" s="48"/>
      <c r="AE100" s="48"/>
    </row>
    <row r="101">
      <c r="A101" s="37" t="s">
        <v>124</v>
      </c>
      <c r="B101" s="38">
        <f>IFERROR(__xludf.DUMMYFUNCTION("GOOGLEFINANCE(A101)"),70.14)</f>
        <v>70.14</v>
      </c>
      <c r="C101" s="38">
        <f>IFERROR(__xludf.DUMMYFUNCTION("GOOGLEFINANCE($A101,""high52"")"),80.27)</f>
        <v>80.27</v>
      </c>
      <c r="D101" s="39">
        <f t="shared" si="4"/>
        <v>-0.1261990781</v>
      </c>
      <c r="E101" s="40" t="str">
        <f>VLOOKUP($A101,'Dados ClubeFII'!$A:$AU,column(E101)-$A$5,0)</f>
        <v>CSHG Imobiliário FOF</v>
      </c>
      <c r="F101" s="40" t="str">
        <f>VLOOKUP($A101,'Dados ClubeFII'!$A:$AU,column(F101)-$A$5,0)</f>
        <v>CREDIT SUISSE</v>
      </c>
      <c r="G101" s="40" t="str">
        <f>VLOOKUP($A101,'Dados ClubeFII'!$A:$AU,column(G101)-$A$5,0)</f>
        <v>Fundo de Fundos</v>
      </c>
      <c r="H101" s="41">
        <f>MID(VLOOKUP($A101,'Dados ClubeFII'!$A:$AU,column(H101)-$A$5,0),3,100)/mid(VLOOKUP($A101,'Dados ClubeFII'!$A:$AU,2,0),4,SEARCH(",",VLOOKUP($A101,'Dados ClubeFII'!$A:$AU,2,0))-1)*B101</f>
        <v>1606353906</v>
      </c>
      <c r="I101" s="41">
        <f>MID(VLOOKUP($A101,'Dados ClubeFII'!$A:$AU,column(I101)-$A$5,0),3,100)/1</f>
        <v>242184404.1</v>
      </c>
      <c r="J101" s="42">
        <f>VLOOKUP($A101,'Dados ClubeFII'!$A:$AU,column(J101)-$A$5,0)/mid(VLOOKUP($A101,'Dados ClubeFII'!$A:$AU,2,0),3,SEARCH(",",VLOOKUP($A101,'Dados ClubeFII'!$A:$AU,2,0)))*B101</f>
        <v>0.8283044176</v>
      </c>
      <c r="K101" s="41">
        <f>if(VLOOKUP($A101,'Dados ClubeFII'!$A:$AU,column(K101)-$A$5,0)="N/D",0,MID(VLOOKUP($A101,'Dados ClubeFII'!$A:$AU,column(K101)-$A$5,0),3,100)/1)/mid(VLOOKUP($A101,'Dados ClubeFII'!$A:$AU,2,0),3,SEARCH(",",VLOOKUP($A101,'Dados ClubeFII'!$A:$AU,2,0)))*B101</f>
        <v>0</v>
      </c>
      <c r="L101" s="41">
        <f>if(VLOOKUP($A101,'Dados ClubeFII'!$A:$AU,column(L101)-$A$5,0)="N/D",0,MID(VLOOKUP($A101,'Dados ClubeFII'!$A:$AU,column(L101)-$A$5,0),3,100)/1)</f>
        <v>0</v>
      </c>
      <c r="M101" s="41">
        <f>MID(VLOOKUP($A101,'Dados ClubeFII'!$A:$AU,column(M101)-$A$5,0),3,100)/1</f>
        <v>0.65</v>
      </c>
      <c r="N101" s="41">
        <f>MID(VLOOKUP($A101,'Dados ClubeFII'!$A:$AU,column(N101)-$A$5,0),3,100)/1</f>
        <v>0</v>
      </c>
      <c r="O101" s="41">
        <f>LEFT(VLOOKUP($A101,'Dados ClubeFII'!$A:$AU,column(O101)-$A$5,0),len(VLOOKUP($A101,'Dados ClubeFII'!$A:$AU,column(O101)-$A$5,0))-2)/1</f>
        <v>0</v>
      </c>
      <c r="P101" s="43">
        <f>VLOOKUP($A101,'Dados ClubeFII'!$A:$AU,column(P101)-$A$5,0)</f>
        <v>44971</v>
      </c>
      <c r="Q101" s="44">
        <f>VLOOKUP($A101,'Dados ClubeFII'!$A:$AU,column(Q101)-$A$5,0)/mid(VLOOKUP($A101,'Dados ClubeFII'!$A:$AU,2,0),3,SEARCH(",",VLOOKUP($A101,'Dados ClubeFII'!$A:$AU,2,0)))*B101</f>
        <v>0.1223027263</v>
      </c>
      <c r="R101" s="44">
        <f>VLOOKUP($A101,'Dados ClubeFII'!$A:$AU,column(R101)-$A$5,0)/mid(VLOOKUP($A101,'Dados ClubeFII'!$A:$AU,2,0),3,SEARCH(",",VLOOKUP($A101,'Dados ClubeFII'!$A:$AU,2,0)))*B101</f>
        <v>0.1133038635</v>
      </c>
      <c r="S101" s="43">
        <f>VLOOKUP($A101,'Dados ClubeFII'!$A:$AU,column(S101)-$A$5,0)</f>
        <v>43703</v>
      </c>
      <c r="T101" s="41">
        <f>MID(VLOOKUP($A101,'Dados ClubeFII'!$A:$AU,column(T101)-$A$5,0),3,100)/1</f>
        <v>100</v>
      </c>
      <c r="U101" s="45">
        <f>VLOOKUP($A101,'Dados ClubeFII'!$A:$AU,column(U101)-$A$5,0)/mid(VLOOKUP($A101,'Dados ClubeFII'!$A:$AU,2,0),4,SEARCH(",",VLOOKUP($A101,'Dados ClubeFII'!$A:$AU,2,0))-1)*B101</f>
        <v>-0.3543743888</v>
      </c>
      <c r="V101" s="42" t="str">
        <f>VLOOKUP($A101,'Dados ClubeFII'!$A:$AU,column(V101)-$A$5,0)</f>
        <v>N/D</v>
      </c>
      <c r="W101" s="43" t="str">
        <f>VLOOKUP($A101,'Dados ClubeFII'!$A:$AU,column(W101)-$A$5,0)</f>
        <v>N/D</v>
      </c>
      <c r="X101" s="45">
        <f>VLOOKUP($A101,'Dados ClubeFII'!$A:$AU,column(X101)-$A$5,0)</f>
        <v>0.0019</v>
      </c>
      <c r="Y101" s="41">
        <f>MID(VLOOKUP($A101,'Dados ClubeFII'!$A:$AU,column(Y101)-$A$5,0),3,100)/1</f>
        <v>505356.56</v>
      </c>
      <c r="Z101" s="46">
        <f>VLOOKUP($A101,'Dados ClubeFII'!$A:$AU,column(Z101)-$A$5,0)</f>
        <v>9698</v>
      </c>
      <c r="AA101" s="47">
        <f t="shared" si="2"/>
        <v>22902108</v>
      </c>
      <c r="AB101" s="48">
        <f t="shared" si="3"/>
        <v>10.57476474</v>
      </c>
      <c r="AC101" s="48"/>
      <c r="AD101" s="48"/>
      <c r="AE101" s="48"/>
    </row>
    <row r="102">
      <c r="A102" s="37" t="s">
        <v>125</v>
      </c>
      <c r="B102" s="38">
        <f>IFERROR(__xludf.DUMMYFUNCTION("GOOGLEFINANCE(A102)"),47.75)</f>
        <v>47.75</v>
      </c>
      <c r="C102" s="38">
        <f>IFERROR(__xludf.DUMMYFUNCTION("GOOGLEFINANCE($A102,""high52"")"),53.61)</f>
        <v>53.61</v>
      </c>
      <c r="D102" s="39">
        <f t="shared" si="4"/>
        <v>-0.1093079649</v>
      </c>
      <c r="E102" s="40" t="str">
        <f>VLOOKUP($A102,'Dados ClubeFII'!$A:$AU,column(E102)-$A$5,0)</f>
        <v>Rio Negro</v>
      </c>
      <c r="F102" s="40" t="str">
        <f>VLOOKUP($A102,'Dados ClubeFII'!$A:$AU,column(F102)-$A$5,0)</f>
        <v>RIO BRAVO</v>
      </c>
      <c r="G102" s="40" t="str">
        <f>VLOOKUP($A102,'Dados ClubeFII'!$A:$AU,column(G102)-$A$5,0)</f>
        <v>Lajes Comerciais</v>
      </c>
      <c r="H102" s="41">
        <f>MID(VLOOKUP($A102,'Dados ClubeFII'!$A:$AU,COLUMN(H102)-$A$5,0),3,100)/MID(VLOOKUP($A102,'Dados ClubeFII'!$A:$AU,2,0),3,SEARCH(",",VLOOKUP($A102,'Dados ClubeFII'!$A:$AU,2,0)))*B102</f>
        <v>127779000</v>
      </c>
      <c r="I102" s="41">
        <f>MID(VLOOKUP($A102,'Dados ClubeFII'!$A:$AU,column(I102)-$A$5,0),3,100)/1</f>
        <v>231716213.8</v>
      </c>
      <c r="J102" s="42">
        <f>VLOOKUP($A102,'Dados ClubeFII'!$A:$AU,column(J102)-$A$5,0)/mid(VLOOKUP($A102,'Dados ClubeFII'!$A:$AU,2,0),3,SEARCH(",",VLOOKUP($A102,'Dados ClubeFII'!$A:$AU,2,0)))*B102</f>
        <v>0.552733119</v>
      </c>
      <c r="K102" s="41">
        <f>if(VLOOKUP($A102,'Dados ClubeFII'!$A:$AU,column(K102)-$A$5,0)="N/D",0,MID(VLOOKUP($A102,'Dados ClubeFII'!$A:$AU,column(K102)-$A$5,0),3,100)/1)/mid(VLOOKUP($A102,'Dados ClubeFII'!$A:$AU,2,0),3,SEARCH(",",VLOOKUP($A102,'Dados ClubeFII'!$A:$AU,2,0)))*B102</f>
        <v>3323.420472</v>
      </c>
      <c r="L102" s="41">
        <f>if(VLOOKUP($A102,'Dados ClubeFII'!$A:$AU,column(L102)-$A$5,0)="N/D",0,MID(VLOOKUP($A102,'Dados ClubeFII'!$A:$AU,column(L102)-$A$5,0),3,100)/1)</f>
        <v>6026.74</v>
      </c>
      <c r="M102" s="41">
        <f>MID(VLOOKUP($A102,'Dados ClubeFII'!$A:$AU,column(M102)-$A$5,0),3,100)/1</f>
        <v>0.43</v>
      </c>
      <c r="N102" s="41">
        <f>MID(VLOOKUP($A102,'Dados ClubeFII'!$A:$AU,column(N102)-$A$5,0),3,100)/1</f>
        <v>29.93</v>
      </c>
      <c r="O102" s="41">
        <f>LEFT(VLOOKUP($A102,'Dados ClubeFII'!$A:$AU,column(O102)-$A$5,0),len(VLOOKUP($A102,'Dados ClubeFII'!$A:$AU,column(O102)-$A$5,0))-2)/1</f>
        <v>38448</v>
      </c>
      <c r="P102" s="43">
        <f>VLOOKUP($A102,'Dados ClubeFII'!$A:$AU,column(P102)-$A$5,0)</f>
        <v>44971</v>
      </c>
      <c r="Q102" s="44">
        <f>VLOOKUP($A102,'Dados ClubeFII'!$A:$AU,column(Q102)-$A$5,0)/mid(VLOOKUP($A102,'Dados ClubeFII'!$A:$AU,2,0),3,SEARCH(",",VLOOKUP($A102,'Dados ClubeFII'!$A:$AU,2,0)))*B102</f>
        <v>0.1191446945</v>
      </c>
      <c r="R102" s="44">
        <f>VLOOKUP($A102,'Dados ClubeFII'!$A:$AU,column(R102)-$A$5,0)/mid(VLOOKUP($A102,'Dados ClubeFII'!$A:$AU,2,0),3,SEARCH(",",VLOOKUP($A102,'Dados ClubeFII'!$A:$AU,2,0)))*B102</f>
        <v>0.1077829582</v>
      </c>
      <c r="S102" s="43">
        <f>VLOOKUP($A102,'Dados ClubeFII'!$A:$AU,column(S102)-$A$5,0)</f>
        <v>41038</v>
      </c>
      <c r="T102" s="41">
        <f>MID(VLOOKUP($A102,'Dados ClubeFII'!$A:$AU,column(T102)-$A$5,0),3,100)/1</f>
        <v>100</v>
      </c>
      <c r="U102" s="45">
        <f>VLOOKUP($A102,'Dados ClubeFII'!$A:$AU,column(U102)-$A$5,0)/mid(VLOOKUP($A102,'Dados ClubeFII'!$A:$AU,2,0),4,SEARCH(",",VLOOKUP($A102,'Dados ClubeFII'!$A:$AU,2,0))-1)*B102</f>
        <v>-0.3066052632</v>
      </c>
      <c r="V102" s="42">
        <f>VLOOKUP($A102,'Dados ClubeFII'!$A:$AU,column(V102)-$A$5,0)</f>
        <v>0.258</v>
      </c>
      <c r="W102" s="43" t="str">
        <f>VLOOKUP($A102,'Dados ClubeFII'!$A:$AU,column(W102)-$A$5,0)</f>
        <v>N/D</v>
      </c>
      <c r="X102" s="45">
        <f>VLOOKUP($A102,'Dados ClubeFII'!$A:$AU,column(X102)-$A$5,0)</f>
        <v>0</v>
      </c>
      <c r="Y102" s="41">
        <f>MID(VLOOKUP($A102,'Dados ClubeFII'!$A:$AU,column(Y102)-$A$5,0),3,100)/1</f>
        <v>72474.7</v>
      </c>
      <c r="Z102" s="46">
        <f>VLOOKUP($A102,'Dados ClubeFII'!$A:$AU,column(Z102)-$A$5,0)</f>
        <v>11931</v>
      </c>
      <c r="AA102" s="47">
        <f t="shared" si="2"/>
        <v>2676000</v>
      </c>
      <c r="AB102" s="48">
        <f t="shared" si="3"/>
        <v>86.59051337</v>
      </c>
      <c r="AC102" s="48"/>
      <c r="AD102" s="48"/>
      <c r="AE102" s="48"/>
    </row>
    <row r="103">
      <c r="A103" s="49" t="s">
        <v>126</v>
      </c>
      <c r="B103" s="38">
        <f>IFERROR(__xludf.DUMMYFUNCTION("GOOGLEFINANCE(A103)"),66.0)</f>
        <v>66</v>
      </c>
      <c r="C103" s="38">
        <f>IFERROR(__xludf.DUMMYFUNCTION("GOOGLEFINANCE($A103,""high52"")"),94.48)</f>
        <v>94.48</v>
      </c>
      <c r="D103" s="39">
        <f t="shared" si="4"/>
        <v>-0.3014394581</v>
      </c>
      <c r="E103" s="40" t="str">
        <f>VLOOKUP($A103,'Dados ClubeFII'!$A:$AU,column(E103)-$A$5,0)</f>
        <v>Hedge AAA</v>
      </c>
      <c r="F103" s="40" t="str">
        <f>VLOOKUP($A103,'Dados ClubeFII'!$A:$AU,column(F103)-$A$5,0)</f>
        <v>HEDGE INVESTMENTS</v>
      </c>
      <c r="G103" s="40" t="str">
        <f>VLOOKUP($A103,'Dados ClubeFII'!$A:$AU,column(G103)-$A$5,0)</f>
        <v>Lajes Comerciais</v>
      </c>
      <c r="H103" s="41">
        <f>MID(VLOOKUP($A103,'Dados ClubeFII'!$A:$AU,COLUMN(H103)-$A$5,0),3,100)/MID(VLOOKUP($A103,'Dados ClubeFII'!$A:$AU,2,0),3,SEARCH(",",VLOOKUP($A103,'Dados ClubeFII'!$A:$AU,2,0)))*B103</f>
        <v>226945538.6</v>
      </c>
      <c r="I103" s="41">
        <f>MID(VLOOKUP($A103,'Dados ClubeFII'!$A:$AU,column(I103)-$A$5,0),3,100)/1</f>
        <v>308451867.9</v>
      </c>
      <c r="J103" s="42">
        <f>VLOOKUP($A103,'Dados ClubeFII'!$A:$AU,column(J103)-$A$5,0)/mid(VLOOKUP($A103,'Dados ClubeFII'!$A:$AU,2,0),3,SEARCH(",",VLOOKUP($A103,'Dados ClubeFII'!$A:$AU,2,0)))*B103</f>
        <v>0.7380462725</v>
      </c>
      <c r="K103" s="41">
        <f>if(VLOOKUP($A103,'Dados ClubeFII'!$A:$AU,column(K103)-$A$5,0)="N/D",0,MID(VLOOKUP($A103,'Dados ClubeFII'!$A:$AU,column(K103)-$A$5,0),3,100)/1)/mid(VLOOKUP($A103,'Dados ClubeFII'!$A:$AU,2,0),3,SEARCH(",",VLOOKUP($A103,'Dados ClubeFII'!$A:$AU,2,0)))*B103</f>
        <v>10155.07558</v>
      </c>
      <c r="L103" s="41">
        <f>if(VLOOKUP($A103,'Dados ClubeFII'!$A:$AU,column(L103)-$A$5,0)="N/D",0,MID(VLOOKUP($A103,'Dados ClubeFII'!$A:$AU,column(L103)-$A$5,0),3,100)/1)</f>
        <v>13802.21</v>
      </c>
      <c r="M103" s="41">
        <f>MID(VLOOKUP($A103,'Dados ClubeFII'!$A:$AU,column(M103)-$A$5,0),3,100)/1</f>
        <v>0.47</v>
      </c>
      <c r="N103" s="41">
        <f>MID(VLOOKUP($A103,'Dados ClubeFII'!$A:$AU,column(N103)-$A$5,0),3,100)/1</f>
        <v>72.66</v>
      </c>
      <c r="O103" s="41">
        <f>LEFT(VLOOKUP($A103,'Dados ClubeFII'!$A:$AU,column(O103)-$A$5,0),len(VLOOKUP($A103,'Dados ClubeFII'!$A:$AU,column(O103)-$A$5,0))-2)/1</f>
        <v>22348</v>
      </c>
      <c r="P103" s="43">
        <f>VLOOKUP($A103,'Dados ClubeFII'!$A:$AU,column(P103)-$A$5,0)</f>
        <v>44971</v>
      </c>
      <c r="Q103" s="44">
        <f>VLOOKUP($A103,'Dados ClubeFII'!$A:$AU,column(Q103)-$A$5,0)/mid(VLOOKUP($A103,'Dados ClubeFII'!$A:$AU,2,0),3,SEARCH(",",VLOOKUP($A103,'Dados ClubeFII'!$A:$AU,2,0)))*B103</f>
        <v>0.06387917738</v>
      </c>
      <c r="R103" s="44">
        <f>VLOOKUP($A103,'Dados ClubeFII'!$A:$AU,column(R103)-$A$5,0)/mid(VLOOKUP($A103,'Dados ClubeFII'!$A:$AU,2,0),3,SEARCH(",",VLOOKUP($A103,'Dados ClubeFII'!$A:$AU,2,0)))*B103</f>
        <v>0.07168380463</v>
      </c>
      <c r="S103" s="43">
        <f>VLOOKUP($A103,'Dados ClubeFII'!$A:$AU,column(S103)-$A$5,0)</f>
        <v>44193</v>
      </c>
      <c r="T103" s="41">
        <f>MID(VLOOKUP($A103,'Dados ClubeFII'!$A:$AU,column(T103)-$A$5,0),3,100)/1</f>
        <v>100</v>
      </c>
      <c r="U103" s="45">
        <f>VLOOKUP($A103,'Dados ClubeFII'!$A:$AU,column(U103)-$A$5,0)/mid(VLOOKUP($A103,'Dados ClubeFII'!$A:$AU,2,0),4,SEARCH(",",VLOOKUP($A103,'Dados ClubeFII'!$A:$AU,2,0))-1)*B103</f>
        <v>-0.2716153846</v>
      </c>
      <c r="V103" s="42">
        <f>VLOOKUP($A103,'Dados ClubeFII'!$A:$AU,column(V103)-$A$5,0)</f>
        <v>0.17</v>
      </c>
      <c r="W103" s="43">
        <f>VLOOKUP($A103,'Dados ClubeFII'!$A:$AU,column(W103)-$A$5,0)</f>
        <v>44408</v>
      </c>
      <c r="X103" s="45">
        <f>VLOOKUP($A103,'Dados ClubeFII'!$A:$AU,column(X103)-$A$5,0)</f>
        <v>0</v>
      </c>
      <c r="Y103" s="41">
        <f>MID(VLOOKUP($A103,'Dados ClubeFII'!$A:$AU,column(Y103)-$A$5,0),3,100)/1</f>
        <v>2022.11</v>
      </c>
      <c r="Z103" s="46">
        <f>VLOOKUP($A103,'Dados ClubeFII'!$A:$AU,column(Z103)-$A$5,0)</f>
        <v>185</v>
      </c>
      <c r="AA103" s="47">
        <f t="shared" si="2"/>
        <v>3438568</v>
      </c>
      <c r="AB103" s="48">
        <f t="shared" si="3"/>
        <v>89.7035824</v>
      </c>
      <c r="AC103" s="48"/>
      <c r="AD103" s="48"/>
      <c r="AE103" s="48"/>
    </row>
    <row r="104">
      <c r="A104" s="37" t="s">
        <v>127</v>
      </c>
      <c r="B104" s="38">
        <f>IFERROR(__xludf.DUMMYFUNCTION("GOOGLEFINANCE(A104)"),69.5)</f>
        <v>69.5</v>
      </c>
      <c r="C104" s="38">
        <f>IFERROR(__xludf.DUMMYFUNCTION("GOOGLEFINANCE($A104,""high52"")"),92.62)</f>
        <v>92.62</v>
      </c>
      <c r="D104" s="39">
        <f t="shared" si="4"/>
        <v>-0.2496221119</v>
      </c>
      <c r="E104" s="40" t="str">
        <f>VLOOKUP($A104,'Dados ClubeFII'!$A:$AU,column(E104)-$A$5,0)</f>
        <v>RBR Log</v>
      </c>
      <c r="F104" s="40" t="str">
        <f>VLOOKUP($A104,'Dados ClubeFII'!$A:$AU,column(F104)-$A$5,0)</f>
        <v>RBR GESTÃO</v>
      </c>
      <c r="G104" s="40" t="str">
        <f>VLOOKUP($A104,'Dados ClubeFII'!$A:$AU,column(G104)-$A$5,0)</f>
        <v>Logisticos</v>
      </c>
      <c r="H104" s="41">
        <f>MID(VLOOKUP($A104,'Dados ClubeFII'!$A:$AU,COLUMN(H104)-$A$5,0),3,100)/MID(VLOOKUP($A104,'Dados ClubeFII'!$A:$AU,2,0),3,SEARCH(",",VLOOKUP($A104,'Dados ClubeFII'!$A:$AU,2,0)))*B104</f>
        <v>468517167.1</v>
      </c>
      <c r="I104" s="41">
        <f>MID(VLOOKUP($A104,'Dados ClubeFII'!$A:$AU,column(I104)-$A$5,0),3,100)/1</f>
        <v>709284653.5</v>
      </c>
      <c r="J104" s="42">
        <f>VLOOKUP($A104,'Dados ClubeFII'!$A:$AU,column(J104)-$A$5,0)/mid(VLOOKUP($A104,'Dados ClubeFII'!$A:$AU,2,0),3,SEARCH(",",VLOOKUP($A104,'Dados ClubeFII'!$A:$AU,2,0)))*B104</f>
        <v>0.6574324324</v>
      </c>
      <c r="K104" s="41">
        <f>if(VLOOKUP($A104,'Dados ClubeFII'!$A:$AU,column(K104)-$A$5,0)="N/D",0,MID(VLOOKUP($A104,'Dados ClubeFII'!$A:$AU,column(K104)-$A$5,0),3,100)/1)/mid(VLOOKUP($A104,'Dados ClubeFII'!$A:$AU,2,0),3,SEARCH(",",VLOOKUP($A104,'Dados ClubeFII'!$A:$AU,2,0)))*B104</f>
        <v>1999.693446</v>
      </c>
      <c r="L104" s="41">
        <f>if(VLOOKUP($A104,'Dados ClubeFII'!$A:$AU,column(L104)-$A$5,0)="N/D",0,MID(VLOOKUP($A104,'Dados ClubeFII'!$A:$AU,column(L104)-$A$5,0),3,100)/1)</f>
        <v>3027.33</v>
      </c>
      <c r="M104" s="41">
        <f>MID(VLOOKUP($A104,'Dados ClubeFII'!$A:$AU,column(M104)-$A$5,0),3,100)/1</f>
        <v>0.65</v>
      </c>
      <c r="N104" s="41">
        <f>MID(VLOOKUP($A104,'Dados ClubeFII'!$A:$AU,column(N104)-$A$5,0),3,100)/1</f>
        <v>18.55</v>
      </c>
      <c r="O104" s="41">
        <f>LEFT(VLOOKUP($A104,'Dados ClubeFII'!$A:$AU,column(O104)-$A$5,0),len(VLOOKUP($A104,'Dados ClubeFII'!$A:$AU,column(O104)-$A$5,0))-2)/1</f>
        <v>234294</v>
      </c>
      <c r="P104" s="43">
        <f>VLOOKUP($A104,'Dados ClubeFII'!$A:$AU,column(P104)-$A$5,0)</f>
        <v>44971</v>
      </c>
      <c r="Q104" s="44">
        <f>VLOOKUP($A104,'Dados ClubeFII'!$A:$AU,column(Q104)-$A$5,0)/mid(VLOOKUP($A104,'Dados ClubeFII'!$A:$AU,2,0),3,SEARCH(",",VLOOKUP($A104,'Dados ClubeFII'!$A:$AU,2,0)))*B104</f>
        <v>0.1030290541</v>
      </c>
      <c r="R104" s="44">
        <f>VLOOKUP($A104,'Dados ClubeFII'!$A:$AU,column(R104)-$A$5,0)/mid(VLOOKUP($A104,'Dados ClubeFII'!$A:$AU,2,0),3,SEARCH(",",VLOOKUP($A104,'Dados ClubeFII'!$A:$AU,2,0)))*B104</f>
        <v>0.09776959459</v>
      </c>
      <c r="S104" s="43">
        <f>VLOOKUP($A104,'Dados ClubeFII'!$A:$AU,column(S104)-$A$5,0)</f>
        <v>43941</v>
      </c>
      <c r="T104" s="41">
        <f>MID(VLOOKUP($A104,'Dados ClubeFII'!$A:$AU,column(T104)-$A$5,0),3,100)/1</f>
        <v>100</v>
      </c>
      <c r="U104" s="45">
        <f>VLOOKUP($A104,'Dados ClubeFII'!$A:$AU,column(U104)-$A$5,0)/mid(VLOOKUP($A104,'Dados ClubeFII'!$A:$AU,2,0),4,SEARCH(",",VLOOKUP($A104,'Dados ClubeFII'!$A:$AU,2,0))-1)*B104</f>
        <v>-1.9442625</v>
      </c>
      <c r="V104" s="42">
        <f>VLOOKUP($A104,'Dados ClubeFII'!$A:$AU,column(V104)-$A$5,0)</f>
        <v>0.06</v>
      </c>
      <c r="W104" s="43">
        <f>VLOOKUP($A104,'Dados ClubeFII'!$A:$AU,column(W104)-$A$5,0)</f>
        <v>44925</v>
      </c>
      <c r="X104" s="45">
        <f>VLOOKUP($A104,'Dados ClubeFII'!$A:$AU,column(X104)-$A$5,0)</f>
        <v>0.0052</v>
      </c>
      <c r="Y104" s="41">
        <f>MID(VLOOKUP($A104,'Dados ClubeFII'!$A:$AU,column(Y104)-$A$5,0),3,100)/1</f>
        <v>595377.07</v>
      </c>
      <c r="Z104" s="46">
        <f>VLOOKUP($A104,'Dados ClubeFII'!$A:$AU,column(Z104)-$A$5,0)</f>
        <v>10321</v>
      </c>
      <c r="AA104" s="47">
        <f t="shared" si="2"/>
        <v>6741254</v>
      </c>
      <c r="AB104" s="48">
        <f t="shared" si="3"/>
        <v>105.2155361</v>
      </c>
      <c r="AC104" s="48"/>
      <c r="AD104" s="48"/>
      <c r="AE104" s="48"/>
    </row>
    <row r="105">
      <c r="A105" s="49" t="s">
        <v>128</v>
      </c>
      <c r="B105" s="38">
        <f>IFERROR(__xludf.DUMMYFUNCTION("GOOGLEFINANCE(A105)"),53.26)</f>
        <v>53.26</v>
      </c>
      <c r="C105" s="38">
        <f>IFERROR(__xludf.DUMMYFUNCTION("GOOGLEFINANCE($A105,""high52"")"),67.31)</f>
        <v>67.31</v>
      </c>
      <c r="D105" s="39">
        <f t="shared" si="4"/>
        <v>-0.2087357005</v>
      </c>
      <c r="E105" s="40" t="str">
        <f>VLOOKUP($A105,'Dados ClubeFII'!$A:$AU,column(E105)-$A$5,0)</f>
        <v>BTG Pactual Corporate Office Fund</v>
      </c>
      <c r="F105" s="40" t="str">
        <f>VLOOKUP($A105,'Dados ClubeFII'!$A:$AU,column(F105)-$A$5,0)</f>
        <v>BTG PACTUAL</v>
      </c>
      <c r="G105" s="40" t="str">
        <f>VLOOKUP($A105,'Dados ClubeFII'!$A:$AU,column(G105)-$A$5,0)</f>
        <v>Lajes Comerciais</v>
      </c>
      <c r="H105" s="41">
        <f>MID(VLOOKUP($A105,'Dados ClubeFII'!$A:$AU,COLUMN(H105)-$A$5,0),3,100)/MID(VLOOKUP($A105,'Dados ClubeFII'!$A:$AU,2,0),3,SEARCH(",",VLOOKUP($A105,'Dados ClubeFII'!$A:$AU,2,0)))*B105</f>
        <v>1423458014</v>
      </c>
      <c r="I105" s="41">
        <f>MID(VLOOKUP($A105,'Dados ClubeFII'!$A:$AU,column(I105)-$A$5,0),3,100)/1</f>
        <v>2653592593</v>
      </c>
      <c r="J105" s="42">
        <f>VLOOKUP($A105,'Dados ClubeFII'!$A:$AU,column(J105)-$A$5,0)/mid(VLOOKUP($A105,'Dados ClubeFII'!$A:$AU,2,0),3,SEARCH(",",VLOOKUP($A105,'Dados ClubeFII'!$A:$AU,2,0)))*B105</f>
        <v>0.5399631336</v>
      </c>
      <c r="K105" s="41">
        <f>if(VLOOKUP($A105,'Dados ClubeFII'!$A:$AU,column(K105)-$A$5,0)="N/D",0,MID(VLOOKUP($A105,'Dados ClubeFII'!$A:$AU,column(K105)-$A$5,0),3,100)/1)/mid(VLOOKUP($A105,'Dados ClubeFII'!$A:$AU,2,0),3,SEARCH(",",VLOOKUP($A105,'Dados ClubeFII'!$A:$AU,2,0)))*B105</f>
        <v>5935.677283</v>
      </c>
      <c r="L105" s="41">
        <f>if(VLOOKUP($A105,'Dados ClubeFII'!$A:$AU,column(L105)-$A$5,0)="N/D",0,MID(VLOOKUP($A105,'Dados ClubeFII'!$A:$AU,column(L105)-$A$5,0),3,100)/1)</f>
        <v>11065.21</v>
      </c>
      <c r="M105" s="41">
        <f>MID(VLOOKUP($A105,'Dados ClubeFII'!$A:$AU,column(M105)-$A$5,0),3,100)/1</f>
        <v>0.47</v>
      </c>
      <c r="N105" s="41">
        <f>MID(VLOOKUP($A105,'Dados ClubeFII'!$A:$AU,column(N105)-$A$5,0),3,100)/1</f>
        <v>52.21</v>
      </c>
      <c r="O105" s="41">
        <f>LEFT(VLOOKUP($A105,'Dados ClubeFII'!$A:$AU,column(O105)-$A$5,0),len(VLOOKUP($A105,'Dados ClubeFII'!$A:$AU,column(O105)-$A$5,0))-2)/1</f>
        <v>239814</v>
      </c>
      <c r="P105" s="43">
        <f>VLOOKUP($A105,'Dados ClubeFII'!$A:$AU,column(P105)-$A$5,0)</f>
        <v>44971</v>
      </c>
      <c r="Q105" s="44">
        <f>VLOOKUP($A105,'Dados ClubeFII'!$A:$AU,column(Q105)-$A$5,0)/mid(VLOOKUP($A105,'Dados ClubeFII'!$A:$AU,2,0),3,SEARCH(",",VLOOKUP($A105,'Dados ClubeFII'!$A:$AU,2,0)))*B105</f>
        <v>0.1067163502</v>
      </c>
      <c r="R105" s="44">
        <f>VLOOKUP($A105,'Dados ClubeFII'!$A:$AU,column(R105)-$A$5,0)/mid(VLOOKUP($A105,'Dados ClubeFII'!$A:$AU,2,0),3,SEARCH(",",VLOOKUP($A105,'Dados ClubeFII'!$A:$AU,2,0)))*B105</f>
        <v>0.1038692719</v>
      </c>
      <c r="S105" s="43">
        <f>VLOOKUP($A105,'Dados ClubeFII'!$A:$AU,column(S105)-$A$5,0)</f>
        <v>40513</v>
      </c>
      <c r="T105" s="41">
        <f>MID(VLOOKUP($A105,'Dados ClubeFII'!$A:$AU,column(T105)-$A$5,0),3,100)/1</f>
        <v>100</v>
      </c>
      <c r="U105" s="45">
        <f>VLOOKUP($A105,'Dados ClubeFII'!$A:$AU,column(U105)-$A$5,0)/mid(VLOOKUP($A105,'Dados ClubeFII'!$A:$AU,2,0),4,SEARCH(",",VLOOKUP($A105,'Dados ClubeFII'!$A:$AU,2,0))-1)*B105</f>
        <v>-1.013819765</v>
      </c>
      <c r="V105" s="42">
        <f>VLOOKUP($A105,'Dados ClubeFII'!$A:$AU,column(V105)-$A$5,0)</f>
        <v>0.239</v>
      </c>
      <c r="W105" s="43">
        <f>VLOOKUP($A105,'Dados ClubeFII'!$A:$AU,column(W105)-$A$5,0)</f>
        <v>44957</v>
      </c>
      <c r="X105" s="45">
        <f>VLOOKUP($A105,'Dados ClubeFII'!$A:$AU,column(X105)-$A$5,0)</f>
        <v>0.0145</v>
      </c>
      <c r="Y105" s="41">
        <f>MID(VLOOKUP($A105,'Dados ClubeFII'!$A:$AU,column(Y105)-$A$5,0),3,100)/1</f>
        <v>1581770.75</v>
      </c>
      <c r="Z105" s="46">
        <f>VLOOKUP($A105,'Dados ClubeFII'!$A:$AU,column(Z105)-$A$5,0)</f>
        <v>157924</v>
      </c>
      <c r="AA105" s="47">
        <f t="shared" si="2"/>
        <v>26726586</v>
      </c>
      <c r="AB105" s="48">
        <f t="shared" si="3"/>
        <v>99.28662767</v>
      </c>
      <c r="AC105" s="48"/>
      <c r="AD105" s="48"/>
      <c r="AE105" s="48"/>
    </row>
    <row r="106">
      <c r="A106" s="37" t="s">
        <v>129</v>
      </c>
      <c r="B106" s="38">
        <f>IFERROR(__xludf.DUMMYFUNCTION("GOOGLEFINANCE(A106)"),63.5)</f>
        <v>63.5</v>
      </c>
      <c r="C106" s="38">
        <f>IFERROR(__xludf.DUMMYFUNCTION("GOOGLEFINANCE($A106,""high52"")"),81.28)</f>
        <v>81.28</v>
      </c>
      <c r="D106" s="39">
        <f t="shared" si="4"/>
        <v>-0.21875</v>
      </c>
      <c r="E106" s="40" t="str">
        <f>VLOOKUP($A106,'Dados ClubeFII'!$A:$AU,column(E106)-$A$5,0)</f>
        <v>Caixa Rio Bravo Fundo de Fundos II</v>
      </c>
      <c r="F106" s="40" t="str">
        <f>VLOOKUP($A106,'Dados ClubeFII'!$A:$AU,column(F106)-$A$5,0)</f>
        <v>CAIXA E RIO BRAVO</v>
      </c>
      <c r="G106" s="40" t="str">
        <f>VLOOKUP($A106,'Dados ClubeFII'!$A:$AU,column(G106)-$A$5,0)</f>
        <v>Fundo de Fundos</v>
      </c>
      <c r="H106" s="41">
        <f>MID(VLOOKUP($A106,'Dados ClubeFII'!$A:$AU,column(H106)-$A$5,0),3,100)/mid(VLOOKUP($A106,'Dados ClubeFII'!$A:$AU,2,0),4,SEARCH(",",VLOOKUP($A106,'Dados ClubeFII'!$A:$AU,2,0))-1)*B106</f>
        <v>605580873.3</v>
      </c>
      <c r="I106" s="41">
        <f>MID(VLOOKUP($A106,'Dados ClubeFII'!$A:$AU,column(I106)-$A$5,0),3,100)/1</f>
        <v>56441962.29</v>
      </c>
      <c r="J106" s="42">
        <f>VLOOKUP($A106,'Dados ClubeFII'!$A:$AU,column(J106)-$A$5,0)/mid(VLOOKUP($A106,'Dados ClubeFII'!$A:$AU,2,0),3,SEARCH(",",VLOOKUP($A106,'Dados ClubeFII'!$A:$AU,2,0)))*B106</f>
        <v>0.7755875077</v>
      </c>
      <c r="K106" s="41">
        <f>if(VLOOKUP($A106,'Dados ClubeFII'!$A:$AU,column(K106)-$A$5,0)="N/D",0,MID(VLOOKUP($A106,'Dados ClubeFII'!$A:$AU,column(K106)-$A$5,0),3,100)/1)/mid(VLOOKUP($A106,'Dados ClubeFII'!$A:$AU,2,0),3,SEARCH(",",VLOOKUP($A106,'Dados ClubeFII'!$A:$AU,2,0)))*B106</f>
        <v>0</v>
      </c>
      <c r="L106" s="41">
        <f>if(VLOOKUP($A106,'Dados ClubeFII'!$A:$AU,column(L106)-$A$5,0)="N/D",0,MID(VLOOKUP($A106,'Dados ClubeFII'!$A:$AU,column(L106)-$A$5,0),3,100)/1)</f>
        <v>0</v>
      </c>
      <c r="M106" s="41">
        <f>MID(VLOOKUP($A106,'Dados ClubeFII'!$A:$AU,column(M106)-$A$5,0),3,100)/1</f>
        <v>0.61</v>
      </c>
      <c r="N106" s="41">
        <f>MID(VLOOKUP($A106,'Dados ClubeFII'!$A:$AU,column(N106)-$A$5,0),3,100)/1</f>
        <v>0</v>
      </c>
      <c r="O106" s="41">
        <f>LEFT(VLOOKUP($A106,'Dados ClubeFII'!$A:$AU,column(O106)-$A$5,0),len(VLOOKUP($A106,'Dados ClubeFII'!$A:$AU,column(O106)-$A$5,0))-2)/1</f>
        <v>0</v>
      </c>
      <c r="P106" s="43">
        <f>VLOOKUP($A106,'Dados ClubeFII'!$A:$AU,column(P106)-$A$5,0)</f>
        <v>44967</v>
      </c>
      <c r="Q106" s="44">
        <f>VLOOKUP($A106,'Dados ClubeFII'!$A:$AU,column(Q106)-$A$5,0)/mid(VLOOKUP($A106,'Dados ClubeFII'!$A:$AU,2,0),3,SEARCH(",",VLOOKUP($A106,'Dados ClubeFII'!$A:$AU,2,0)))*B106</f>
        <v>0.1170253556</v>
      </c>
      <c r="R106" s="44">
        <f>VLOOKUP($A106,'Dados ClubeFII'!$A:$AU,column(R106)-$A$5,0)/mid(VLOOKUP($A106,'Dados ClubeFII'!$A:$AU,2,0),3,SEARCH(",",VLOOKUP($A106,'Dados ClubeFII'!$A:$AU,2,0)))*B106</f>
        <v>0.1084840754</v>
      </c>
      <c r="S106" s="43">
        <f>VLOOKUP($A106,'Dados ClubeFII'!$A:$AU,column(S106)-$A$5,0)</f>
        <v>43602</v>
      </c>
      <c r="T106" s="41">
        <f>MID(VLOOKUP($A106,'Dados ClubeFII'!$A:$AU,column(T106)-$A$5,0),3,100)/1</f>
        <v>100</v>
      </c>
      <c r="U106" s="45">
        <f>VLOOKUP($A106,'Dados ClubeFII'!$A:$AU,column(U106)-$A$5,0)/mid(VLOOKUP($A106,'Dados ClubeFII'!$A:$AU,2,0),4,SEARCH(",",VLOOKUP($A106,'Dados ClubeFII'!$A:$AU,2,0))-1)*B106</f>
        <v>-0.2767948718</v>
      </c>
      <c r="V106" s="42" t="str">
        <f>VLOOKUP($A106,'Dados ClubeFII'!$A:$AU,column(V106)-$A$5,0)</f>
        <v>N/D</v>
      </c>
      <c r="W106" s="43" t="str">
        <f>VLOOKUP($A106,'Dados ClubeFII'!$A:$AU,column(W106)-$A$5,0)</f>
        <v>N/D</v>
      </c>
      <c r="X106" s="45">
        <f>VLOOKUP($A106,'Dados ClubeFII'!$A:$AU,column(X106)-$A$5,0)</f>
        <v>0</v>
      </c>
      <c r="Y106" s="41">
        <f>MID(VLOOKUP($A106,'Dados ClubeFII'!$A:$AU,column(Y106)-$A$5,0),3,100)/1</f>
        <v>9838.11</v>
      </c>
      <c r="Z106" s="46">
        <f>VLOOKUP($A106,'Dados ClubeFII'!$A:$AU,column(Z106)-$A$5,0)</f>
        <v>1663</v>
      </c>
      <c r="AA106" s="47">
        <f t="shared" si="2"/>
        <v>9536706</v>
      </c>
      <c r="AB106" s="48">
        <f t="shared" si="3"/>
        <v>5.918391769</v>
      </c>
      <c r="AC106" s="48"/>
      <c r="AD106" s="48"/>
      <c r="AE106" s="48"/>
    </row>
    <row r="107">
      <c r="A107" s="37" t="s">
        <v>130</v>
      </c>
      <c r="B107" s="38">
        <f>IFERROR(__xludf.DUMMYFUNCTION("GOOGLEFINANCE(A107)"),58.57)</f>
        <v>58.57</v>
      </c>
      <c r="C107" s="38">
        <f>IFERROR(__xludf.DUMMYFUNCTION("GOOGLEFINANCE($A107,""high52"")"),76.05)</f>
        <v>76.05</v>
      </c>
      <c r="D107" s="39">
        <f t="shared" si="4"/>
        <v>-0.2298487837</v>
      </c>
      <c r="E107" s="40" t="str">
        <f>VLOOKUP($A107,'Dados ClubeFII'!$A:$AU,column(E107)-$A$5,0)</f>
        <v>Santander Renda de Aluguéis</v>
      </c>
      <c r="F107" s="40" t="str">
        <f>VLOOKUP($A107,'Dados ClubeFII'!$A:$AU,column(F107)-$A$5,0)</f>
        <v>Santander Brasil</v>
      </c>
      <c r="G107" s="40" t="str">
        <f>VLOOKUP($A107,'Dados ClubeFII'!$A:$AU,column(G107)-$A$5,0)</f>
        <v>Híbrido</v>
      </c>
      <c r="H107" s="41">
        <f>MID(VLOOKUP($A107,'Dados ClubeFII'!$A:$AU,COLUMN(H107)-$A$5,0),3,100)/MID(VLOOKUP($A107,'Dados ClubeFII'!$A:$AU,2,0),3,SEARCH(",",VLOOKUP($A107,'Dados ClubeFII'!$A:$AU,2,0)))*B107</f>
        <v>552392882.1</v>
      </c>
      <c r="I107" s="41">
        <f>MID(VLOOKUP($A107,'Dados ClubeFII'!$A:$AU,column(I107)-$A$5,0),3,100)/1</f>
        <v>869065060.5</v>
      </c>
      <c r="J107" s="42">
        <f>VLOOKUP($A107,'Dados ClubeFII'!$A:$AU,column(J107)-$A$5,0)/mid(VLOOKUP($A107,'Dados ClubeFII'!$A:$AU,2,0),3,SEARCH(",",VLOOKUP($A107,'Dados ClubeFII'!$A:$AU,2,0)))*B107</f>
        <v>0.6351591111</v>
      </c>
      <c r="K107" s="41">
        <f>if(VLOOKUP($A107,'Dados ClubeFII'!$A:$AU,column(K107)-$A$5,0)="N/D",0,MID(VLOOKUP($A107,'Dados ClubeFII'!$A:$AU,column(K107)-$A$5,0),3,100)/1)/mid(VLOOKUP($A107,'Dados ClubeFII'!$A:$AU,2,0),3,SEARCH(",",VLOOKUP($A107,'Dados ClubeFII'!$A:$AU,2,0)))*B107</f>
        <v>5713.860126</v>
      </c>
      <c r="L107" s="41">
        <f>if(VLOOKUP($A107,'Dados ClubeFII'!$A:$AU,column(L107)-$A$5,0)="N/D",0,MID(VLOOKUP($A107,'Dados ClubeFII'!$A:$AU,column(L107)-$A$5,0),3,100)/1)</f>
        <v>8989.46</v>
      </c>
      <c r="M107" s="41">
        <f>MID(VLOOKUP($A107,'Dados ClubeFII'!$A:$AU,column(M107)-$A$5,0),3,100)/1</f>
        <v>0.64</v>
      </c>
      <c r="N107" s="41">
        <f>MID(VLOOKUP($A107,'Dados ClubeFII'!$A:$AU,column(N107)-$A$5,0),3,100)/1</f>
        <v>61.13</v>
      </c>
      <c r="O107" s="41">
        <f>LEFT(VLOOKUP($A107,'Dados ClubeFII'!$A:$AU,column(O107)-$A$5,0),len(VLOOKUP($A107,'Dados ClubeFII'!$A:$AU,column(O107)-$A$5,0))-2)/1</f>
        <v>96676</v>
      </c>
      <c r="P107" s="43">
        <f>VLOOKUP($A107,'Dados ClubeFII'!$A:$AU,column(P107)-$A$5,0)</f>
        <v>44971</v>
      </c>
      <c r="Q107" s="44">
        <f>VLOOKUP($A107,'Dados ClubeFII'!$A:$AU,column(Q107)-$A$5,0)/mid(VLOOKUP($A107,'Dados ClubeFII'!$A:$AU,2,0),3,SEARCH(",",VLOOKUP($A107,'Dados ClubeFII'!$A:$AU,2,0)))*B107</f>
        <v>0.14806496</v>
      </c>
      <c r="R107" s="44">
        <f>VLOOKUP($A107,'Dados ClubeFII'!$A:$AU,column(R107)-$A$5,0)/mid(VLOOKUP($A107,'Dados ClubeFII'!$A:$AU,2,0),3,SEARCH(",",VLOOKUP($A107,'Dados ClubeFII'!$A:$AU,2,0)))*B107</f>
        <v>0.1394226311</v>
      </c>
      <c r="S107" s="43">
        <f>VLOOKUP($A107,'Dados ClubeFII'!$A:$AU,column(S107)-$A$5,0)</f>
        <v>43840</v>
      </c>
      <c r="T107" s="41">
        <f>MID(VLOOKUP($A107,'Dados ClubeFII'!$A:$AU,column(T107)-$A$5,0),3,100)/1</f>
        <v>100</v>
      </c>
      <c r="U107" s="45">
        <f>VLOOKUP($A107,'Dados ClubeFII'!$A:$AU,column(U107)-$A$5,0)/mid(VLOOKUP($A107,'Dados ClubeFII'!$A:$AU,2,0),4,SEARCH(",",VLOOKUP($A107,'Dados ClubeFII'!$A:$AU,2,0))-1)*B107</f>
        <v>-1.44129056</v>
      </c>
      <c r="V107" s="42">
        <f>VLOOKUP($A107,'Dados ClubeFII'!$A:$AU,column(V107)-$A$5,0)</f>
        <v>0.062</v>
      </c>
      <c r="W107" s="43" t="str">
        <f>VLOOKUP($A107,'Dados ClubeFII'!$A:$AU,column(W107)-$A$5,0)</f>
        <v>N/D</v>
      </c>
      <c r="X107" s="45">
        <f>VLOOKUP($A107,'Dados ClubeFII'!$A:$AU,column(X107)-$A$5,0)</f>
        <v>0.0057</v>
      </c>
      <c r="Y107" s="41">
        <f>MID(VLOOKUP($A107,'Dados ClubeFII'!$A:$AU,column(Y107)-$A$5,0),3,100)/1</f>
        <v>1385200.12</v>
      </c>
      <c r="Z107" s="46">
        <f>VLOOKUP($A107,'Dados ClubeFII'!$A:$AU,column(Z107)-$A$5,0)</f>
        <v>34637</v>
      </c>
      <c r="AA107" s="47">
        <f t="shared" si="2"/>
        <v>9431328</v>
      </c>
      <c r="AB107" s="48">
        <f t="shared" si="3"/>
        <v>92.1466267</v>
      </c>
      <c r="AC107" s="48"/>
      <c r="AD107" s="48"/>
      <c r="AE107" s="48"/>
    </row>
    <row r="108">
      <c r="A108" s="37" t="s">
        <v>131</v>
      </c>
      <c r="B108" s="38">
        <f>IFERROR(__xludf.DUMMYFUNCTION("GOOGLEFINANCE(A108)"),435.87)</f>
        <v>435.87</v>
      </c>
      <c r="C108" s="38">
        <f>IFERROR(__xludf.DUMMYFUNCTION("GOOGLEFINANCE($A108,""high52"")"),482.91)</f>
        <v>482.91</v>
      </c>
      <c r="D108" s="39">
        <f t="shared" si="4"/>
        <v>-0.09740945518</v>
      </c>
      <c r="E108" s="40" t="str">
        <f>VLOOKUP($A108,'Dados ClubeFII'!$A:$AU,column(E108)-$A$5,0)</f>
        <v>Industrial do Brasil</v>
      </c>
      <c r="F108" s="40" t="str">
        <f>VLOOKUP($A108,'Dados ClubeFII'!$A:$AU,column(F108)-$A$5,0)</f>
        <v>COINVALORES</v>
      </c>
      <c r="G108" s="40" t="str">
        <f>VLOOKUP($A108,'Dados ClubeFII'!$A:$AU,column(G108)-$A$5,0)</f>
        <v>Logisticos</v>
      </c>
      <c r="H108" s="41">
        <f>MID(VLOOKUP($A108,'Dados ClubeFII'!$A:$AU,COLUMN(H108)-$A$5,0),3,100)/MID(VLOOKUP($A108,'Dados ClubeFII'!$A:$AU,2,0),3,SEARCH(",",VLOOKUP($A108,'Dados ClubeFII'!$A:$AU,2,0)))*B108</f>
        <v>299903856</v>
      </c>
      <c r="I108" s="41">
        <f>MID(VLOOKUP($A108,'Dados ClubeFII'!$A:$AU,column(I108)-$A$5,0),3,100)/1</f>
        <v>315429737.2</v>
      </c>
      <c r="J108" s="42">
        <f>VLOOKUP($A108,'Dados ClubeFII'!$A:$AU,column(J108)-$A$5,0)/mid(VLOOKUP($A108,'Dados ClubeFII'!$A:$AU,2,0),3,SEARCH(",",VLOOKUP($A108,'Dados ClubeFII'!$A:$AU,2,0)))*B108</f>
        <v>0.953465625</v>
      </c>
      <c r="K108" s="41">
        <f>if(VLOOKUP($A108,'Dados ClubeFII'!$A:$AU,column(K108)-$A$5,0)="N/D",0,MID(VLOOKUP($A108,'Dados ClubeFII'!$A:$AU,column(K108)-$A$5,0),3,100)/1)/mid(VLOOKUP($A108,'Dados ClubeFII'!$A:$AU,2,0),3,SEARCH(",",VLOOKUP($A108,'Dados ClubeFII'!$A:$AU,2,0)))*B108</f>
        <v>2914.257954</v>
      </c>
      <c r="L108" s="41">
        <f>if(VLOOKUP($A108,'Dados ClubeFII'!$A:$AU,column(L108)-$A$5,0)="N/D",0,MID(VLOOKUP($A108,'Dados ClubeFII'!$A:$AU,column(L108)-$A$5,0),3,100)/1)</f>
        <v>3065.13</v>
      </c>
      <c r="M108" s="41">
        <f>MID(VLOOKUP($A108,'Dados ClubeFII'!$A:$AU,column(M108)-$A$5,0),3,100)/1</f>
        <v>3.25</v>
      </c>
      <c r="N108" s="41">
        <f>MID(VLOOKUP($A108,'Dados ClubeFII'!$A:$AU,column(N108)-$A$5,0),3,100)/1</f>
        <v>21.63</v>
      </c>
      <c r="O108" s="41">
        <f>LEFT(VLOOKUP($A108,'Dados ClubeFII'!$A:$AU,column(O108)-$A$5,0),len(VLOOKUP($A108,'Dados ClubeFII'!$A:$AU,column(O108)-$A$5,0))-2)/1</f>
        <v>102909</v>
      </c>
      <c r="P108" s="43">
        <f>VLOOKUP($A108,'Dados ClubeFII'!$A:$AU,column(P108)-$A$5,0)</f>
        <v>44967</v>
      </c>
      <c r="Q108" s="44">
        <f>VLOOKUP($A108,'Dados ClubeFII'!$A:$AU,column(Q108)-$A$5,0)/mid(VLOOKUP($A108,'Dados ClubeFII'!$A:$AU,2,0),3,SEARCH(",",VLOOKUP($A108,'Dados ClubeFII'!$A:$AU,2,0)))*B108</f>
        <v>0.08775775446</v>
      </c>
      <c r="R108" s="44">
        <f>VLOOKUP($A108,'Dados ClubeFII'!$A:$AU,column(R108)-$A$5,0)/mid(VLOOKUP($A108,'Dados ClubeFII'!$A:$AU,2,0),3,SEARCH(",",VLOOKUP($A108,'Dados ClubeFII'!$A:$AU,2,0)))*B108</f>
        <v>0.09057923438</v>
      </c>
      <c r="S108" s="43">
        <f>VLOOKUP($A108,'Dados ClubeFII'!$A:$AU,column(S108)-$A$5,0)</f>
        <v>40903</v>
      </c>
      <c r="T108" s="41">
        <f>MID(VLOOKUP($A108,'Dados ClubeFII'!$A:$AU,column(T108)-$A$5,0),3,100)/1</f>
        <v>300</v>
      </c>
      <c r="U108" s="45">
        <f>VLOOKUP($A108,'Dados ClubeFII'!$A:$AU,column(U108)-$A$5,0)/mid(VLOOKUP($A108,'Dados ClubeFII'!$A:$AU,2,0),4,SEARCH(",",VLOOKUP($A108,'Dados ClubeFII'!$A:$AU,2,0))-1)*B108</f>
        <v>-0.3332589375</v>
      </c>
      <c r="V108" s="42">
        <f>VLOOKUP($A108,'Dados ClubeFII'!$A:$AU,column(V108)-$A$5,0)</f>
        <v>0.054</v>
      </c>
      <c r="W108" s="43" t="str">
        <f>VLOOKUP($A108,'Dados ClubeFII'!$A:$AU,column(W108)-$A$5,0)</f>
        <v>N/D</v>
      </c>
      <c r="X108" s="45">
        <f>VLOOKUP($A108,'Dados ClubeFII'!$A:$AU,column(X108)-$A$5,0)</f>
        <v>0</v>
      </c>
      <c r="Y108" s="41">
        <f>MID(VLOOKUP($A108,'Dados ClubeFII'!$A:$AU,column(Y108)-$A$5,0),3,100)/1</f>
        <v>237770.19</v>
      </c>
      <c r="Z108" s="46">
        <f>VLOOKUP($A108,'Dados ClubeFII'!$A:$AU,column(Z108)-$A$5,0)</f>
        <v>17037</v>
      </c>
      <c r="AA108" s="47">
        <f t="shared" si="2"/>
        <v>688058</v>
      </c>
      <c r="AB108" s="48">
        <f t="shared" si="3"/>
        <v>458.434808</v>
      </c>
      <c r="AC108" s="48"/>
      <c r="AD108" s="48"/>
      <c r="AE108" s="48"/>
    </row>
    <row r="109">
      <c r="A109" s="37" t="s">
        <v>132</v>
      </c>
      <c r="B109" s="38">
        <f>IFERROR(__xludf.DUMMYFUNCTION("GOOGLEFINANCE(A109)"),70.0)</f>
        <v>70</v>
      </c>
      <c r="C109" s="38">
        <f>IFERROR(__xludf.DUMMYFUNCTION("GOOGLEFINANCE($A109,""high52"")"),83.62)</f>
        <v>83.62</v>
      </c>
      <c r="D109" s="39">
        <f t="shared" si="4"/>
        <v>-0.1628796939</v>
      </c>
      <c r="E109" s="40" t="str">
        <f>VLOOKUP($A109,'Dados ClubeFII'!$A:$AU,column(E109)-$A$5,0)</f>
        <v>XP Industrial</v>
      </c>
      <c r="F109" s="40" t="str">
        <f>VLOOKUP($A109,'Dados ClubeFII'!$A:$AU,column(F109)-$A$5,0)</f>
        <v>XP Vista</v>
      </c>
      <c r="G109" s="40" t="str">
        <f>VLOOKUP($A109,'Dados ClubeFII'!$A:$AU,column(G109)-$A$5,0)</f>
        <v>Logisticos</v>
      </c>
      <c r="H109" s="41">
        <f>MID(VLOOKUP($A109,'Dados ClubeFII'!$A:$AU,COLUMN(H109)-$A$5,0),3,100)/MID(VLOOKUP($A109,'Dados ClubeFII'!$A:$AU,2,0),3,SEARCH(",",VLOOKUP($A109,'Dados ClubeFII'!$A:$AU,2,0)))*B109</f>
        <v>502866808.3</v>
      </c>
      <c r="I109" s="41">
        <f>MID(VLOOKUP($A109,'Dados ClubeFII'!$A:$AU,column(I109)-$A$5,0),3,100)/1</f>
        <v>740047972.6</v>
      </c>
      <c r="J109" s="42">
        <f>VLOOKUP($A109,'Dados ClubeFII'!$A:$AU,column(J109)-$A$5,0)/mid(VLOOKUP($A109,'Dados ClubeFII'!$A:$AU,2,0),3,SEARCH(",",VLOOKUP($A109,'Dados ClubeFII'!$A:$AU,2,0)))*B109</f>
        <v>0.6834583274</v>
      </c>
      <c r="K109" s="41">
        <f>if(VLOOKUP($A109,'Dados ClubeFII'!$A:$AU,column(K109)-$A$5,0)="N/D",0,MID(VLOOKUP($A109,'Dados ClubeFII'!$A:$AU,column(K109)-$A$5,0),3,100)/1)/mid(VLOOKUP($A109,'Dados ClubeFII'!$A:$AU,2,0),3,SEARCH(",",VLOOKUP($A109,'Dados ClubeFII'!$A:$AU,2,0)))*B109</f>
        <v>1696.957691</v>
      </c>
      <c r="L109" s="41">
        <f>if(VLOOKUP($A109,'Dados ClubeFII'!$A:$AU,column(L109)-$A$5,0)="N/D",0,MID(VLOOKUP($A109,'Dados ClubeFII'!$A:$AU,column(L109)-$A$5,0),3,100)/1)</f>
        <v>2497.34</v>
      </c>
      <c r="M109" s="41">
        <f>MID(VLOOKUP($A109,'Dados ClubeFII'!$A:$AU,column(M109)-$A$5,0),3,100)/1</f>
        <v>0.65</v>
      </c>
      <c r="N109" s="41">
        <f>MID(VLOOKUP($A109,'Dados ClubeFII'!$A:$AU,column(N109)-$A$5,0),3,100)/1</f>
        <v>15.68</v>
      </c>
      <c r="O109" s="41">
        <f>LEFT(VLOOKUP($A109,'Dados ClubeFII'!$A:$AU,column(O109)-$A$5,0),len(VLOOKUP($A109,'Dados ClubeFII'!$A:$AU,column(O109)-$A$5,0))-2)/1</f>
        <v>296335</v>
      </c>
      <c r="P109" s="43">
        <f>VLOOKUP($A109,'Dados ClubeFII'!$A:$AU,column(P109)-$A$5,0)</f>
        <v>44981</v>
      </c>
      <c r="Q109" s="44">
        <f>VLOOKUP($A109,'Dados ClubeFII'!$A:$AU,column(Q109)-$A$5,0)/mid(VLOOKUP($A109,'Dados ClubeFII'!$A:$AU,2,0),3,SEARCH(",",VLOOKUP($A109,'Dados ClubeFII'!$A:$AU,2,0)))*B109</f>
        <v>0.1145040328</v>
      </c>
      <c r="R109" s="44">
        <f>VLOOKUP($A109,'Dados ClubeFII'!$A:$AU,column(R109)-$A$5,0)/mid(VLOOKUP($A109,'Dados ClubeFII'!$A:$AU,2,0),3,SEARCH(",",VLOOKUP($A109,'Dados ClubeFII'!$A:$AU,2,0)))*B109</f>
        <v>0.1047969435</v>
      </c>
      <c r="S109" s="43">
        <f>VLOOKUP($A109,'Dados ClubeFII'!$A:$AU,column(S109)-$A$5,0)</f>
        <v>43272</v>
      </c>
      <c r="T109" s="41">
        <f>MID(VLOOKUP($A109,'Dados ClubeFII'!$A:$AU,column(T109)-$A$5,0),3,100)/1</f>
        <v>100</v>
      </c>
      <c r="U109" s="45">
        <f>VLOOKUP($A109,'Dados ClubeFII'!$A:$AU,column(U109)-$A$5,0)/mid(VLOOKUP($A109,'Dados ClubeFII'!$A:$AU,2,0),4,SEARCH(",",VLOOKUP($A109,'Dados ClubeFII'!$A:$AU,2,0))-1)*B109</f>
        <v>-3.991044776</v>
      </c>
      <c r="V109" s="42">
        <f>VLOOKUP($A109,'Dados ClubeFII'!$A:$AU,column(V109)-$A$5,0)</f>
        <v>0.1326</v>
      </c>
      <c r="W109" s="43">
        <f>VLOOKUP($A109,'Dados ClubeFII'!$A:$AU,column(W109)-$A$5,0)</f>
        <v>44925</v>
      </c>
      <c r="X109" s="45">
        <f>VLOOKUP($A109,'Dados ClubeFII'!$A:$AU,column(X109)-$A$5,0)</f>
        <v>0.0049</v>
      </c>
      <c r="Y109" s="41">
        <f>MID(VLOOKUP($A109,'Dados ClubeFII'!$A:$AU,column(Y109)-$A$5,0),3,100)/1</f>
        <v>479542.34</v>
      </c>
      <c r="Z109" s="46">
        <f>VLOOKUP($A109,'Dados ClubeFII'!$A:$AU,column(Z109)-$A$5,0)</f>
        <v>46043</v>
      </c>
      <c r="AA109" s="47">
        <f t="shared" si="2"/>
        <v>7183811</v>
      </c>
      <c r="AB109" s="48">
        <f t="shared" si="3"/>
        <v>103.0160694</v>
      </c>
      <c r="AC109" s="17"/>
      <c r="AD109" s="17"/>
      <c r="AE109" s="17"/>
    </row>
    <row r="110">
      <c r="A110" s="49" t="s">
        <v>133</v>
      </c>
      <c r="B110" s="38">
        <f>IFERROR(__xludf.DUMMYFUNCTION("GOOGLEFINANCE(A110)"),61.83)</f>
        <v>61.83</v>
      </c>
      <c r="C110" s="38">
        <f>IFERROR(__xludf.DUMMYFUNCTION("GOOGLEFINANCE($A110,""high52"")"),86.98)</f>
        <v>86.98</v>
      </c>
      <c r="D110" s="39">
        <f t="shared" si="4"/>
        <v>-0.2891469303</v>
      </c>
      <c r="E110" s="40" t="str">
        <f>VLOOKUP($A110,'Dados ClubeFII'!$A:$AU,column(E110)-$A$5,0)</f>
        <v>JS Real Estate Multigestão</v>
      </c>
      <c r="F110" s="40" t="str">
        <f>VLOOKUP($A110,'Dados ClubeFII'!$A:$AU,column(F110)-$A$5,0)</f>
        <v>SAFRA ASSET</v>
      </c>
      <c r="G110" s="40" t="str">
        <f>VLOOKUP($A110,'Dados ClubeFII'!$A:$AU,column(G110)-$A$5,0)</f>
        <v>Lajes Comerciais</v>
      </c>
      <c r="H110" s="41">
        <f>MID(VLOOKUP($A110,'Dados ClubeFII'!$A:$AU,COLUMN(H110)-$A$5,0),3,100)/MID(VLOOKUP($A110,'Dados ClubeFII'!$A:$AU,2,0),3,SEARCH(",",VLOOKUP($A110,'Dados ClubeFII'!$A:$AU,2,0)))*B110</f>
        <v>1296192477</v>
      </c>
      <c r="I110" s="41">
        <f>MID(VLOOKUP($A110,'Dados ClubeFII'!$A:$AU,column(I110)-$A$5,0),3,100)/1</f>
        <v>2342973830</v>
      </c>
      <c r="J110" s="42">
        <f>VLOOKUP($A110,'Dados ClubeFII'!$A:$AU,column(J110)-$A$5,0)/mid(VLOOKUP($A110,'Dados ClubeFII'!$A:$AU,2,0),3,SEARCH(",",VLOOKUP($A110,'Dados ClubeFII'!$A:$AU,2,0)))*B110</f>
        <v>0.5552405388</v>
      </c>
      <c r="K110" s="41">
        <f>if(VLOOKUP($A110,'Dados ClubeFII'!$A:$AU,column(K110)-$A$5,0)="N/D",0,MID(VLOOKUP($A110,'Dados ClubeFII'!$A:$AU,column(K110)-$A$5,0),3,100)/1)/mid(VLOOKUP($A110,'Dados ClubeFII'!$A:$AU,2,0),3,SEARCH(",",VLOOKUP($A110,'Dados ClubeFII'!$A:$AU,2,0)))*B110</f>
        <v>10629.93139</v>
      </c>
      <c r="L110" s="41">
        <f>if(VLOOKUP($A110,'Dados ClubeFII'!$A:$AU,column(L110)-$A$5,0)="N/D",0,MID(VLOOKUP($A110,'Dados ClubeFII'!$A:$AU,column(L110)-$A$5,0),3,100)/1)</f>
        <v>19214.47</v>
      </c>
      <c r="M110" s="41">
        <f>MID(VLOOKUP($A110,'Dados ClubeFII'!$A:$AU,column(M110)-$A$5,0),3,100)/1</f>
        <v>0.49</v>
      </c>
      <c r="N110" s="41">
        <f>MID(VLOOKUP($A110,'Dados ClubeFII'!$A:$AU,column(N110)-$A$5,0),3,100)/1</f>
        <v>83.45</v>
      </c>
      <c r="O110" s="41">
        <f>LEFT(VLOOKUP($A110,'Dados ClubeFII'!$A:$AU,column(O110)-$A$5,0),len(VLOOKUP($A110,'Dados ClubeFII'!$A:$AU,column(O110)-$A$5,0))-2)/1</f>
        <v>121938</v>
      </c>
      <c r="P110" s="43">
        <f>VLOOKUP($A110,'Dados ClubeFII'!$A:$AU,column(P110)-$A$5,0)</f>
        <v>44971</v>
      </c>
      <c r="Q110" s="44">
        <f>VLOOKUP($A110,'Dados ClubeFII'!$A:$AU,column(Q110)-$A$5,0)/mid(VLOOKUP($A110,'Dados ClubeFII'!$A:$AU,2,0),3,SEARCH(",",VLOOKUP($A110,'Dados ClubeFII'!$A:$AU,2,0)))*B110</f>
        <v>0.09667134381</v>
      </c>
      <c r="R110" s="44">
        <f>VLOOKUP($A110,'Dados ClubeFII'!$A:$AU,column(R110)-$A$5,0)/mid(VLOOKUP($A110,'Dados ClubeFII'!$A:$AU,2,0),3,SEARCH(",",VLOOKUP($A110,'Dados ClubeFII'!$A:$AU,2,0)))*B110</f>
        <v>0.09320109044</v>
      </c>
      <c r="S110" s="43">
        <f>VLOOKUP($A110,'Dados ClubeFII'!$A:$AU,column(S110)-$A$5,0)</f>
        <v>40704</v>
      </c>
      <c r="T110" s="41">
        <f>MID(VLOOKUP($A110,'Dados ClubeFII'!$A:$AU,column(T110)-$A$5,0),3,100)/1</f>
        <v>100</v>
      </c>
      <c r="U110" s="45">
        <f>VLOOKUP($A110,'Dados ClubeFII'!$A:$AU,column(U110)-$A$5,0)/mid(VLOOKUP($A110,'Dados ClubeFII'!$A:$AU,2,0),4,SEARCH(",",VLOOKUP($A110,'Dados ClubeFII'!$A:$AU,2,0))-1)*B110</f>
        <v>-3.607623305</v>
      </c>
      <c r="V110" s="42">
        <f>VLOOKUP($A110,'Dados ClubeFII'!$A:$AU,column(V110)-$A$5,0)</f>
        <v>0.086</v>
      </c>
      <c r="W110" s="43">
        <f>VLOOKUP($A110,'Dados ClubeFII'!$A:$AU,column(W110)-$A$5,0)</f>
        <v>44957</v>
      </c>
      <c r="X110" s="45">
        <f>VLOOKUP($A110,'Dados ClubeFII'!$A:$AU,column(X110)-$A$5,0)</f>
        <v>0.0138</v>
      </c>
      <c r="Y110" s="41">
        <f>MID(VLOOKUP($A110,'Dados ClubeFII'!$A:$AU,column(Y110)-$A$5,0),3,100)/1</f>
        <v>2598015.79</v>
      </c>
      <c r="Z110" s="46">
        <f>VLOOKUP($A110,'Dados ClubeFII'!$A:$AU,column(Z110)-$A$5,0)</f>
        <v>87407</v>
      </c>
      <c r="AA110" s="47">
        <f t="shared" si="2"/>
        <v>20963811</v>
      </c>
      <c r="AB110" s="48">
        <f t="shared" si="3"/>
        <v>111.7627816</v>
      </c>
      <c r="AC110" s="48"/>
      <c r="AD110" s="48"/>
      <c r="AE110" s="48"/>
    </row>
    <row r="111">
      <c r="A111" s="37" t="s">
        <v>134</v>
      </c>
      <c r="B111" s="38">
        <f>IFERROR(__xludf.DUMMYFUNCTION("GOOGLEFINANCE(A111)"),103.95)</f>
        <v>103.95</v>
      </c>
      <c r="C111" s="38">
        <f>IFERROR(__xludf.DUMMYFUNCTION("GOOGLEFINANCE($A111,""high52"")"),105.0)</f>
        <v>105</v>
      </c>
      <c r="D111" s="39">
        <f t="shared" si="4"/>
        <v>-0.01</v>
      </c>
      <c r="E111" s="40" t="str">
        <f>VLOOKUP($A111,'Dados ClubeFII'!$A:$AU,column(E111)-$A$5,0)</f>
        <v>Legatus Shoppings</v>
      </c>
      <c r="F111" s="40" t="str">
        <f>VLOOKUP($A111,'Dados ClubeFII'!$A:$AU,column(F111)-$A$5,0)</f>
        <v>Legatus</v>
      </c>
      <c r="G111" s="40" t="str">
        <f>VLOOKUP($A111,'Dados ClubeFII'!$A:$AU,column(G111)-$A$5,0)</f>
        <v>Shopping/Varejo</v>
      </c>
      <c r="H111" s="41">
        <f>MID(VLOOKUP($A111,'Dados ClubeFII'!$A:$AU,COLUMN(H111)-$A$5,0),3,100)/MID(VLOOKUP($A111,'Dados ClubeFII'!$A:$AU,2,0),3,SEARCH(",",VLOOKUP($A111,'Dados ClubeFII'!$A:$AU,2,0)))*B111</f>
        <v>305857885.1</v>
      </c>
      <c r="I111" s="41">
        <f>MID(VLOOKUP($A111,'Dados ClubeFII'!$A:$AU,column(I111)-$A$5,0),3,100)/1</f>
        <v>312550406.7</v>
      </c>
      <c r="J111" s="42">
        <f>VLOOKUP($A111,'Dados ClubeFII'!$A:$AU,column(J111)-$A$5,0)/mid(VLOOKUP($A111,'Dados ClubeFII'!$A:$AU,2,0),3,SEARCH(",",VLOOKUP($A111,'Dados ClubeFII'!$A:$AU,2,0)))*B111</f>
        <v>0.9769346131</v>
      </c>
      <c r="K111" s="41">
        <f>if(VLOOKUP($A111,'Dados ClubeFII'!$A:$AU,column(K111)-$A$5,0)="N/D",0,MID(VLOOKUP($A111,'Dados ClubeFII'!$A:$AU,column(K111)-$A$5,0),3,100)/1)/mid(VLOOKUP($A111,'Dados ClubeFII'!$A:$AU,2,0),3,SEARCH(",",VLOOKUP($A111,'Dados ClubeFII'!$A:$AU,2,0)))*B111</f>
        <v>9278.259808</v>
      </c>
      <c r="L111" s="41">
        <f>if(VLOOKUP($A111,'Dados ClubeFII'!$A:$AU,column(L111)-$A$5,0)="N/D",0,MID(VLOOKUP($A111,'Dados ClubeFII'!$A:$AU,column(L111)-$A$5,0),3,100)/1)</f>
        <v>9481.28</v>
      </c>
      <c r="M111" s="41">
        <f>MID(VLOOKUP($A111,'Dados ClubeFII'!$A:$AU,column(M111)-$A$5,0),3,100)/1</f>
        <v>0.79</v>
      </c>
      <c r="N111" s="41">
        <f>MID(VLOOKUP($A111,'Dados ClubeFII'!$A:$AU,column(N111)-$A$5,0),3,100)/1</f>
        <v>70.46</v>
      </c>
      <c r="O111" s="41">
        <f>LEFT(VLOOKUP($A111,'Dados ClubeFII'!$A:$AU,column(O111)-$A$5,0),len(VLOOKUP($A111,'Dados ClubeFII'!$A:$AU,column(O111)-$A$5,0))-2)/1</f>
        <v>32965</v>
      </c>
      <c r="P111" s="43">
        <f>VLOOKUP($A111,'Dados ClubeFII'!$A:$AU,column(P111)-$A$5,0)</f>
        <v>44964</v>
      </c>
      <c r="Q111" s="44">
        <f>VLOOKUP($A111,'Dados ClubeFII'!$A:$AU,column(Q111)-$A$5,0)/mid(VLOOKUP($A111,'Dados ClubeFII'!$A:$AU,2,0),3,SEARCH(",",VLOOKUP($A111,'Dados ClubeFII'!$A:$AU,2,0)))*B111</f>
        <v>0.1027859928</v>
      </c>
      <c r="R111" s="44">
        <f>VLOOKUP($A111,'Dados ClubeFII'!$A:$AU,column(R111)-$A$5,0)/mid(VLOOKUP($A111,'Dados ClubeFII'!$A:$AU,2,0),3,SEARCH(",",VLOOKUP($A111,'Dados ClubeFII'!$A:$AU,2,0)))*B111</f>
        <v>0.0910419916</v>
      </c>
      <c r="S111" s="43">
        <f>VLOOKUP($A111,'Dados ClubeFII'!$A:$AU,column(S111)-$A$5,0)</f>
        <v>43708</v>
      </c>
      <c r="T111" s="41">
        <f>MID(VLOOKUP($A111,'Dados ClubeFII'!$A:$AU,column(T111)-$A$5,0),3,100)/1</f>
        <v>100</v>
      </c>
      <c r="U111" s="45">
        <f>VLOOKUP($A111,'Dados ClubeFII'!$A:$AU,column(U111)-$A$5,0)/mid(VLOOKUP($A111,'Dados ClubeFII'!$A:$AU,2,0),4,SEARCH(",",VLOOKUP($A111,'Dados ClubeFII'!$A:$AU,2,0))-1)*B111</f>
        <v>-21.30975</v>
      </c>
      <c r="V111" s="42">
        <f>VLOOKUP($A111,'Dados ClubeFII'!$A:$AU,column(V111)-$A$5,0)</f>
        <v>0.032</v>
      </c>
      <c r="W111" s="43" t="str">
        <f>VLOOKUP($A111,'Dados ClubeFII'!$A:$AU,column(W111)-$A$5,0)</f>
        <v>N/D</v>
      </c>
      <c r="X111" s="45">
        <f>VLOOKUP($A111,'Dados ClubeFII'!$A:$AU,column(X111)-$A$5,0)</f>
        <v>0</v>
      </c>
      <c r="Y111" s="41">
        <f>MID(VLOOKUP($A111,'Dados ClubeFII'!$A:$AU,column(Y111)-$A$5,0),3,100)/1</f>
        <v>6888.66</v>
      </c>
      <c r="Z111" s="46">
        <f>VLOOKUP($A111,'Dados ClubeFII'!$A:$AU,column(Z111)-$A$5,0)</f>
        <v>353</v>
      </c>
      <c r="AA111" s="47">
        <f t="shared" si="2"/>
        <v>2942355</v>
      </c>
      <c r="AB111" s="48">
        <f t="shared" si="3"/>
        <v>106.2245741</v>
      </c>
      <c r="AC111" s="48"/>
      <c r="AD111" s="48"/>
      <c r="AE111" s="48"/>
    </row>
    <row r="112">
      <c r="A112" s="49" t="s">
        <v>135</v>
      </c>
      <c r="B112" s="38">
        <f>IFERROR(__xludf.DUMMYFUNCTION("GOOGLEFINANCE(A112)"),83.8)</f>
        <v>83.8</v>
      </c>
      <c r="C112" s="38">
        <f>IFERROR(__xludf.DUMMYFUNCTION("GOOGLEFINANCE($A112,""high52"")"),94.88)</f>
        <v>94.88</v>
      </c>
      <c r="D112" s="39">
        <f t="shared" si="4"/>
        <v>-0.1167790894</v>
      </c>
      <c r="E112" s="40" t="str">
        <f>VLOOKUP($A112,'Dados ClubeFII'!$A:$AU,column(E112)-$A$5,0)</f>
        <v>Hedge Logística</v>
      </c>
      <c r="F112" s="40" t="str">
        <f>VLOOKUP($A112,'Dados ClubeFII'!$A:$AU,column(F112)-$A$5,0)</f>
        <v>HEDGE INVESTMENTS</v>
      </c>
      <c r="G112" s="40" t="str">
        <f>VLOOKUP($A112,'Dados ClubeFII'!$A:$AU,column(G112)-$A$5,0)</f>
        <v>Logisticos</v>
      </c>
      <c r="H112" s="41">
        <f>MID(VLOOKUP($A112,'Dados ClubeFII'!$A:$AU,COLUMN(H112)-$A$5,0),3,100)/MID(VLOOKUP($A112,'Dados ClubeFII'!$A:$AU,2,0),3,SEARCH(",",VLOOKUP($A112,'Dados ClubeFII'!$A:$AU,2,0)))*B112</f>
        <v>358111319.3</v>
      </c>
      <c r="I112" s="41">
        <f>MID(VLOOKUP($A112,'Dados ClubeFII'!$A:$AU,column(I112)-$A$5,0),3,100)/1</f>
        <v>494549459.5</v>
      </c>
      <c r="J112" s="42">
        <f>VLOOKUP($A112,'Dados ClubeFII'!$A:$AU,column(J112)-$A$5,0)/mid(VLOOKUP($A112,'Dados ClubeFII'!$A:$AU,2,0),3,SEARCH(",",VLOOKUP($A112,'Dados ClubeFII'!$A:$AU,2,0)))*B112</f>
        <v>0.7223273076</v>
      </c>
      <c r="K112" s="41">
        <f>if(VLOOKUP($A112,'Dados ClubeFII'!$A:$AU,column(K112)-$A$5,0)="N/D",0,MID(VLOOKUP($A112,'Dados ClubeFII'!$A:$AU,column(K112)-$A$5,0),3,100)/1)/mid(VLOOKUP($A112,'Dados ClubeFII'!$A:$AU,2,0),3,SEARCH(",",VLOOKUP($A112,'Dados ClubeFII'!$A:$AU,2,0)))*B112</f>
        <v>1429.014222</v>
      </c>
      <c r="L112" s="41">
        <f>if(VLOOKUP($A112,'Dados ClubeFII'!$A:$AU,column(L112)-$A$5,0)="N/D",0,MID(VLOOKUP($A112,'Dados ClubeFII'!$A:$AU,column(L112)-$A$5,0),3,100)/1)</f>
        <v>1973.46</v>
      </c>
      <c r="M112" s="41">
        <f>MID(VLOOKUP($A112,'Dados ClubeFII'!$A:$AU,column(M112)-$A$5,0),3,100)/1</f>
        <v>0.65</v>
      </c>
      <c r="N112" s="41">
        <f>MID(VLOOKUP($A112,'Dados ClubeFII'!$A:$AU,column(N112)-$A$5,0),3,100)/1</f>
        <v>11.02</v>
      </c>
      <c r="O112" s="41">
        <f>LEFT(VLOOKUP($A112,'Dados ClubeFII'!$A:$AU,column(O112)-$A$5,0),len(VLOOKUP($A112,'Dados ClubeFII'!$A:$AU,column(O112)-$A$5,0))-2)/1</f>
        <v>250600</v>
      </c>
      <c r="P112" s="43">
        <f>VLOOKUP($A112,'Dados ClubeFII'!$A:$AU,column(P112)-$A$5,0)</f>
        <v>44971</v>
      </c>
      <c r="Q112" s="44">
        <f>VLOOKUP($A112,'Dados ClubeFII'!$A:$AU,column(Q112)-$A$5,0)/mid(VLOOKUP($A112,'Dados ClubeFII'!$A:$AU,2,0),3,SEARCH(",",VLOOKUP($A112,'Dados ClubeFII'!$A:$AU,2,0)))*B112</f>
        <v>0.09721321681</v>
      </c>
      <c r="R112" s="44">
        <f>VLOOKUP($A112,'Dados ClubeFII'!$A:$AU,column(R112)-$A$5,0)/mid(VLOOKUP($A112,'Dados ClubeFII'!$A:$AU,2,0),3,SEARCH(",",VLOOKUP($A112,'Dados ClubeFII'!$A:$AU,2,0)))*B112</f>
        <v>0.09320028732</v>
      </c>
      <c r="S112" s="43">
        <f>VLOOKUP($A112,'Dados ClubeFII'!$A:$AU,column(S112)-$A$5,0)</f>
        <v>43822</v>
      </c>
      <c r="T112" s="41">
        <f>MID(VLOOKUP($A112,'Dados ClubeFII'!$A:$AU,column(T112)-$A$5,0),3,100)/1</f>
        <v>100</v>
      </c>
      <c r="U112" s="45">
        <f>VLOOKUP($A112,'Dados ClubeFII'!$A:$AU,column(U112)-$A$5,0)/mid(VLOOKUP($A112,'Dados ClubeFII'!$A:$AU,2,0),4,SEARCH(",",VLOOKUP($A112,'Dados ClubeFII'!$A:$AU,2,0))-1)*B112</f>
        <v>-1.70686119</v>
      </c>
      <c r="V112" s="42">
        <f>VLOOKUP($A112,'Dados ClubeFII'!$A:$AU,column(V112)-$A$5,0)</f>
        <v>0.02</v>
      </c>
      <c r="W112" s="43">
        <f>VLOOKUP($A112,'Dados ClubeFII'!$A:$AU,column(W112)-$A$5,0)</f>
        <v>44925</v>
      </c>
      <c r="X112" s="45">
        <f>VLOOKUP($A112,'Dados ClubeFII'!$A:$AU,column(X112)-$A$5,0)</f>
        <v>0</v>
      </c>
      <c r="Y112" s="41">
        <f>MID(VLOOKUP($A112,'Dados ClubeFII'!$A:$AU,column(Y112)-$A$5,0),3,100)/1</f>
        <v>53390</v>
      </c>
      <c r="Z112" s="46">
        <f>VLOOKUP($A112,'Dados ClubeFII'!$A:$AU,column(Z112)-$A$5,0)</f>
        <v>4173</v>
      </c>
      <c r="AA112" s="47">
        <f t="shared" si="2"/>
        <v>4273404</v>
      </c>
      <c r="AB112" s="48">
        <f t="shared" si="3"/>
        <v>115.7272889</v>
      </c>
      <c r="AC112" s="48"/>
      <c r="AD112" s="48"/>
      <c r="AE112" s="48"/>
    </row>
    <row r="113">
      <c r="A113" s="37" t="s">
        <v>136</v>
      </c>
      <c r="B113" s="38">
        <f>IFERROR(__xludf.DUMMYFUNCTION("GOOGLEFINANCE(A113)"),1570.01)</f>
        <v>1570.01</v>
      </c>
      <c r="C113" s="38">
        <f>IFERROR(__xludf.DUMMYFUNCTION("GOOGLEFINANCE($A113,""high52"")"),1748.62)</f>
        <v>1748.62</v>
      </c>
      <c r="D113" s="39">
        <f t="shared" si="4"/>
        <v>-0.1021434045</v>
      </c>
      <c r="E113" s="40" t="str">
        <f>VLOOKUP($A113,'Dados ClubeFII'!$A:$AU,column(E113)-$A$5,0)</f>
        <v>Hedge Floripa Shopping</v>
      </c>
      <c r="F113" s="40" t="str">
        <f>VLOOKUP($A113,'Dados ClubeFII'!$A:$AU,column(F113)-$A$5,0)</f>
        <v>HEDGE INVESTMENTS</v>
      </c>
      <c r="G113" s="40" t="str">
        <f>VLOOKUP($A113,'Dados ClubeFII'!$A:$AU,column(G113)-$A$5,0)</f>
        <v>Shopping/Varejo</v>
      </c>
      <c r="H113" s="41">
        <f>MID(VLOOKUP($A113,'Dados ClubeFII'!$A:$AU,COLUMN(H113)-$A$5,0),3,100)/MID(VLOOKUP($A113,'Dados ClubeFII'!$A:$AU,2,0),3,SEARCH(",",VLOOKUP($A113,'Dados ClubeFII'!$A:$AU,2,0)))*B113</f>
        <v>102401212.8</v>
      </c>
      <c r="I113" s="41">
        <f>MID(VLOOKUP($A113,'Dados ClubeFII'!$A:$AU,column(I113)-$A$5,0),3,100)/1</f>
        <v>119166577.7</v>
      </c>
      <c r="J113" s="42">
        <f>VLOOKUP($A113,'Dados ClubeFII'!$A:$AU,column(J113)-$A$5,0)/mid(VLOOKUP($A113,'Dados ClubeFII'!$A:$AU,2,0),3,SEARCH(",",VLOOKUP($A113,'Dados ClubeFII'!$A:$AU,2,0)))*B113</f>
        <v>0.8587965984</v>
      </c>
      <c r="K113" s="41">
        <f>if(VLOOKUP($A113,'Dados ClubeFII'!$A:$AU,column(K113)-$A$5,0)="N/D",0,MID(VLOOKUP($A113,'Dados ClubeFII'!$A:$AU,column(K113)-$A$5,0),3,100)/1)/mid(VLOOKUP($A113,'Dados ClubeFII'!$A:$AU,2,0),3,SEARCH(",",VLOOKUP($A113,'Dados ClubeFII'!$A:$AU,2,0)))*B113</f>
        <v>6031.048903</v>
      </c>
      <c r="L113" s="41">
        <f>if(VLOOKUP($A113,'Dados ClubeFII'!$A:$AU,column(L113)-$A$5,0)="N/D",0,MID(VLOOKUP($A113,'Dados ClubeFII'!$A:$AU,column(L113)-$A$5,0),3,100)/1)</f>
        <v>7018.47</v>
      </c>
      <c r="M113" s="41">
        <f>MID(VLOOKUP($A113,'Dados ClubeFII'!$A:$AU,column(M113)-$A$5,0),3,100)/1</f>
        <v>13</v>
      </c>
      <c r="N113" s="41">
        <f>MID(VLOOKUP($A113,'Dados ClubeFII'!$A:$AU,column(N113)-$A$5,0),3,100)/1</f>
        <v>49.94</v>
      </c>
      <c r="O113" s="41">
        <f>LEFT(VLOOKUP($A113,'Dados ClubeFII'!$A:$AU,column(O113)-$A$5,0),len(VLOOKUP($A113,'Dados ClubeFII'!$A:$AU,column(O113)-$A$5,0))-2)/1</f>
        <v>16979</v>
      </c>
      <c r="P113" s="43">
        <f>VLOOKUP($A113,'Dados ClubeFII'!$A:$AU,column(P113)-$A$5,0)</f>
        <v>44971</v>
      </c>
      <c r="Q113" s="44">
        <f>VLOOKUP($A113,'Dados ClubeFII'!$A:$AU,column(Q113)-$A$5,0)/mid(VLOOKUP($A113,'Dados ClubeFII'!$A:$AU,2,0),3,SEARCH(",",VLOOKUP($A113,'Dados ClubeFII'!$A:$AU,2,0)))*B113</f>
        <v>0.1037546123</v>
      </c>
      <c r="R113" s="44">
        <f>VLOOKUP($A113,'Dados ClubeFII'!$A:$AU,column(R113)-$A$5,0)/mid(VLOOKUP($A113,'Dados ClubeFII'!$A:$AU,2,0),3,SEARCH(",",VLOOKUP($A113,'Dados ClubeFII'!$A:$AU,2,0)))*B113</f>
        <v>0.0797881956</v>
      </c>
      <c r="S113" s="43">
        <f>VLOOKUP($A113,'Dados ClubeFII'!$A:$AU,column(S113)-$A$5,0)</f>
        <v>40105</v>
      </c>
      <c r="T113" s="41">
        <f>MID(VLOOKUP($A113,'Dados ClubeFII'!$A:$AU,column(T113)-$A$5,0),3,100)/1</f>
        <v>1000</v>
      </c>
      <c r="U113" s="45">
        <f>VLOOKUP($A113,'Dados ClubeFII'!$A:$AU,column(U113)-$A$5,0)/mid(VLOOKUP($A113,'Dados ClubeFII'!$A:$AU,2,0),4,SEARCH(",",VLOOKUP($A113,'Dados ClubeFII'!$A:$AU,2,0))-1)*B113</f>
        <v>-0.03100454903</v>
      </c>
      <c r="V113" s="42">
        <f>VLOOKUP($A113,'Dados ClubeFII'!$A:$AU,column(V113)-$A$5,0)</f>
        <v>0.013</v>
      </c>
      <c r="W113" s="43" t="str">
        <f>VLOOKUP($A113,'Dados ClubeFII'!$A:$AU,column(W113)-$A$5,0)</f>
        <v>N/D</v>
      </c>
      <c r="X113" s="45">
        <f>VLOOKUP($A113,'Dados ClubeFII'!$A:$AU,column(X113)-$A$5,0)</f>
        <v>0</v>
      </c>
      <c r="Y113" s="41">
        <f>MID(VLOOKUP($A113,'Dados ClubeFII'!$A:$AU,column(Y113)-$A$5,0),3,100)/1</f>
        <v>14554.75</v>
      </c>
      <c r="Z113" s="46">
        <f>VLOOKUP($A113,'Dados ClubeFII'!$A:$AU,column(Z113)-$A$5,0)</f>
        <v>804</v>
      </c>
      <c r="AA113" s="47">
        <f t="shared" si="2"/>
        <v>65223</v>
      </c>
      <c r="AB113" s="48">
        <f t="shared" si="3"/>
        <v>1827.06373</v>
      </c>
      <c r="AC113" s="48"/>
      <c r="AD113" s="48"/>
      <c r="AE113" s="48"/>
    </row>
    <row r="114">
      <c r="A114" s="49" t="s">
        <v>137</v>
      </c>
      <c r="B114" s="38">
        <f>IFERROR(__xludf.DUMMYFUNCTION("GOOGLEFINANCE(A114)"),44.24)</f>
        <v>44.24</v>
      </c>
      <c r="C114" s="38">
        <f>IFERROR(__xludf.DUMMYFUNCTION("GOOGLEFINANCE($A114,""high52"")"),64.65)</f>
        <v>64.65</v>
      </c>
      <c r="D114" s="39">
        <f t="shared" si="4"/>
        <v>-0.3156999227</v>
      </c>
      <c r="E114" s="40" t="str">
        <f>VLOOKUP($A114,'Dados ClubeFII'!$A:$AU,column(E114)-$A$5,0)</f>
        <v>RBR Properties FII</v>
      </c>
      <c r="F114" s="40" t="str">
        <f>VLOOKUP($A114,'Dados ClubeFII'!$A:$AU,column(F114)-$A$5,0)</f>
        <v>RBR GESTÃO</v>
      </c>
      <c r="G114" s="40" t="str">
        <f>VLOOKUP($A114,'Dados ClubeFII'!$A:$AU,column(G114)-$A$5,0)</f>
        <v>Híbrido</v>
      </c>
      <c r="H114" s="41">
        <f>MID(VLOOKUP($A114,'Dados ClubeFII'!$A:$AU,column(H114)-$A$5,0),3,100)/mid(VLOOKUP($A114,'Dados ClubeFII'!$A:$AU,2,0),4,SEARCH(",",VLOOKUP($A114,'Dados ClubeFII'!$A:$AU,2,0))-1)*B114</f>
        <v>4996516762</v>
      </c>
      <c r="I114" s="41">
        <f>MID(VLOOKUP($A114,'Dados ClubeFII'!$A:$AU,column(I114)-$A$5,0),3,100)/1</f>
        <v>951532894.5</v>
      </c>
      <c r="J114" s="42">
        <f>VLOOKUP($A114,'Dados ClubeFII'!$A:$AU,column(J114)-$A$5,0)/mid(VLOOKUP($A114,'Dados ClubeFII'!$A:$AU,2,0),3,SEARCH(",",VLOOKUP($A114,'Dados ClubeFII'!$A:$AU,2,0)))*B114</f>
        <v>0.562498327</v>
      </c>
      <c r="K114" s="41">
        <f>if(VLOOKUP($A114,'Dados ClubeFII'!$A:$AU,column(K114)-$A$5,0)="N/D",0,MID(VLOOKUP($A114,'Dados ClubeFII'!$A:$AU,column(K114)-$A$5,0),3,100)/1)/mid(VLOOKUP($A114,'Dados ClubeFII'!$A:$AU,2,0),3,SEARCH(",",VLOOKUP($A114,'Dados ClubeFII'!$A:$AU,2,0)))*B114</f>
        <v>10464.52151</v>
      </c>
      <c r="L114" s="41">
        <f>if(VLOOKUP($A114,'Dados ClubeFII'!$A:$AU,column(L114)-$A$5,0)="N/D",0,MID(VLOOKUP($A114,'Dados ClubeFII'!$A:$AU,column(L114)-$A$5,0),3,100)/1)</f>
        <v>18496.84</v>
      </c>
      <c r="M114" s="41">
        <f>MID(VLOOKUP($A114,'Dados ClubeFII'!$A:$AU,column(M114)-$A$5,0),3,100)/1</f>
        <v>0.27</v>
      </c>
      <c r="N114" s="41">
        <f>MID(VLOOKUP($A114,'Dados ClubeFII'!$A:$AU,column(N114)-$A$5,0),3,100)/1</f>
        <v>63.92</v>
      </c>
      <c r="O114" s="41">
        <f>LEFT(VLOOKUP($A114,'Dados ClubeFII'!$A:$AU,column(O114)-$A$5,0),len(VLOOKUP($A114,'Dados ClubeFII'!$A:$AU,column(O114)-$A$5,0))-2)/1</f>
        <v>51443</v>
      </c>
      <c r="P114" s="43">
        <f>VLOOKUP($A114,'Dados ClubeFII'!$A:$AU,column(P114)-$A$5,0)</f>
        <v>44971</v>
      </c>
      <c r="Q114" s="44">
        <f>VLOOKUP($A114,'Dados ClubeFII'!$A:$AU,column(Q114)-$A$5,0)/mid(VLOOKUP($A114,'Dados ClubeFII'!$A:$AU,2,0),3,SEARCH(",",VLOOKUP($A114,'Dados ClubeFII'!$A:$AU,2,0)))*B114</f>
        <v>0.07381556993</v>
      </c>
      <c r="R114" s="44">
        <f>VLOOKUP($A114,'Dados ClubeFII'!$A:$AU,column(R114)-$A$5,0)/mid(VLOOKUP($A114,'Dados ClubeFII'!$A:$AU,2,0),3,SEARCH(",",VLOOKUP($A114,'Dados ClubeFII'!$A:$AU,2,0)))*B114</f>
        <v>0.1038154807</v>
      </c>
      <c r="S114" s="43">
        <f>VLOOKUP($A114,'Dados ClubeFII'!$A:$AU,column(S114)-$A$5,0)</f>
        <v>43827</v>
      </c>
      <c r="T114" s="41">
        <f>MID(VLOOKUP($A114,'Dados ClubeFII'!$A:$AU,column(T114)-$A$5,0),3,100)/1</f>
        <v>80</v>
      </c>
      <c r="U114" s="45">
        <f>VLOOKUP($A114,'Dados ClubeFII'!$A:$AU,column(U114)-$A$5,0)/mid(VLOOKUP($A114,'Dados ClubeFII'!$A:$AU,2,0),4,SEARCH(",",VLOOKUP($A114,'Dados ClubeFII'!$A:$AU,2,0))-1)*B114</f>
        <v>-1.113785507</v>
      </c>
      <c r="V114" s="42">
        <f>VLOOKUP($A114,'Dados ClubeFII'!$A:$AU,column(V114)-$A$5,0)</f>
        <v>0.4</v>
      </c>
      <c r="W114" s="43">
        <f>VLOOKUP($A114,'Dados ClubeFII'!$A:$AU,column(W114)-$A$5,0)</f>
        <v>44925</v>
      </c>
      <c r="X114" s="45">
        <f>VLOOKUP($A114,'Dados ClubeFII'!$A:$AU,column(X114)-$A$5,0)</f>
        <v>0.0057</v>
      </c>
      <c r="Y114" s="41">
        <f>MID(VLOOKUP($A114,'Dados ClubeFII'!$A:$AU,column(Y114)-$A$5,0),3,100)/1</f>
        <v>1027133.71</v>
      </c>
      <c r="Z114" s="46">
        <f>VLOOKUP($A114,'Dados ClubeFII'!$A:$AU,column(Z114)-$A$5,0)</f>
        <v>94556</v>
      </c>
      <c r="AA114" s="47">
        <f t="shared" si="2"/>
        <v>112941156</v>
      </c>
      <c r="AB114" s="48">
        <f t="shared" si="3"/>
        <v>8.425032363</v>
      </c>
      <c r="AC114" s="48"/>
      <c r="AD114" s="48"/>
      <c r="AE114" s="48"/>
    </row>
    <row r="115">
      <c r="A115" s="53" t="s">
        <v>138</v>
      </c>
      <c r="B115" s="38">
        <f>IFERROR(__xludf.DUMMYFUNCTION("GOOGLEFINANCE(A115)"),65.42)</f>
        <v>65.42</v>
      </c>
      <c r="C115" s="38">
        <f>IFERROR(__xludf.DUMMYFUNCTION("GOOGLEFINANCE($A115,""high52"")"),77.69)</f>
        <v>77.69</v>
      </c>
      <c r="D115" s="39">
        <f t="shared" si="4"/>
        <v>-0.1579353842</v>
      </c>
      <c r="E115" s="40" t="str">
        <f>VLOOKUP($A115,'Dados ClubeFII'!$A:$AU,column(E115)-$A$5,0)</f>
        <v>Hedge TOP FOFII 3</v>
      </c>
      <c r="F115" s="40" t="str">
        <f>VLOOKUP($A115,'Dados ClubeFII'!$A:$AU,column(F115)-$A$5,0)</f>
        <v>HEDGE INVESTMENTS</v>
      </c>
      <c r="G115" s="40" t="str">
        <f>VLOOKUP($A115,'Dados ClubeFII'!$A:$AU,column(G115)-$A$5,0)</f>
        <v>Fundo de Fundos</v>
      </c>
      <c r="H115" s="41">
        <f>MID(VLOOKUP($A115,'Dados ClubeFII'!$A:$AU,column(H115)-$A$5,0),3,100)/mid(VLOOKUP($A115,'Dados ClubeFII'!$A:$AU,2,0),4,SEARCH(",",VLOOKUP($A115,'Dados ClubeFII'!$A:$AU,2,0))-1)*B115</f>
        <v>19923189492</v>
      </c>
      <c r="I115" s="41">
        <f>MID(VLOOKUP($A115,'Dados ClubeFII'!$A:$AU,column(I115)-$A$5,0),3,100)/1</f>
        <v>1829005677</v>
      </c>
      <c r="J115" s="42">
        <f>VLOOKUP($A115,'Dados ClubeFII'!$A:$AU,column(J115)-$A$5,0)/mid(VLOOKUP($A115,'Dados ClubeFII'!$A:$AU,2,0),3,SEARCH(",",VLOOKUP($A115,'Dados ClubeFII'!$A:$AU,2,0)))*B115</f>
        <v>0.8168675813</v>
      </c>
      <c r="K115" s="41">
        <f>if(VLOOKUP($A115,'Dados ClubeFII'!$A:$AU,column(K115)-$A$5,0)="N/D",0,MID(VLOOKUP($A115,'Dados ClubeFII'!$A:$AU,column(K115)-$A$5,0),3,100)/1)/mid(VLOOKUP($A115,'Dados ClubeFII'!$A:$AU,2,0),3,SEARCH(",",VLOOKUP($A115,'Dados ClubeFII'!$A:$AU,2,0)))*B115</f>
        <v>0</v>
      </c>
      <c r="L115" s="41">
        <f>if(VLOOKUP($A115,'Dados ClubeFII'!$A:$AU,column(L115)-$A$5,0)="N/D",0,MID(VLOOKUP($A115,'Dados ClubeFII'!$A:$AU,column(L115)-$A$5,0),3,100)/1)</f>
        <v>0</v>
      </c>
      <c r="M115" s="41">
        <f>MID(VLOOKUP($A115,'Dados ClubeFII'!$A:$AU,column(M115)-$A$5,0),3,100)/1</f>
        <v>0.63</v>
      </c>
      <c r="N115" s="41">
        <f>MID(VLOOKUP($A115,'Dados ClubeFII'!$A:$AU,column(N115)-$A$5,0),3,100)/1</f>
        <v>0</v>
      </c>
      <c r="O115" s="41">
        <f>LEFT(VLOOKUP($A115,'Dados ClubeFII'!$A:$AU,column(O115)-$A$5,0),len(VLOOKUP($A115,'Dados ClubeFII'!$A:$AU,column(O115)-$A$5,0))-2)/1</f>
        <v>0</v>
      </c>
      <c r="P115" s="43">
        <f>VLOOKUP($A115,'Dados ClubeFII'!$A:$AU,column(P115)-$A$5,0)</f>
        <v>44971</v>
      </c>
      <c r="Q115" s="44">
        <f>VLOOKUP($A115,'Dados ClubeFII'!$A:$AU,column(Q115)-$A$5,0)/mid(VLOOKUP($A115,'Dados ClubeFII'!$A:$AU,2,0),3,SEARCH(",",VLOOKUP($A115,'Dados ClubeFII'!$A:$AU,2,0)))*B115</f>
        <v>0.1248496377</v>
      </c>
      <c r="R115" s="44">
        <f>VLOOKUP($A115,'Dados ClubeFII'!$A:$AU,column(R115)-$A$5,0)/mid(VLOOKUP($A115,'Dados ClubeFII'!$A:$AU,2,0),3,SEARCH(",",VLOOKUP($A115,'Dados ClubeFII'!$A:$AU,2,0)))*B115</f>
        <v>0.1149665485</v>
      </c>
      <c r="S115" s="43">
        <f>VLOOKUP($A115,'Dados ClubeFII'!$A:$AU,column(S115)-$A$5,0)</f>
        <v>43159</v>
      </c>
      <c r="T115" s="41">
        <f>MID(VLOOKUP($A115,'Dados ClubeFII'!$A:$AU,column(T115)-$A$5,0),3,100)/1</f>
        <v>100</v>
      </c>
      <c r="U115" s="45">
        <f>VLOOKUP($A115,'Dados ClubeFII'!$A:$AU,column(U115)-$A$5,0)/mid(VLOOKUP($A115,'Dados ClubeFII'!$A:$AU,2,0),4,SEARCH(",",VLOOKUP($A115,'Dados ClubeFII'!$A:$AU,2,0))-1)*B115</f>
        <v>-1.01018152</v>
      </c>
      <c r="V115" s="42" t="str">
        <f>VLOOKUP($A115,'Dados ClubeFII'!$A:$AU,column(V115)-$A$5,0)</f>
        <v>N/D</v>
      </c>
      <c r="W115" s="43" t="str">
        <f>VLOOKUP($A115,'Dados ClubeFII'!$A:$AU,column(W115)-$A$5,0)</f>
        <v>N/D</v>
      </c>
      <c r="X115" s="45">
        <f>VLOOKUP($A115,'Dados ClubeFII'!$A:$AU,column(X115)-$A$5,0)</f>
        <v>0.0146</v>
      </c>
      <c r="Y115" s="41">
        <f>MID(VLOOKUP($A115,'Dados ClubeFII'!$A:$AU,column(Y115)-$A$5,0),3,100)/1</f>
        <v>1543022.57</v>
      </c>
      <c r="Z115" s="46">
        <f>VLOOKUP($A115,'Dados ClubeFII'!$A:$AU,column(Z115)-$A$5,0)</f>
        <v>69826</v>
      </c>
      <c r="AA115" s="47">
        <f t="shared" si="2"/>
        <v>304542792</v>
      </c>
      <c r="AB115" s="48">
        <f t="shared" si="3"/>
        <v>6.005742789</v>
      </c>
      <c r="AC115" s="48"/>
      <c r="AD115" s="48"/>
      <c r="AE115" s="48"/>
    </row>
    <row r="116">
      <c r="A116" s="37" t="s">
        <v>139</v>
      </c>
      <c r="B116" s="38">
        <f>IFERROR(__xludf.DUMMYFUNCTION("GOOGLEFINANCE(A116)"),115.3)</f>
        <v>115.3</v>
      </c>
      <c r="C116" s="38">
        <f>IFERROR(__xludf.DUMMYFUNCTION("GOOGLEFINANCE($A116,""high52"")"),123.46)</f>
        <v>123.46</v>
      </c>
      <c r="D116" s="39">
        <f t="shared" si="4"/>
        <v>-0.06609428155</v>
      </c>
      <c r="E116" s="40" t="str">
        <f>VLOOKUP($A116,'Dados ClubeFII'!$A:$AU,column(E116)-$A$5,0)</f>
        <v>CSHG Renda Urbana</v>
      </c>
      <c r="F116" s="40" t="str">
        <f>VLOOKUP($A116,'Dados ClubeFII'!$A:$AU,column(F116)-$A$5,0)</f>
        <v>CREDIT SUISSE</v>
      </c>
      <c r="G116" s="40" t="str">
        <f>VLOOKUP($A116,'Dados ClubeFII'!$A:$AU,column(G116)-$A$5,0)</f>
        <v>Híbrido</v>
      </c>
      <c r="H116" s="41">
        <f>MID(VLOOKUP($A116,'Dados ClubeFII'!$A:$AU,column(H116)-$A$5,0),3,100)/mid(VLOOKUP($A116,'Dados ClubeFII'!$A:$AU,2,0),4,SEARCH(",",VLOOKUP($A116,'Dados ClubeFII'!$A:$AU,2,0))-1)*B116</f>
        <v>15745220977</v>
      </c>
      <c r="I116" s="41">
        <f>MID(VLOOKUP($A116,'Dados ClubeFII'!$A:$AU,column(I116)-$A$5,0),3,100)/1</f>
        <v>2260007284</v>
      </c>
      <c r="J116" s="42">
        <f>VLOOKUP($A116,'Dados ClubeFII'!$A:$AU,column(J116)-$A$5,0)/mid(VLOOKUP($A116,'Dados ClubeFII'!$A:$AU,2,0),3,SEARCH(",",VLOOKUP($A116,'Dados ClubeFII'!$A:$AU,2,0)))*B116</f>
        <v>0.9373173052</v>
      </c>
      <c r="K116" s="41">
        <f>if(VLOOKUP($A116,'Dados ClubeFII'!$A:$AU,column(K116)-$A$5,0)="N/D",0,MID(VLOOKUP($A116,'Dados ClubeFII'!$A:$AU,column(K116)-$A$5,0),3,100)/1)/mid(VLOOKUP($A116,'Dados ClubeFII'!$A:$AU,2,0),3,SEARCH(",",VLOOKUP($A116,'Dados ClubeFII'!$A:$AU,2,0)))*B116</f>
        <v>4881.468754</v>
      </c>
      <c r="L116" s="41">
        <f>if(VLOOKUP($A116,'Dados ClubeFII'!$A:$AU,column(L116)-$A$5,0)="N/D",0,MID(VLOOKUP($A116,'Dados ClubeFII'!$A:$AU,column(L116)-$A$5,0),3,100)/1)</f>
        <v>5183.5</v>
      </c>
      <c r="M116" s="41">
        <f>MID(VLOOKUP($A116,'Dados ClubeFII'!$A:$AU,column(M116)-$A$5,0),3,100)/1</f>
        <v>0.82</v>
      </c>
      <c r="N116" s="41">
        <f>MID(VLOOKUP($A116,'Dados ClubeFII'!$A:$AU,column(N116)-$A$5,0),3,100)/1</f>
        <v>34.62</v>
      </c>
      <c r="O116" s="41">
        <f>LEFT(VLOOKUP($A116,'Dados ClubeFII'!$A:$AU,column(O116)-$A$5,0),len(VLOOKUP($A116,'Dados ClubeFII'!$A:$AU,column(O116)-$A$5,0))-2)/1</f>
        <v>436000</v>
      </c>
      <c r="P116" s="43">
        <f>VLOOKUP($A116,'Dados ClubeFII'!$A:$AU,column(P116)-$A$5,0)</f>
        <v>44971</v>
      </c>
      <c r="Q116" s="44">
        <f>VLOOKUP($A116,'Dados ClubeFII'!$A:$AU,column(Q116)-$A$5,0)/mid(VLOOKUP($A116,'Dados ClubeFII'!$A:$AU,2,0),3,SEARCH(",",VLOOKUP($A116,'Dados ClubeFII'!$A:$AU,2,0)))*B116</f>
        <v>0.08794828332</v>
      </c>
      <c r="R116" s="44">
        <f>VLOOKUP($A116,'Dados ClubeFII'!$A:$AU,column(R116)-$A$5,0)/mid(VLOOKUP($A116,'Dados ClubeFII'!$A:$AU,2,0),3,SEARCH(",",VLOOKUP($A116,'Dados ClubeFII'!$A:$AU,2,0)))*B116</f>
        <v>0.09752088558</v>
      </c>
      <c r="S116" s="43">
        <f>VLOOKUP($A116,'Dados ClubeFII'!$A:$AU,column(S116)-$A$5,0)</f>
        <v>43308</v>
      </c>
      <c r="T116" s="41">
        <f>MID(VLOOKUP($A116,'Dados ClubeFII'!$A:$AU,column(T116)-$A$5,0),3,100)/1</f>
        <v>100</v>
      </c>
      <c r="U116" s="45">
        <f>VLOOKUP($A116,'Dados ClubeFII'!$A:$AU,column(U116)-$A$5,0)/mid(VLOOKUP($A116,'Dados ClubeFII'!$A:$AU,2,0),4,SEARCH(",",VLOOKUP($A116,'Dados ClubeFII'!$A:$AU,2,0))-1)*B116</f>
        <v>-0.37621881</v>
      </c>
      <c r="V116" s="42">
        <f>VLOOKUP($A116,'Dados ClubeFII'!$A:$AU,column(V116)-$A$5,0)</f>
        <v>0.011</v>
      </c>
      <c r="W116" s="43">
        <f>VLOOKUP($A116,'Dados ClubeFII'!$A:$AU,column(W116)-$A$5,0)</f>
        <v>44957</v>
      </c>
      <c r="X116" s="45">
        <f>VLOOKUP($A116,'Dados ClubeFII'!$A:$AU,column(X116)-$A$5,0)</f>
        <v>0.0203</v>
      </c>
      <c r="Y116" s="41">
        <f>MID(VLOOKUP($A116,'Dados ClubeFII'!$A:$AU,column(Y116)-$A$5,0),3,100)/1</f>
        <v>4120724.48</v>
      </c>
      <c r="Z116" s="46">
        <f>VLOOKUP($A116,'Dados ClubeFII'!$A:$AU,column(Z116)-$A$5,0)</f>
        <v>194069</v>
      </c>
      <c r="AA116" s="47">
        <f t="shared" si="2"/>
        <v>136558724</v>
      </c>
      <c r="AB116" s="48">
        <f t="shared" si="3"/>
        <v>16.54971003</v>
      </c>
      <c r="AC116" s="48"/>
      <c r="AD116" s="48"/>
      <c r="AE116" s="48"/>
    </row>
    <row r="117">
      <c r="A117" s="49" t="s">
        <v>140</v>
      </c>
      <c r="B117" s="38">
        <f>IFERROR(__xludf.DUMMYFUNCTION("GOOGLEFINANCE(A117)"),113.48)</f>
        <v>113.48</v>
      </c>
      <c r="C117" s="38">
        <f>IFERROR(__xludf.DUMMYFUNCTION("GOOGLEFINANCE($A117,""high52"")"),144.7)</f>
        <v>144.7</v>
      </c>
      <c r="D117" s="39">
        <f t="shared" si="4"/>
        <v>-0.2157567381</v>
      </c>
      <c r="E117" s="40" t="str">
        <f>VLOOKUP($A117,'Dados ClubeFII'!$A:$AU,column(E117)-$A$5,0)</f>
        <v>Rio Bravo Renda Corporativa</v>
      </c>
      <c r="F117" s="40" t="str">
        <f>VLOOKUP($A117,'Dados ClubeFII'!$A:$AU,column(F117)-$A$5,0)</f>
        <v>RIO BRAVO</v>
      </c>
      <c r="G117" s="40" t="str">
        <f>VLOOKUP($A117,'Dados ClubeFII'!$A:$AU,column(G117)-$A$5,0)</f>
        <v>Lajes Comerciais</v>
      </c>
      <c r="H117" s="41">
        <f>MID(VLOOKUP($A117,'Dados ClubeFII'!$A:$AU,COLUMN(H117)-$A$5,0),3,100)/MID(VLOOKUP($A117,'Dados ClubeFII'!$A:$AU,2,0),3,SEARCH(",",VLOOKUP($A117,'Dados ClubeFII'!$A:$AU,2,0)))*B117</f>
        <v>426569162.4</v>
      </c>
      <c r="I117" s="41">
        <f>MID(VLOOKUP($A117,'Dados ClubeFII'!$A:$AU,column(I117)-$A$5,0),3,100)/1</f>
        <v>769415100.8</v>
      </c>
      <c r="J117" s="42">
        <f>VLOOKUP($A117,'Dados ClubeFII'!$A:$AU,column(J117)-$A$5,0)/mid(VLOOKUP($A117,'Dados ClubeFII'!$A:$AU,2,0),3,SEARCH(",",VLOOKUP($A117,'Dados ClubeFII'!$A:$AU,2,0)))*B117</f>
        <v>0.5499030837</v>
      </c>
      <c r="K117" s="41">
        <f>if(VLOOKUP($A117,'Dados ClubeFII'!$A:$AU,column(K117)-$A$5,0)="N/D",0,MID(VLOOKUP($A117,'Dados ClubeFII'!$A:$AU,column(K117)-$A$5,0),3,100)/1)/mid(VLOOKUP($A117,'Dados ClubeFII'!$A:$AU,2,0),3,SEARCH(",",VLOOKUP($A117,'Dados ClubeFII'!$A:$AU,2,0)))*B117</f>
        <v>9983.360507</v>
      </c>
      <c r="L117" s="41">
        <f>if(VLOOKUP($A117,'Dados ClubeFII'!$A:$AU,column(L117)-$A$5,0)="N/D",0,MID(VLOOKUP($A117,'Dados ClubeFII'!$A:$AU,column(L117)-$A$5,0),3,100)/1)</f>
        <v>18007.28</v>
      </c>
      <c r="M117" s="41">
        <f>MID(VLOOKUP($A117,'Dados ClubeFII'!$A:$AU,column(M117)-$A$5,0),3,100)/1</f>
        <v>0.73</v>
      </c>
      <c r="N117" s="41">
        <f>MID(VLOOKUP($A117,'Dados ClubeFII'!$A:$AU,column(N117)-$A$5,0),3,100)/1</f>
        <v>63.05</v>
      </c>
      <c r="O117" s="41">
        <f>LEFT(VLOOKUP($A117,'Dados ClubeFII'!$A:$AU,column(O117)-$A$5,0),len(VLOOKUP($A117,'Dados ClubeFII'!$A:$AU,column(O117)-$A$5,0))-2)/1</f>
        <v>42728</v>
      </c>
      <c r="P117" s="43">
        <f>VLOOKUP($A117,'Dados ClubeFII'!$A:$AU,column(P117)-$A$5,0)</f>
        <v>44972</v>
      </c>
      <c r="Q117" s="44">
        <f>VLOOKUP($A117,'Dados ClubeFII'!$A:$AU,column(Q117)-$A$5,0)/mid(VLOOKUP($A117,'Dados ClubeFII'!$A:$AU,2,0),3,SEARCH(",",VLOOKUP($A117,'Dados ClubeFII'!$A:$AU,2,0)))*B117</f>
        <v>0.0784861674</v>
      </c>
      <c r="R117" s="44">
        <f>VLOOKUP($A117,'Dados ClubeFII'!$A:$AU,column(R117)-$A$5,0)/mid(VLOOKUP($A117,'Dados ClubeFII'!$A:$AU,2,0),3,SEARCH(",",VLOOKUP($A117,'Dados ClubeFII'!$A:$AU,2,0)))*B117</f>
        <v>0.07208729515</v>
      </c>
      <c r="S117" s="43">
        <f>VLOOKUP($A117,'Dados ClubeFII'!$A:$AU,column(S117)-$A$5,0)</f>
        <v>37926</v>
      </c>
      <c r="T117" s="41">
        <f>MID(VLOOKUP($A117,'Dados ClubeFII'!$A:$AU,column(T117)-$A$5,0),3,100)/1</f>
        <v>100</v>
      </c>
      <c r="U117" s="45">
        <f>VLOOKUP($A117,'Dados ClubeFII'!$A:$AU,column(U117)-$A$5,0)/mid(VLOOKUP($A117,'Dados ClubeFII'!$A:$AU,2,0),4,SEARCH(",",VLOOKUP($A117,'Dados ClubeFII'!$A:$AU,2,0))-1)*B117</f>
        <v>-0.7607362963</v>
      </c>
      <c r="V117" s="42">
        <f>VLOOKUP($A117,'Dados ClubeFII'!$A:$AU,column(V117)-$A$5,0)</f>
        <v>0.195</v>
      </c>
      <c r="W117" s="43">
        <f>VLOOKUP($A117,'Dados ClubeFII'!$A:$AU,column(W117)-$A$5,0)</f>
        <v>44895</v>
      </c>
      <c r="X117" s="45">
        <f>VLOOKUP($A117,'Dados ClubeFII'!$A:$AU,column(X117)-$A$5,0)</f>
        <v>0.0043</v>
      </c>
      <c r="Y117" s="41">
        <f>MID(VLOOKUP($A117,'Dados ClubeFII'!$A:$AU,column(Y117)-$A$5,0),3,100)/1</f>
        <v>458063.05</v>
      </c>
      <c r="Z117" s="46">
        <f>VLOOKUP($A117,'Dados ClubeFII'!$A:$AU,column(Z117)-$A$5,0)</f>
        <v>30253</v>
      </c>
      <c r="AA117" s="47">
        <f t="shared" si="2"/>
        <v>3758980</v>
      </c>
      <c r="AB117" s="48">
        <f t="shared" si="3"/>
        <v>204.6872026</v>
      </c>
      <c r="AC117" s="17"/>
      <c r="AD117" s="17"/>
      <c r="AE117" s="17"/>
    </row>
    <row r="118">
      <c r="A118" s="37" t="s">
        <v>141</v>
      </c>
      <c r="B118" s="38">
        <f>IFERROR(__xludf.DUMMYFUNCTION("GOOGLEFINANCE(A118)"),78.46)</f>
        <v>78.46</v>
      </c>
      <c r="C118" s="38">
        <f>IFERROR(__xludf.DUMMYFUNCTION("GOOGLEFINANCE($A118,""high52"")"),90.79)</f>
        <v>90.79</v>
      </c>
      <c r="D118" s="39">
        <f t="shared" si="4"/>
        <v>-0.1358079084</v>
      </c>
      <c r="E118" s="40" t="str">
        <f>VLOOKUP($A118,'Dados ClubeFII'!$A:$AU,column(E118)-$A$5,0)</f>
        <v>HSI Malls</v>
      </c>
      <c r="F118" s="40" t="str">
        <f>VLOOKUP($A118,'Dados ClubeFII'!$A:$AU,column(F118)-$A$5,0)</f>
        <v>Hemisfério Sul Investimentos</v>
      </c>
      <c r="G118" s="40" t="str">
        <f>VLOOKUP($A118,'Dados ClubeFII'!$A:$AU,column(G118)-$A$5,0)</f>
        <v>Shopping/Varejo</v>
      </c>
      <c r="H118" s="41">
        <f>MID(VLOOKUP($A118,'Dados ClubeFII'!$A:$AU,COLUMN(H118)-$A$5,0),3,100)/MID(VLOOKUP($A118,'Dados ClubeFII'!$A:$AU,2,0),3,SEARCH(",",VLOOKUP($A118,'Dados ClubeFII'!$A:$AU,2,0)))*B118</f>
        <v>1252065768</v>
      </c>
      <c r="I118" s="41">
        <f>MID(VLOOKUP($A118,'Dados ClubeFII'!$A:$AU,column(I118)-$A$5,0),3,100)/1</f>
        <v>1521256135</v>
      </c>
      <c r="J118" s="42">
        <f>VLOOKUP($A118,'Dados ClubeFII'!$A:$AU,column(J118)-$A$5,0)/mid(VLOOKUP($A118,'Dados ClubeFII'!$A:$AU,2,0),3,SEARCH(",",VLOOKUP($A118,'Dados ClubeFII'!$A:$AU,2,0)))*B118</f>
        <v>0.8218855391</v>
      </c>
      <c r="K118" s="41">
        <f>if(VLOOKUP($A118,'Dados ClubeFII'!$A:$AU,column(K118)-$A$5,0)="N/D",0,MID(VLOOKUP($A118,'Dados ClubeFII'!$A:$AU,column(K118)-$A$5,0),3,100)/1)/mid(VLOOKUP($A118,'Dados ClubeFII'!$A:$AU,2,0),3,SEARCH(",",VLOOKUP($A118,'Dados ClubeFII'!$A:$AU,2,0)))*B118</f>
        <v>6539.943694</v>
      </c>
      <c r="L118" s="41">
        <f>if(VLOOKUP($A118,'Dados ClubeFII'!$A:$AU,column(L118)-$A$5,0)="N/D",0,MID(VLOOKUP($A118,'Dados ClubeFII'!$A:$AU,column(L118)-$A$5,0),3,100)/1)</f>
        <v>7946.01</v>
      </c>
      <c r="M118" s="41">
        <f>MID(VLOOKUP($A118,'Dados ClubeFII'!$A:$AU,column(M118)-$A$5,0),3,100)/1</f>
        <v>0.7</v>
      </c>
      <c r="N118" s="41">
        <f>MID(VLOOKUP($A118,'Dados ClubeFII'!$A:$AU,column(N118)-$A$5,0),3,100)/1</f>
        <v>57.7</v>
      </c>
      <c r="O118" s="41">
        <f>LEFT(VLOOKUP($A118,'Dados ClubeFII'!$A:$AU,column(O118)-$A$5,0),len(VLOOKUP($A118,'Dados ClubeFII'!$A:$AU,column(O118)-$A$5,0))-2)/1</f>
        <v>191449</v>
      </c>
      <c r="P118" s="43">
        <f>VLOOKUP($A118,'Dados ClubeFII'!$A:$AU,column(P118)-$A$5,0)</f>
        <v>44964</v>
      </c>
      <c r="Q118" s="44">
        <f>VLOOKUP($A118,'Dados ClubeFII'!$A:$AU,column(Q118)-$A$5,0)/mid(VLOOKUP($A118,'Dados ClubeFII'!$A:$AU,2,0),3,SEARCH(",",VLOOKUP($A118,'Dados ClubeFII'!$A:$AU,2,0)))*B118</f>
        <v>0.1116561574</v>
      </c>
      <c r="R118" s="44">
        <f>VLOOKUP($A118,'Dados ClubeFII'!$A:$AU,column(R118)-$A$5,0)/mid(VLOOKUP($A118,'Dados ClubeFII'!$A:$AU,2,0),3,SEARCH(",",VLOOKUP($A118,'Dados ClubeFII'!$A:$AU,2,0)))*B118</f>
        <v>0.09912741441</v>
      </c>
      <c r="S118" s="43">
        <f>VLOOKUP($A118,'Dados ClubeFII'!$A:$AU,column(S118)-$A$5,0)</f>
        <v>43693</v>
      </c>
      <c r="T118" s="41">
        <f>MID(VLOOKUP($A118,'Dados ClubeFII'!$A:$AU,column(T118)-$A$5,0),3,100)/1</f>
        <v>100</v>
      </c>
      <c r="U118" s="45">
        <f>VLOOKUP($A118,'Dados ClubeFII'!$A:$AU,column(U118)-$A$5,0)/mid(VLOOKUP($A118,'Dados ClubeFII'!$A:$AU,2,0),4,SEARCH(",",VLOOKUP($A118,'Dados ClubeFII'!$A:$AU,2,0))-1)*B118</f>
        <v>-0.3098601449</v>
      </c>
      <c r="V118" s="42">
        <f>VLOOKUP($A118,'Dados ClubeFII'!$A:$AU,column(V118)-$A$5,0)</f>
        <v>0.042</v>
      </c>
      <c r="W118" s="43" t="str">
        <f>VLOOKUP($A118,'Dados ClubeFII'!$A:$AU,column(W118)-$A$5,0)</f>
        <v>N/D</v>
      </c>
      <c r="X118" s="45">
        <f>VLOOKUP($A118,'Dados ClubeFII'!$A:$AU,column(X118)-$A$5,0)</f>
        <v>0.0118</v>
      </c>
      <c r="Y118" s="41">
        <f>MID(VLOOKUP($A118,'Dados ClubeFII'!$A:$AU,column(Y118)-$A$5,0),3,100)/1</f>
        <v>2476893.02</v>
      </c>
      <c r="Z118" s="46">
        <f>VLOOKUP($A118,'Dados ClubeFII'!$A:$AU,column(Z118)-$A$5,0)</f>
        <v>149241</v>
      </c>
      <c r="AA118" s="47">
        <f t="shared" si="2"/>
        <v>15958013</v>
      </c>
      <c r="AB118" s="48">
        <f t="shared" si="3"/>
        <v>95.32866875</v>
      </c>
      <c r="AC118" s="48"/>
      <c r="AD118" s="48"/>
      <c r="AE118" s="48"/>
    </row>
    <row r="119">
      <c r="A119" s="49" t="s">
        <v>142</v>
      </c>
      <c r="B119" s="38">
        <f>IFERROR(__xludf.DUMMYFUNCTION("GOOGLEFINANCE(A119)"),102.9)</f>
        <v>102.9</v>
      </c>
      <c r="C119" s="38">
        <f>IFERROR(__xludf.DUMMYFUNCTION("GOOGLEFINANCE($A119,""high52"")"),110.36)</f>
        <v>110.36</v>
      </c>
      <c r="D119" s="39">
        <f t="shared" si="4"/>
        <v>-0.06759695542</v>
      </c>
      <c r="E119" s="40" t="str">
        <f>VLOOKUP($A119,'Dados ClubeFII'!$A:$AU,column(E119)-$A$5,0)</f>
        <v>Vinci Shopping Centers</v>
      </c>
      <c r="F119" s="40" t="str">
        <f>VLOOKUP($A119,'Dados ClubeFII'!$A:$AU,column(F119)-$A$5,0)</f>
        <v>VINCI REAL ESTATE</v>
      </c>
      <c r="G119" s="40" t="str">
        <f>VLOOKUP($A119,'Dados ClubeFII'!$A:$AU,column(G119)-$A$5,0)</f>
        <v>Shopping/Varejo</v>
      </c>
      <c r="H119" s="41">
        <f>MID(VLOOKUP($A119,'Dados ClubeFII'!$A:$AU,COLUMN(H119)-$A$5,0),3,100)/MID(VLOOKUP($A119,'Dados ClubeFII'!$A:$AU,2,0),3,SEARCH(",",VLOOKUP($A119,'Dados ClubeFII'!$A:$AU,2,0)))*B119</f>
        <v>1919664242</v>
      </c>
      <c r="I119" s="41">
        <f>MID(VLOOKUP($A119,'Dados ClubeFII'!$A:$AU,column(I119)-$A$5,0),3,100)/1</f>
        <v>2311553642</v>
      </c>
      <c r="J119" s="42">
        <f>VLOOKUP($A119,'Dados ClubeFII'!$A:$AU,column(J119)-$A$5,0)/mid(VLOOKUP($A119,'Dados ClubeFII'!$A:$AU,2,0),3,SEARCH(",",VLOOKUP($A119,'Dados ClubeFII'!$A:$AU,2,0)))*B119</f>
        <v>0.8340023157</v>
      </c>
      <c r="K119" s="41">
        <f>if(VLOOKUP($A119,'Dados ClubeFII'!$A:$AU,column(K119)-$A$5,0)="N/D",0,MID(VLOOKUP($A119,'Dados ClubeFII'!$A:$AU,column(K119)-$A$5,0),3,100)/1)/mid(VLOOKUP($A119,'Dados ClubeFII'!$A:$AU,2,0),3,SEARCH(",",VLOOKUP($A119,'Dados ClubeFII'!$A:$AU,2,0)))*B119</f>
        <v>7897.386357</v>
      </c>
      <c r="L119" s="41">
        <f>if(VLOOKUP($A119,'Dados ClubeFII'!$A:$AU,column(L119)-$A$5,0)="N/D",0,MID(VLOOKUP($A119,'Dados ClubeFII'!$A:$AU,column(L119)-$A$5,0),3,100)/1)</f>
        <v>9509.59</v>
      </c>
      <c r="M119" s="41">
        <f>MID(VLOOKUP($A119,'Dados ClubeFII'!$A:$AU,column(M119)-$A$5,0),3,100)/1</f>
        <v>0.82</v>
      </c>
      <c r="N119" s="41">
        <f>MID(VLOOKUP($A119,'Dados ClubeFII'!$A:$AU,column(N119)-$A$5,0),3,100)/1</f>
        <v>62.72</v>
      </c>
      <c r="O119" s="41">
        <f>LEFT(VLOOKUP($A119,'Dados ClubeFII'!$A:$AU,column(O119)-$A$5,0),len(VLOOKUP($A119,'Dados ClubeFII'!$A:$AU,column(O119)-$A$5,0))-2)/1</f>
        <v>243076</v>
      </c>
      <c r="P119" s="43">
        <f>VLOOKUP($A119,'Dados ClubeFII'!$A:$AU,column(P119)-$A$5,0)</f>
        <v>44971</v>
      </c>
      <c r="Q119" s="44">
        <f>VLOOKUP($A119,'Dados ClubeFII'!$A:$AU,column(Q119)-$A$5,0)/mid(VLOOKUP($A119,'Dados ClubeFII'!$A:$AU,2,0),3,SEARCH(",",VLOOKUP($A119,'Dados ClubeFII'!$A:$AU,2,0)))*B119</f>
        <v>0.09809455809</v>
      </c>
      <c r="R119" s="44">
        <f>VLOOKUP($A119,'Dados ClubeFII'!$A:$AU,column(R119)-$A$5,0)/mid(VLOOKUP($A119,'Dados ClubeFII'!$A:$AU,2,0),3,SEARCH(",",VLOOKUP($A119,'Dados ClubeFII'!$A:$AU,2,0)))*B119</f>
        <v>0.0840952335</v>
      </c>
      <c r="S119" s="43">
        <f>VLOOKUP($A119,'Dados ClubeFII'!$A:$AU,column(S119)-$A$5,0)</f>
        <v>41708</v>
      </c>
      <c r="T119" s="41">
        <f>MID(VLOOKUP($A119,'Dados ClubeFII'!$A:$AU,column(T119)-$A$5,0),3,100)/1</f>
        <v>100</v>
      </c>
      <c r="U119" s="45">
        <f>VLOOKUP($A119,'Dados ClubeFII'!$A:$AU,column(U119)-$A$5,0)/mid(VLOOKUP($A119,'Dados ClubeFII'!$A:$AU,2,0),4,SEARCH(",",VLOOKUP($A119,'Dados ClubeFII'!$A:$AU,2,0))-1)*B119</f>
        <v>-0.5908269231</v>
      </c>
      <c r="V119" s="42">
        <f>VLOOKUP($A119,'Dados ClubeFII'!$A:$AU,column(V119)-$A$5,0)</f>
        <v>0.056</v>
      </c>
      <c r="W119" s="43" t="str">
        <f>VLOOKUP($A119,'Dados ClubeFII'!$A:$AU,column(W119)-$A$5,0)</f>
        <v>N/D</v>
      </c>
      <c r="X119" s="45">
        <f>VLOOKUP($A119,'Dados ClubeFII'!$A:$AU,column(X119)-$A$5,0)</f>
        <v>0.018</v>
      </c>
      <c r="Y119" s="41">
        <f>MID(VLOOKUP($A119,'Dados ClubeFII'!$A:$AU,column(Y119)-$A$5,0),3,100)/1</f>
        <v>2638628.71</v>
      </c>
      <c r="Z119" s="46">
        <f>VLOOKUP($A119,'Dados ClubeFII'!$A:$AU,column(Z119)-$A$5,0)</f>
        <v>238692</v>
      </c>
      <c r="AA119" s="47">
        <f t="shared" si="2"/>
        <v>18655629</v>
      </c>
      <c r="AB119" s="48">
        <f t="shared" si="3"/>
        <v>123.9064972</v>
      </c>
      <c r="AC119" s="48"/>
      <c r="AD119" s="48"/>
      <c r="AE119" s="48"/>
    </row>
    <row r="120">
      <c r="A120" s="49" t="s">
        <v>143</v>
      </c>
      <c r="B120" s="38">
        <f>IFERROR(__xludf.DUMMYFUNCTION("GOOGLEFINANCE(A120)"),9.47)</f>
        <v>9.47</v>
      </c>
      <c r="C120" s="38">
        <f>IFERROR(__xludf.DUMMYFUNCTION("GOOGLEFINANCE($A120,""high52"")"),9.71)</f>
        <v>9.71</v>
      </c>
      <c r="D120" s="39">
        <f t="shared" si="4"/>
        <v>-0.02471678682</v>
      </c>
      <c r="E120" s="40" t="str">
        <f>VLOOKUP($A120,'Dados ClubeFII'!$A:$AU,column(E120)-$A$5,0)</f>
        <v>Valora CRI CDI</v>
      </c>
      <c r="F120" s="40" t="str">
        <f>VLOOKUP($A120,'Dados ClubeFII'!$A:$AU,column(F120)-$A$5,0)</f>
        <v>VALORA GESTÃO</v>
      </c>
      <c r="G120" s="40" t="str">
        <f>VLOOKUP($A120,'Dados ClubeFII'!$A:$AU,column(G120)-$A$5,0)</f>
        <v>Recebíveis Imobiliários</v>
      </c>
      <c r="H120" s="41">
        <f>MID(VLOOKUP($A120,'Dados ClubeFII'!$A:$AU,column(H120)-$A$5,0),3,100)/mid(VLOOKUP($A120,'Dados ClubeFII'!$A:$AU,2,0),4,SEARCH(",",VLOOKUP($A120,'Dados ClubeFII'!$A:$AU,2,0))-1)*B120</f>
        <v>13531394176</v>
      </c>
      <c r="I120" s="41">
        <f>MID(VLOOKUP($A120,'Dados ClubeFII'!$A:$AU,column(I120)-$A$5,0),3,100)/1</f>
        <v>994290044.4</v>
      </c>
      <c r="J120" s="42">
        <f>VLOOKUP($A120,'Dados ClubeFII'!$A:$AU,column(J120)-$A$5,0)/mid(VLOOKUP($A120,'Dados ClubeFII'!$A:$AU,2,0),3,SEARCH(",",VLOOKUP($A120,'Dados ClubeFII'!$A:$AU,2,0)))*B120</f>
        <v>0.9860515464</v>
      </c>
      <c r="K120" s="41">
        <f>if(VLOOKUP($A120,'Dados ClubeFII'!$A:$AU,column(K120)-$A$5,0)="N/D",0,MID(VLOOKUP($A120,'Dados ClubeFII'!$A:$AU,column(K120)-$A$5,0),3,100)/1)/mid(VLOOKUP($A120,'Dados ClubeFII'!$A:$AU,2,0),3,SEARCH(",",VLOOKUP($A120,'Dados ClubeFII'!$A:$AU,2,0)))*B120</f>
        <v>0</v>
      </c>
      <c r="L120" s="41">
        <f>if(VLOOKUP($A120,'Dados ClubeFII'!$A:$AU,column(L120)-$A$5,0)="N/D",0,MID(VLOOKUP($A120,'Dados ClubeFII'!$A:$AU,column(L120)-$A$5,0),3,100)/1)</f>
        <v>0</v>
      </c>
      <c r="M120" s="41">
        <f>MID(VLOOKUP($A120,'Dados ClubeFII'!$A:$AU,column(M120)-$A$5,0),3,100)/1</f>
        <v>0.13</v>
      </c>
      <c r="N120" s="41">
        <f>MID(VLOOKUP($A120,'Dados ClubeFII'!$A:$AU,column(N120)-$A$5,0),3,100)/1</f>
        <v>0</v>
      </c>
      <c r="O120" s="41">
        <f>LEFT(VLOOKUP($A120,'Dados ClubeFII'!$A:$AU,column(O120)-$A$5,0),len(VLOOKUP($A120,'Dados ClubeFII'!$A:$AU,column(O120)-$A$5,0))-2)/1</f>
        <v>0</v>
      </c>
      <c r="P120" s="43">
        <f>VLOOKUP($A120,'Dados ClubeFII'!$A:$AU,column(P120)-$A$5,0)</f>
        <v>44974</v>
      </c>
      <c r="Q120" s="44">
        <f>VLOOKUP($A120,'Dados ClubeFII'!$A:$AU,column(Q120)-$A$5,0)/mid(VLOOKUP($A120,'Dados ClubeFII'!$A:$AU,2,0),3,SEARCH(",",VLOOKUP($A120,'Dados ClubeFII'!$A:$AU,2,0)))*B120</f>
        <v>0.1692884536</v>
      </c>
      <c r="R120" s="44">
        <f>VLOOKUP($A120,'Dados ClubeFII'!$A:$AU,column(R120)-$A$5,0)/mid(VLOOKUP($A120,'Dados ClubeFII'!$A:$AU,2,0),3,SEARCH(",",VLOOKUP($A120,'Dados ClubeFII'!$A:$AU,2,0)))*B120</f>
        <v>0.1510318557</v>
      </c>
      <c r="S120" s="43">
        <f>VLOOKUP($A120,'Dados ClubeFII'!$A:$AU,column(S120)-$A$5,0)</f>
        <v>43312</v>
      </c>
      <c r="T120" s="41">
        <f>MID(VLOOKUP($A120,'Dados ClubeFII'!$A:$AU,column(T120)-$A$5,0),3,100)/1</f>
        <v>10</v>
      </c>
      <c r="U120" s="45">
        <f>VLOOKUP($A120,'Dados ClubeFII'!$A:$AU,column(U120)-$A$5,0)/mid(VLOOKUP($A120,'Dados ClubeFII'!$A:$AU,2,0),4,SEARCH(",",VLOOKUP($A120,'Dados ClubeFII'!$A:$AU,2,0))-1)*B120</f>
        <v>-0.2191628571</v>
      </c>
      <c r="V120" s="42" t="str">
        <f>VLOOKUP($A120,'Dados ClubeFII'!$A:$AU,column(V120)-$A$5,0)</f>
        <v>N/D</v>
      </c>
      <c r="W120" s="43" t="str">
        <f>VLOOKUP($A120,'Dados ClubeFII'!$A:$AU,column(W120)-$A$5,0)</f>
        <v>N/D</v>
      </c>
      <c r="X120" s="45">
        <f>VLOOKUP($A120,'Dados ClubeFII'!$A:$AU,column(X120)-$A$5,0)</f>
        <v>0.0093</v>
      </c>
      <c r="Y120" s="41">
        <f>MID(VLOOKUP($A120,'Dados ClubeFII'!$A:$AU,column(Y120)-$A$5,0),3,100)/1</f>
        <v>4040957.93</v>
      </c>
      <c r="Z120" s="46">
        <f>VLOOKUP($A120,'Dados ClubeFII'!$A:$AU,column(Z120)-$A$5,0)</f>
        <v>127271</v>
      </c>
      <c r="AA120" s="47">
        <f t="shared" si="2"/>
        <v>1428869501</v>
      </c>
      <c r="AB120" s="48">
        <f t="shared" si="3"/>
        <v>0.6958578399</v>
      </c>
      <c r="AC120" s="48"/>
      <c r="AD120" s="48"/>
      <c r="AE120" s="48"/>
    </row>
    <row r="121">
      <c r="A121" s="37" t="s">
        <v>144</v>
      </c>
      <c r="B121" s="38">
        <f>IFERROR(__xludf.DUMMYFUNCTION("GOOGLEFINANCE(A121)"),75.49)</f>
        <v>75.49</v>
      </c>
      <c r="C121" s="38">
        <f>IFERROR(__xludf.DUMMYFUNCTION("GOOGLEFINANCE($A121,""high52"")"),95.05)</f>
        <v>95.05</v>
      </c>
      <c r="D121" s="39">
        <f t="shared" si="4"/>
        <v>-0.2057864282</v>
      </c>
      <c r="E121" s="40" t="str">
        <f>VLOOKUP($A121,'Dados ClubeFII'!$A:$AU,column(E121)-$A$5,0)</f>
        <v>HSI Logística</v>
      </c>
      <c r="F121" s="40" t="str">
        <f>VLOOKUP($A121,'Dados ClubeFII'!$A:$AU,column(F121)-$A$5,0)</f>
        <v>Hemisfério Sul Investimentos</v>
      </c>
      <c r="G121" s="40" t="str">
        <f>VLOOKUP($A121,'Dados ClubeFII'!$A:$AU,column(G121)-$A$5,0)</f>
        <v>Logisticos</v>
      </c>
      <c r="H121" s="41">
        <f>MID(VLOOKUP($A121,'Dados ClubeFII'!$A:$AU,COLUMN(H121)-$A$5,0),3,100)/MID(VLOOKUP($A121,'Dados ClubeFII'!$A:$AU,2,0),3,SEARCH(",",VLOOKUP($A121,'Dados ClubeFII'!$A:$AU,2,0)))*B121</f>
        <v>954965775.4</v>
      </c>
      <c r="I121" s="41">
        <f>MID(VLOOKUP($A121,'Dados ClubeFII'!$A:$AU,column(I121)-$A$5,0),3,100)/1</f>
        <v>1327747793</v>
      </c>
      <c r="J121" s="42">
        <f>VLOOKUP($A121,'Dados ClubeFII'!$A:$AU,column(J121)-$A$5,0)/mid(VLOOKUP($A121,'Dados ClubeFII'!$A:$AU,2,0),3,SEARCH(",",VLOOKUP($A121,'Dados ClubeFII'!$A:$AU,2,0)))*B121</f>
        <v>0.7235150887</v>
      </c>
      <c r="K121" s="41">
        <f>if(VLOOKUP($A121,'Dados ClubeFII'!$A:$AU,column(K121)-$A$5,0)="N/D",0,MID(VLOOKUP($A121,'Dados ClubeFII'!$A:$AU,column(K121)-$A$5,0),3,100)/1)/mid(VLOOKUP($A121,'Dados ClubeFII'!$A:$AU,2,0),3,SEARCH(",",VLOOKUP($A121,'Dados ClubeFII'!$A:$AU,2,0)))*B121</f>
        <v>2090.55774</v>
      </c>
      <c r="L121" s="41">
        <f>if(VLOOKUP($A121,'Dados ClubeFII'!$A:$AU,column(L121)-$A$5,0)="N/D",0,MID(VLOOKUP($A121,'Dados ClubeFII'!$A:$AU,column(L121)-$A$5,0),3,100)/1)</f>
        <v>2906.63</v>
      </c>
      <c r="M121" s="41">
        <f>MID(VLOOKUP($A121,'Dados ClubeFII'!$A:$AU,column(M121)-$A$5,0),3,100)/1</f>
        <v>0.7</v>
      </c>
      <c r="N121" s="41">
        <f>MID(VLOOKUP($A121,'Dados ClubeFII'!$A:$AU,column(N121)-$A$5,0),3,100)/1</f>
        <v>19.4</v>
      </c>
      <c r="O121" s="41">
        <f>LEFT(VLOOKUP($A121,'Dados ClubeFII'!$A:$AU,column(O121)-$A$5,0),len(VLOOKUP($A121,'Dados ClubeFII'!$A:$AU,column(O121)-$A$5,0))-2)/1</f>
        <v>456800</v>
      </c>
      <c r="P121" s="43">
        <f>VLOOKUP($A121,'Dados ClubeFII'!$A:$AU,column(P121)-$A$5,0)</f>
        <v>44971</v>
      </c>
      <c r="Q121" s="44">
        <f>VLOOKUP($A121,'Dados ClubeFII'!$A:$AU,column(Q121)-$A$5,0)/mid(VLOOKUP($A121,'Dados ClubeFII'!$A:$AU,2,0),3,SEARCH(",",VLOOKUP($A121,'Dados ClubeFII'!$A:$AU,2,0)))*B121</f>
        <v>0.1119492941</v>
      </c>
      <c r="R121" s="44">
        <f>VLOOKUP($A121,'Dados ClubeFII'!$A:$AU,column(R121)-$A$5,0)/mid(VLOOKUP($A121,'Dados ClubeFII'!$A:$AU,2,0),3,SEARCH(",",VLOOKUP($A121,'Dados ClubeFII'!$A:$AU,2,0)))*B121</f>
        <v>0.1021720632</v>
      </c>
      <c r="S121" s="43">
        <f>VLOOKUP($A121,'Dados ClubeFII'!$A:$AU,column(S121)-$A$5,0)</f>
        <v>44180</v>
      </c>
      <c r="T121" s="41">
        <f>MID(VLOOKUP($A121,'Dados ClubeFII'!$A:$AU,column(T121)-$A$5,0),3,100)/1</f>
        <v>100</v>
      </c>
      <c r="U121" s="45">
        <f>VLOOKUP($A121,'Dados ClubeFII'!$A:$AU,column(U121)-$A$5,0)/mid(VLOOKUP($A121,'Dados ClubeFII'!$A:$AU,2,0),4,SEARCH(",",VLOOKUP($A121,'Dados ClubeFII'!$A:$AU,2,0))-1)*B121</f>
        <v>-1.384157836</v>
      </c>
      <c r="V121" s="42">
        <f>VLOOKUP($A121,'Dados ClubeFII'!$A:$AU,column(V121)-$A$5,0)</f>
        <v>0</v>
      </c>
      <c r="W121" s="43" t="str">
        <f>VLOOKUP($A121,'Dados ClubeFII'!$A:$AU,column(W121)-$A$5,0)</f>
        <v>N/D</v>
      </c>
      <c r="X121" s="45">
        <f>VLOOKUP($A121,'Dados ClubeFII'!$A:$AU,column(X121)-$A$5,0)</f>
        <v>0.0103</v>
      </c>
      <c r="Y121" s="41">
        <f>MID(VLOOKUP($A121,'Dados ClubeFII'!$A:$AU,column(Y121)-$A$5,0),3,100)/1</f>
        <v>666843.58</v>
      </c>
      <c r="Z121" s="46">
        <f>VLOOKUP($A121,'Dados ClubeFII'!$A:$AU,column(Z121)-$A$5,0)</f>
        <v>24279</v>
      </c>
      <c r="AA121" s="47">
        <f t="shared" si="2"/>
        <v>12650228</v>
      </c>
      <c r="AB121" s="48">
        <f t="shared" si="3"/>
        <v>104.9584081</v>
      </c>
      <c r="AC121" s="48"/>
      <c r="AD121" s="48"/>
      <c r="AE121" s="48"/>
    </row>
    <row r="122">
      <c r="A122" s="49" t="s">
        <v>145</v>
      </c>
      <c r="B122" s="38">
        <f>IFERROR(__xludf.DUMMYFUNCTION("GOOGLEFINANCE(A122)"),93.89)</f>
        <v>93.89</v>
      </c>
      <c r="C122" s="38">
        <f>IFERROR(__xludf.DUMMYFUNCTION("GOOGLEFINANCE($A122,""high52"")"),101.19)</f>
        <v>101.19</v>
      </c>
      <c r="D122" s="39">
        <f t="shared" si="4"/>
        <v>-0.07214151596</v>
      </c>
      <c r="E122" s="40" t="str">
        <f>VLOOKUP($A122,'Dados ClubeFII'!$A:$AU,column(E122)-$A$5,0)</f>
        <v>BTG Pactual Logística</v>
      </c>
      <c r="F122" s="40" t="str">
        <f>VLOOKUP($A122,'Dados ClubeFII'!$A:$AU,column(F122)-$A$5,0)</f>
        <v>BTG PACTUAL</v>
      </c>
      <c r="G122" s="40" t="str">
        <f>VLOOKUP($A122,'Dados ClubeFII'!$A:$AU,column(G122)-$A$5,0)</f>
        <v>Logisticos</v>
      </c>
      <c r="H122" s="41">
        <f>MID(VLOOKUP($A122,'Dados ClubeFII'!$A:$AU,COLUMN(H122)-$A$5,0),3,100)/MID(VLOOKUP($A122,'Dados ClubeFII'!$A:$AU,2,0),3,SEARCH(",",VLOOKUP($A122,'Dados ClubeFII'!$A:$AU,2,0)))*B122</f>
        <v>1972883008</v>
      </c>
      <c r="I122" s="41">
        <f>MID(VLOOKUP($A122,'Dados ClubeFII'!$A:$AU,column(I122)-$A$5,0),3,100)/1</f>
        <v>2078328124</v>
      </c>
      <c r="J122" s="42">
        <f>VLOOKUP($A122,'Dados ClubeFII'!$A:$AU,column(J122)-$A$5,0)/mid(VLOOKUP($A122,'Dados ClubeFII'!$A:$AU,2,0),3,SEARCH(",",VLOOKUP($A122,'Dados ClubeFII'!$A:$AU,2,0)))*B122</f>
        <v>0.9458428893</v>
      </c>
      <c r="K122" s="41">
        <f>if(VLOOKUP($A122,'Dados ClubeFII'!$A:$AU,column(K122)-$A$5,0)="N/D",0,MID(VLOOKUP($A122,'Dados ClubeFII'!$A:$AU,column(K122)-$A$5,0),3,100)/1)/mid(VLOOKUP($A122,'Dados ClubeFII'!$A:$AU,2,0),3,SEARCH(",",VLOOKUP($A122,'Dados ClubeFII'!$A:$AU,2,0)))*B122</f>
        <v>2958.284631</v>
      </c>
      <c r="L122" s="41">
        <f>if(VLOOKUP($A122,'Dados ClubeFII'!$A:$AU,column(L122)-$A$5,0)="N/D",0,MID(VLOOKUP($A122,'Dados ClubeFII'!$A:$AU,column(L122)-$A$5,0),3,100)/1)</f>
        <v>3116.4</v>
      </c>
      <c r="M122" s="41">
        <f>MID(VLOOKUP($A122,'Dados ClubeFII'!$A:$AU,column(M122)-$A$5,0),3,100)/1</f>
        <v>0.74</v>
      </c>
      <c r="N122" s="41">
        <f>MID(VLOOKUP($A122,'Dados ClubeFII'!$A:$AU,column(N122)-$A$5,0),3,100)/1</f>
        <v>23.38</v>
      </c>
      <c r="O122" s="41">
        <f>LEFT(VLOOKUP($A122,'Dados ClubeFII'!$A:$AU,column(O122)-$A$5,0),len(VLOOKUP($A122,'Dados ClubeFII'!$A:$AU,column(O122)-$A$5,0))-2)/1</f>
        <v>666900</v>
      </c>
      <c r="P122" s="43">
        <f>VLOOKUP($A122,'Dados ClubeFII'!$A:$AU,column(P122)-$A$5,0)</f>
        <v>44981</v>
      </c>
      <c r="Q122" s="44">
        <f>VLOOKUP($A122,'Dados ClubeFII'!$A:$AU,column(Q122)-$A$5,0)/mid(VLOOKUP($A122,'Dados ClubeFII'!$A:$AU,2,0),3,SEARCH(",",VLOOKUP($A122,'Dados ClubeFII'!$A:$AU,2,0)))*B122</f>
        <v>0.1003197192</v>
      </c>
      <c r="R122" s="44">
        <f>VLOOKUP($A122,'Dados ClubeFII'!$A:$AU,column(R122)-$A$5,0)/mid(VLOOKUP($A122,'Dados ClubeFII'!$A:$AU,2,0),3,SEARCH(",",VLOOKUP($A122,'Dados ClubeFII'!$A:$AU,2,0)))*B122</f>
        <v>0.0959929911</v>
      </c>
      <c r="S122" s="43">
        <f>VLOOKUP($A122,'Dados ClubeFII'!$A:$AU,column(S122)-$A$5,0)</f>
        <v>40402</v>
      </c>
      <c r="T122" s="41">
        <f>MID(VLOOKUP($A122,'Dados ClubeFII'!$A:$AU,column(T122)-$A$5,0),3,100)/1</f>
        <v>100</v>
      </c>
      <c r="U122" s="45">
        <f>VLOOKUP($A122,'Dados ClubeFII'!$A:$AU,column(U122)-$A$5,0)/mid(VLOOKUP($A122,'Dados ClubeFII'!$A:$AU,2,0),4,SEARCH(",",VLOOKUP($A122,'Dados ClubeFII'!$A:$AU,2,0))-1)*B122</f>
        <v>-2.070685801</v>
      </c>
      <c r="V122" s="42">
        <f>VLOOKUP($A122,'Dados ClubeFII'!$A:$AU,column(V122)-$A$5,0)</f>
        <v>0.003</v>
      </c>
      <c r="W122" s="43">
        <f>VLOOKUP($A122,'Dados ClubeFII'!$A:$AU,column(W122)-$A$5,0)</f>
        <v>44925</v>
      </c>
      <c r="X122" s="45">
        <f>VLOOKUP($A122,'Dados ClubeFII'!$A:$AU,column(X122)-$A$5,0)</f>
        <v>0.0194</v>
      </c>
      <c r="Y122" s="41">
        <f>MID(VLOOKUP($A122,'Dados ClubeFII'!$A:$AU,column(Y122)-$A$5,0),3,100)/1</f>
        <v>4707708.53</v>
      </c>
      <c r="Z122" s="46">
        <f>VLOOKUP($A122,'Dados ClubeFII'!$A:$AU,column(Z122)-$A$5,0)</f>
        <v>209120</v>
      </c>
      <c r="AA122" s="47">
        <f t="shared" si="2"/>
        <v>21012706</v>
      </c>
      <c r="AB122" s="48">
        <f t="shared" si="3"/>
        <v>98.90816177</v>
      </c>
      <c r="AC122" s="48"/>
      <c r="AD122" s="48"/>
      <c r="AE122" s="48"/>
    </row>
    <row r="123">
      <c r="A123" s="49" t="s">
        <v>146</v>
      </c>
      <c r="B123" s="38">
        <f>IFERROR(__xludf.DUMMYFUNCTION("GOOGLEFINANCE(A123)"),72.93)</f>
        <v>72.93</v>
      </c>
      <c r="C123" s="38">
        <f>IFERROR(__xludf.DUMMYFUNCTION("GOOGLEFINANCE($A123,""high52"")"),85.01)</f>
        <v>85.01</v>
      </c>
      <c r="D123" s="39">
        <f t="shared" si="4"/>
        <v>-0.1421009293</v>
      </c>
      <c r="E123" s="40" t="str">
        <f>VLOOKUP($A123,'Dados ClubeFII'!$A:$AU,column(E123)-$A$5,0)</f>
        <v>Log CP Inter</v>
      </c>
      <c r="F123" s="40" t="str">
        <f>VLOOKUP($A123,'Dados ClubeFII'!$A:$AU,column(F123)-$A$5,0)</f>
        <v>INTER ASSET</v>
      </c>
      <c r="G123" s="40" t="str">
        <f>VLOOKUP($A123,'Dados ClubeFII'!$A:$AU,column(G123)-$A$5,0)</f>
        <v>Logisticos</v>
      </c>
      <c r="H123" s="41">
        <f>MID(VLOOKUP($A123,'Dados ClubeFII'!$A:$AU,COLUMN(H123)-$A$5,0),3,100)/MID(VLOOKUP($A123,'Dados ClubeFII'!$A:$AU,2,0),3,SEARCH(",",VLOOKUP($A123,'Dados ClubeFII'!$A:$AU,2,0)))*B123</f>
        <v>197645935.1</v>
      </c>
      <c r="I123" s="41">
        <f>MID(VLOOKUP($A123,'Dados ClubeFII'!$A:$AU,column(I123)-$A$5,0),3,100)/1</f>
        <v>280880455.4</v>
      </c>
      <c r="J123" s="42">
        <f>VLOOKUP($A123,'Dados ClubeFII'!$A:$AU,column(J123)-$A$5,0)/mid(VLOOKUP($A123,'Dados ClubeFII'!$A:$AU,2,0),3,SEARCH(",",VLOOKUP($A123,'Dados ClubeFII'!$A:$AU,2,0)))*B123</f>
        <v>0.7029855412</v>
      </c>
      <c r="K123" s="41">
        <f>if(VLOOKUP($A123,'Dados ClubeFII'!$A:$AU,column(K123)-$A$5,0)="N/D",0,MID(VLOOKUP($A123,'Dados ClubeFII'!$A:$AU,column(K123)-$A$5,0),3,100)/1)/mid(VLOOKUP($A123,'Dados ClubeFII'!$A:$AU,2,0),3,SEARCH(",",VLOOKUP($A123,'Dados ClubeFII'!$A:$AU,2,0)))*B123</f>
        <v>2452.184564</v>
      </c>
      <c r="L123" s="41">
        <f>if(VLOOKUP($A123,'Dados ClubeFII'!$A:$AU,column(L123)-$A$5,0)="N/D",0,MID(VLOOKUP($A123,'Dados ClubeFII'!$A:$AU,column(L123)-$A$5,0),3,100)/1)</f>
        <v>3484.87</v>
      </c>
      <c r="M123" s="41">
        <f>MID(VLOOKUP($A123,'Dados ClubeFII'!$A:$AU,column(M123)-$A$5,0),3,100)/1</f>
        <v>0.62</v>
      </c>
      <c r="N123" s="41">
        <f>MID(VLOOKUP($A123,'Dados ClubeFII'!$A:$AU,column(N123)-$A$5,0),3,100)/1</f>
        <v>21.02</v>
      </c>
      <c r="O123" s="41">
        <f>LEFT(VLOOKUP($A123,'Dados ClubeFII'!$A:$AU,column(O123)-$A$5,0),len(VLOOKUP($A123,'Dados ClubeFII'!$A:$AU,column(O123)-$A$5,0))-2)/1</f>
        <v>80600</v>
      </c>
      <c r="P123" s="43">
        <f>VLOOKUP($A123,'Dados ClubeFII'!$A:$AU,column(P123)-$A$5,0)</f>
        <v>44971</v>
      </c>
      <c r="Q123" s="44">
        <f>VLOOKUP($A123,'Dados ClubeFII'!$A:$AU,column(Q123)-$A$5,0)/mid(VLOOKUP($A123,'Dados ClubeFII'!$A:$AU,2,0),3,SEARCH(",",VLOOKUP($A123,'Dados ClubeFII'!$A:$AU,2,0)))*B123</f>
        <v>0.09708800313</v>
      </c>
      <c r="R123" s="44">
        <f>VLOOKUP($A123,'Dados ClubeFII'!$A:$AU,column(R123)-$A$5,0)/mid(VLOOKUP($A123,'Dados ClubeFII'!$A:$AU,2,0),3,SEARCH(",",VLOOKUP($A123,'Dados ClubeFII'!$A:$AU,2,0)))*B123</f>
        <v>0.09186311059</v>
      </c>
      <c r="S123" s="43">
        <f>VLOOKUP($A123,'Dados ClubeFII'!$A:$AU,column(S123)-$A$5,0)</f>
        <v>43822</v>
      </c>
      <c r="T123" s="41">
        <f>MID(VLOOKUP($A123,'Dados ClubeFII'!$A:$AU,column(T123)-$A$5,0),3,100)/1</f>
        <v>100</v>
      </c>
      <c r="U123" s="45">
        <f>VLOOKUP($A123,'Dados ClubeFII'!$A:$AU,column(U123)-$A$5,0)/mid(VLOOKUP($A123,'Dados ClubeFII'!$A:$AU,2,0),4,SEARCH(",",VLOOKUP($A123,'Dados ClubeFII'!$A:$AU,2,0))-1)*B123</f>
        <v>-0.843488774</v>
      </c>
      <c r="V123" s="42">
        <f>VLOOKUP($A123,'Dados ClubeFII'!$A:$AU,column(V123)-$A$5,0)</f>
        <v>0</v>
      </c>
      <c r="W123" s="43" t="str">
        <f>VLOOKUP($A123,'Dados ClubeFII'!$A:$AU,column(W123)-$A$5,0)</f>
        <v>N/D</v>
      </c>
      <c r="X123" s="45">
        <f>VLOOKUP($A123,'Dados ClubeFII'!$A:$AU,column(X123)-$A$5,0)</f>
        <v>0.0021</v>
      </c>
      <c r="Y123" s="41">
        <f>MID(VLOOKUP($A123,'Dados ClubeFII'!$A:$AU,column(Y123)-$A$5,0),3,100)/1</f>
        <v>218389.61</v>
      </c>
      <c r="Z123" s="46">
        <f>VLOOKUP($A123,'Dados ClubeFII'!$A:$AU,column(Z123)-$A$5,0)</f>
        <v>15435</v>
      </c>
      <c r="AA123" s="47">
        <f t="shared" si="2"/>
        <v>2710077</v>
      </c>
      <c r="AB123" s="48">
        <f t="shared" si="3"/>
        <v>103.6429797</v>
      </c>
      <c r="AC123" s="48"/>
      <c r="AD123" s="48"/>
      <c r="AE123" s="48"/>
    </row>
    <row r="124">
      <c r="A124" s="37" t="s">
        <v>147</v>
      </c>
      <c r="B124" s="38">
        <f>IFERROR(__xludf.DUMMYFUNCTION("GOOGLEFINANCE(A124)"),102.0)</f>
        <v>102</v>
      </c>
      <c r="C124" s="38">
        <f>IFERROR(__xludf.DUMMYFUNCTION("GOOGLEFINANCE($A124,""high52"")"),129.09)</f>
        <v>129.09</v>
      </c>
      <c r="D124" s="39">
        <f t="shared" si="4"/>
        <v>-0.2098535905</v>
      </c>
      <c r="E124" s="40" t="str">
        <f>VLOOKUP($A124,'Dados ClubeFII'!$A:$AU,column(E124)-$A$5,0)</f>
        <v>Campus Faria Lima</v>
      </c>
      <c r="F124" s="40" t="str">
        <f>VLOOKUP($A124,'Dados ClubeFII'!$A:$AU,column(F124)-$A$5,0)</f>
        <v>BTG PACTUAL</v>
      </c>
      <c r="G124" s="40" t="str">
        <f>VLOOKUP($A124,'Dados ClubeFII'!$A:$AU,column(G124)-$A$5,0)</f>
        <v>Educacional</v>
      </c>
      <c r="H124" s="41">
        <f>MID(VLOOKUP($A124,'Dados ClubeFII'!$A:$AU,column(H124)-$A$5,0),3,100)/mid(VLOOKUP($A124,'Dados ClubeFII'!$A:$AU,2,0),4,SEARCH(",",VLOOKUP($A124,'Dados ClubeFII'!$A:$AU,2,0))-1)*B124</f>
        <v>3432176372</v>
      </c>
      <c r="I124" s="41">
        <f>MID(VLOOKUP($A124,'Dados ClubeFII'!$A:$AU,column(I124)-$A$5,0),3,100)/1</f>
        <v>403561990.5</v>
      </c>
      <c r="J124" s="42">
        <f>VLOOKUP($A124,'Dados ClubeFII'!$A:$AU,column(J124)-$A$5,0)/mid(VLOOKUP($A124,'Dados ClubeFII'!$A:$AU,2,0),3,SEARCH(",",VLOOKUP($A124,'Dados ClubeFII'!$A:$AU,2,0)))*B124</f>
        <v>0.8785214427</v>
      </c>
      <c r="K124" s="41">
        <f>if(VLOOKUP($A124,'Dados ClubeFII'!$A:$AU,column(K124)-$A$5,0)="N/D",0,MID(VLOOKUP($A124,'Dados ClubeFII'!$A:$AU,column(K124)-$A$5,0),3,100)/1)/mid(VLOOKUP($A124,'Dados ClubeFII'!$A:$AU,2,0),3,SEARCH(",",VLOOKUP($A124,'Dados ClubeFII'!$A:$AU,2,0)))*B124</f>
        <v>11395.20097</v>
      </c>
      <c r="L124" s="41">
        <f>if(VLOOKUP($A124,'Dados ClubeFII'!$A:$AU,column(L124)-$A$5,0)="N/D",0,MID(VLOOKUP($A124,'Dados ClubeFII'!$A:$AU,column(L124)-$A$5,0),3,100)/1)</f>
        <v>13031.58</v>
      </c>
      <c r="M124" s="41">
        <f>MID(VLOOKUP($A124,'Dados ClubeFII'!$A:$AU,column(M124)-$A$5,0),3,100)/1</f>
        <v>0.8</v>
      </c>
      <c r="N124" s="41">
        <f>MID(VLOOKUP($A124,'Dados ClubeFII'!$A:$AU,column(N124)-$A$5,0),3,100)/1</f>
        <v>90.18</v>
      </c>
      <c r="O124" s="41">
        <f>LEFT(VLOOKUP($A124,'Dados ClubeFII'!$A:$AU,column(O124)-$A$5,0),len(VLOOKUP($A124,'Dados ClubeFII'!$A:$AU,column(O124)-$A$5,0))-2)/1</f>
        <v>30968</v>
      </c>
      <c r="P124" s="43">
        <f>VLOOKUP($A124,'Dados ClubeFII'!$A:$AU,column(P124)-$A$5,0)</f>
        <v>44981</v>
      </c>
      <c r="Q124" s="44">
        <f>VLOOKUP($A124,'Dados ClubeFII'!$A:$AU,column(Q124)-$A$5,0)/mid(VLOOKUP($A124,'Dados ClubeFII'!$A:$AU,2,0),3,SEARCH(",",VLOOKUP($A124,'Dados ClubeFII'!$A:$AU,2,0)))*B124</f>
        <v>0.0828189485</v>
      </c>
      <c r="R124" s="44">
        <f>VLOOKUP($A124,'Dados ClubeFII'!$A:$AU,column(R124)-$A$5,0)/mid(VLOOKUP($A124,'Dados ClubeFII'!$A:$AU,2,0),3,SEARCH(",",VLOOKUP($A124,'Dados ClubeFII'!$A:$AU,2,0)))*B124</f>
        <v>0.0809886955</v>
      </c>
      <c r="S124" s="43">
        <f>VLOOKUP($A124,'Dados ClubeFII'!$A:$AU,column(S124)-$A$5,0)</f>
        <v>40386</v>
      </c>
      <c r="T124" s="41">
        <f>MID(VLOOKUP($A124,'Dados ClubeFII'!$A:$AU,column(T124)-$A$5,0),3,100)/1</f>
        <v>50</v>
      </c>
      <c r="U124" s="45">
        <f>VLOOKUP($A124,'Dados ClubeFII'!$A:$AU,column(U124)-$A$5,0)/mid(VLOOKUP($A124,'Dados ClubeFII'!$A:$AU,2,0),4,SEARCH(",",VLOOKUP($A124,'Dados ClubeFII'!$A:$AU,2,0))-1)*B124</f>
        <v>-0.299947644</v>
      </c>
      <c r="V124" s="42">
        <f>VLOOKUP($A124,'Dados ClubeFII'!$A:$AU,column(V124)-$A$5,0)</f>
        <v>0</v>
      </c>
      <c r="W124" s="43" t="str">
        <f>VLOOKUP($A124,'Dados ClubeFII'!$A:$AU,column(W124)-$A$5,0)</f>
        <v>N/D</v>
      </c>
      <c r="X124" s="45">
        <f>VLOOKUP($A124,'Dados ClubeFII'!$A:$AU,column(X124)-$A$5,0)</f>
        <v>0</v>
      </c>
      <c r="Y124" s="41">
        <f>MID(VLOOKUP($A124,'Dados ClubeFII'!$A:$AU,column(Y124)-$A$5,0),3,100)/1</f>
        <v>235866.13</v>
      </c>
      <c r="Z124" s="46">
        <f>VLOOKUP($A124,'Dados ClubeFII'!$A:$AU,column(Z124)-$A$5,0)</f>
        <v>3794</v>
      </c>
      <c r="AA124" s="47">
        <f t="shared" si="2"/>
        <v>33648787</v>
      </c>
      <c r="AB124" s="48">
        <f t="shared" si="3"/>
        <v>11.99335924</v>
      </c>
      <c r="AC124" s="48"/>
      <c r="AD124" s="48"/>
      <c r="AE124" s="48"/>
    </row>
    <row r="125">
      <c r="A125" s="37" t="s">
        <v>148</v>
      </c>
      <c r="B125" s="38">
        <f>IFERROR(__xludf.DUMMYFUNCTION("GOOGLEFINANCE(A125)"),88.5)</f>
        <v>88.5</v>
      </c>
      <c r="C125" s="38">
        <f>IFERROR(__xludf.DUMMYFUNCTION("GOOGLEFINANCE($A125,""high52"")"),95.41)</f>
        <v>95.41</v>
      </c>
      <c r="D125" s="39">
        <f t="shared" si="4"/>
        <v>-0.07242427419</v>
      </c>
      <c r="E125" s="40" t="str">
        <f>VLOOKUP($A125,'Dados ClubeFII'!$A:$AU,column(E125)-$A$5,0)</f>
        <v>VBI Prime Properties</v>
      </c>
      <c r="F125" s="40" t="str">
        <f>VLOOKUP($A125,'Dados ClubeFII'!$A:$AU,column(F125)-$A$5,0)</f>
        <v>VBI REAL ESTATE</v>
      </c>
      <c r="G125" s="40" t="str">
        <f>VLOOKUP($A125,'Dados ClubeFII'!$A:$AU,column(G125)-$A$5,0)</f>
        <v>Lajes Comerciais</v>
      </c>
      <c r="H125" s="41">
        <f>MID(VLOOKUP($A125,'Dados ClubeFII'!$A:$AU,COLUMN(H125)-$A$5,0),3,100)/MID(VLOOKUP($A125,'Dados ClubeFII'!$A:$AU,2,0),3,SEARCH(",",VLOOKUP($A125,'Dados ClubeFII'!$A:$AU,2,0)))*B125</f>
        <v>894085103.4</v>
      </c>
      <c r="I125" s="41">
        <f>MID(VLOOKUP($A125,'Dados ClubeFII'!$A:$AU,column(I125)-$A$5,0),3,100)/1</f>
        <v>1032454039</v>
      </c>
      <c r="J125" s="42">
        <f>VLOOKUP($A125,'Dados ClubeFII'!$A:$AU,column(J125)-$A$5,0)/mid(VLOOKUP($A125,'Dados ClubeFII'!$A:$AU,2,0),3,SEARCH(",",VLOOKUP($A125,'Dados ClubeFII'!$A:$AU,2,0)))*B125</f>
        <v>0.8661307235</v>
      </c>
      <c r="K125" s="41">
        <f>if(VLOOKUP($A125,'Dados ClubeFII'!$A:$AU,column(K125)-$A$5,0)="N/D",0,MID(VLOOKUP($A125,'Dados ClubeFII'!$A:$AU,column(K125)-$A$5,0),3,100)/1)/mid(VLOOKUP($A125,'Dados ClubeFII'!$A:$AU,2,0),3,SEARCH(",",VLOOKUP($A125,'Dados ClubeFII'!$A:$AU,2,0)))*B125</f>
        <v>20068.35197</v>
      </c>
      <c r="L125" s="41">
        <f>if(VLOOKUP($A125,'Dados ClubeFII'!$A:$AU,column(L125)-$A$5,0)="N/D",0,MID(VLOOKUP($A125,'Dados ClubeFII'!$A:$AU,column(L125)-$A$5,0),3,100)/1)</f>
        <v>23174.13</v>
      </c>
      <c r="M125" s="41">
        <f>MID(VLOOKUP($A125,'Dados ClubeFII'!$A:$AU,column(M125)-$A$5,0),3,100)/1</f>
        <v>0.61</v>
      </c>
      <c r="N125" s="41">
        <f>MID(VLOOKUP($A125,'Dados ClubeFII'!$A:$AU,column(N125)-$A$5,0),3,100)/1</f>
        <v>137.46</v>
      </c>
      <c r="O125" s="41">
        <f>LEFT(VLOOKUP($A125,'Dados ClubeFII'!$A:$AU,column(O125)-$A$5,0),len(VLOOKUP($A125,'Dados ClubeFII'!$A:$AU,column(O125)-$A$5,0))-2)/1</f>
        <v>44552</v>
      </c>
      <c r="P125" s="43">
        <f>VLOOKUP($A125,'Dados ClubeFII'!$A:$AU,column(P125)-$A$5,0)</f>
        <v>44964</v>
      </c>
      <c r="Q125" s="44">
        <f>VLOOKUP($A125,'Dados ClubeFII'!$A:$AU,column(Q125)-$A$5,0)/mid(VLOOKUP($A125,'Dados ClubeFII'!$A:$AU,2,0),3,SEARCH(",",VLOOKUP($A125,'Dados ClubeFII'!$A:$AU,2,0)))*B125</f>
        <v>0.09084061517</v>
      </c>
      <c r="R125" s="44">
        <f>VLOOKUP($A125,'Dados ClubeFII'!$A:$AU,column(R125)-$A$5,0)/mid(VLOOKUP($A125,'Dados ClubeFII'!$A:$AU,2,0),3,SEARCH(",",VLOOKUP($A125,'Dados ClubeFII'!$A:$AU,2,0)))*B125</f>
        <v>0.08125131073</v>
      </c>
      <c r="S125" s="43">
        <f>VLOOKUP($A125,'Dados ClubeFII'!$A:$AU,column(S125)-$A$5,0)</f>
        <v>44041</v>
      </c>
      <c r="T125" s="41">
        <f>MID(VLOOKUP($A125,'Dados ClubeFII'!$A:$AU,column(T125)-$A$5,0),3,100)/1</f>
        <v>100</v>
      </c>
      <c r="U125" s="45">
        <f>VLOOKUP($A125,'Dados ClubeFII'!$A:$AU,column(U125)-$A$5,0)/mid(VLOOKUP($A125,'Dados ClubeFII'!$A:$AU,2,0),4,SEARCH(",",VLOOKUP($A125,'Dados ClubeFII'!$A:$AU,2,0))-1)*B125</f>
        <v>-1.194674099</v>
      </c>
      <c r="V125" s="42">
        <f>VLOOKUP($A125,'Dados ClubeFII'!$A:$AU,column(V125)-$A$5,0)</f>
        <v>0</v>
      </c>
      <c r="W125" s="43">
        <f>VLOOKUP($A125,'Dados ClubeFII'!$A:$AU,column(W125)-$A$5,0)</f>
        <v>44225</v>
      </c>
      <c r="X125" s="45">
        <f>VLOOKUP($A125,'Dados ClubeFII'!$A:$AU,column(X125)-$A$5,0)</f>
        <v>0.0086</v>
      </c>
      <c r="Y125" s="41">
        <f>MID(VLOOKUP($A125,'Dados ClubeFII'!$A:$AU,column(Y125)-$A$5,0),3,100)/1</f>
        <v>2973327.17</v>
      </c>
      <c r="Z125" s="46">
        <f>VLOOKUP($A125,'Dados ClubeFII'!$A:$AU,column(Z125)-$A$5,0)</f>
        <v>88760</v>
      </c>
      <c r="AA125" s="47">
        <f t="shared" si="2"/>
        <v>10102656</v>
      </c>
      <c r="AB125" s="48">
        <f t="shared" si="3"/>
        <v>102.1962975</v>
      </c>
      <c r="AC125" s="48"/>
      <c r="AD125" s="48"/>
      <c r="AE125" s="48"/>
    </row>
    <row r="126">
      <c r="A126" s="49" t="s">
        <v>149</v>
      </c>
      <c r="B126" s="38">
        <f>IFERROR(__xludf.DUMMYFUNCTION("GOOGLEFINANCE(A126)"),84.51)</f>
        <v>84.51</v>
      </c>
      <c r="C126" s="38">
        <f>IFERROR(__xludf.DUMMYFUNCTION("GOOGLEFINANCE($A126,""high52"")"),107.26)</f>
        <v>107.26</v>
      </c>
      <c r="D126" s="39">
        <f t="shared" si="4"/>
        <v>-0.2121014358</v>
      </c>
      <c r="E126" s="40" t="str">
        <f>VLOOKUP($A126,'Dados ClubeFII'!$A:$AU,column(E126)-$A$5,0)</f>
        <v>Vinci Logística</v>
      </c>
      <c r="F126" s="40" t="str">
        <f>VLOOKUP($A126,'Dados ClubeFII'!$A:$AU,column(F126)-$A$5,0)</f>
        <v>VINCI REAL ESTATE</v>
      </c>
      <c r="G126" s="40" t="str">
        <f>VLOOKUP($A126,'Dados ClubeFII'!$A:$AU,column(G126)-$A$5,0)</f>
        <v>Logisticos</v>
      </c>
      <c r="H126" s="41">
        <f>MID(VLOOKUP($A126,'Dados ClubeFII'!$A:$AU,COLUMN(H126)-$A$5,0),3,100)/MID(VLOOKUP($A126,'Dados ClubeFII'!$A:$AU,2,0),3,SEARCH(",",VLOOKUP($A126,'Dados ClubeFII'!$A:$AU,2,0)))*B126</f>
        <v>1277557801</v>
      </c>
      <c r="I126" s="41">
        <f>MID(VLOOKUP($A126,'Dados ClubeFII'!$A:$AU,column(I126)-$A$5,0),3,100)/1</f>
        <v>1680476899</v>
      </c>
      <c r="J126" s="42">
        <f>VLOOKUP($A126,'Dados ClubeFII'!$A:$AU,column(J126)-$A$5,0)/mid(VLOOKUP($A126,'Dados ClubeFII'!$A:$AU,2,0),3,SEARCH(",",VLOOKUP($A126,'Dados ClubeFII'!$A:$AU,2,0)))*B126</f>
        <v>0.7621335616</v>
      </c>
      <c r="K126" s="41">
        <f>if(VLOOKUP($A126,'Dados ClubeFII'!$A:$AU,column(K126)-$A$5,0)="N/D",0,MID(VLOOKUP($A126,'Dados ClubeFII'!$A:$AU,column(K126)-$A$5,0),3,100)/1)/mid(VLOOKUP($A126,'Dados ClubeFII'!$A:$AU,2,0),3,SEARCH(",",VLOOKUP($A126,'Dados ClubeFII'!$A:$AU,2,0)))*B126</f>
        <v>2102.18625</v>
      </c>
      <c r="L126" s="41">
        <f>if(VLOOKUP($A126,'Dados ClubeFII'!$A:$AU,column(L126)-$A$5,0)="N/D",0,MID(VLOOKUP($A126,'Dados ClubeFII'!$A:$AU,column(L126)-$A$5,0),3,100)/1)</f>
        <v>2765.18</v>
      </c>
      <c r="M126" s="41">
        <f>MID(VLOOKUP($A126,'Dados ClubeFII'!$A:$AU,column(M126)-$A$5,0),3,100)/1</f>
        <v>0.67</v>
      </c>
      <c r="N126" s="41">
        <f>MID(VLOOKUP($A126,'Dados ClubeFII'!$A:$AU,column(N126)-$A$5,0),3,100)/1</f>
        <v>16.53</v>
      </c>
      <c r="O126" s="41">
        <f>LEFT(VLOOKUP($A126,'Dados ClubeFII'!$A:$AU,column(O126)-$A$5,0),len(VLOOKUP($A126,'Dados ClubeFII'!$A:$AU,column(O126)-$A$5,0))-2)/1</f>
        <v>607728</v>
      </c>
      <c r="P126" s="43">
        <f>VLOOKUP($A126,'Dados ClubeFII'!$A:$AU,column(P126)-$A$5,0)</f>
        <v>44971</v>
      </c>
      <c r="Q126" s="44">
        <f>VLOOKUP($A126,'Dados ClubeFII'!$A:$AU,column(Q126)-$A$5,0)/mid(VLOOKUP($A126,'Dados ClubeFII'!$A:$AU,2,0),3,SEARCH(",",VLOOKUP($A126,'Dados ClubeFII'!$A:$AU,2,0)))*B126</f>
        <v>0.0916489726</v>
      </c>
      <c r="R126" s="44">
        <f>VLOOKUP($A126,'Dados ClubeFII'!$A:$AU,column(R126)-$A$5,0)/mid(VLOOKUP($A126,'Dados ClubeFII'!$A:$AU,2,0),3,SEARCH(",",VLOOKUP($A126,'Dados ClubeFII'!$A:$AU,2,0)))*B126</f>
        <v>0.09261369863</v>
      </c>
      <c r="S126" s="43">
        <f>VLOOKUP($A126,'Dados ClubeFII'!$A:$AU,column(S126)-$A$5,0)</f>
        <v>43444</v>
      </c>
      <c r="T126" s="41">
        <f>MID(VLOOKUP($A126,'Dados ClubeFII'!$A:$AU,column(T126)-$A$5,0),3,100)/1</f>
        <v>100</v>
      </c>
      <c r="U126" s="45">
        <f>VLOOKUP($A126,'Dados ClubeFII'!$A:$AU,column(U126)-$A$5,0)/mid(VLOOKUP($A126,'Dados ClubeFII'!$A:$AU,2,0),4,SEARCH(",",VLOOKUP($A126,'Dados ClubeFII'!$A:$AU,2,0))-1)*B126</f>
        <v>-1.294337368</v>
      </c>
      <c r="V126" s="42">
        <f>VLOOKUP($A126,'Dados ClubeFII'!$A:$AU,column(V126)-$A$5,0)</f>
        <v>0</v>
      </c>
      <c r="W126" s="43">
        <f>VLOOKUP($A126,'Dados ClubeFII'!$A:$AU,column(W126)-$A$5,0)</f>
        <v>44957</v>
      </c>
      <c r="X126" s="45">
        <f>VLOOKUP($A126,'Dados ClubeFII'!$A:$AU,column(X126)-$A$5,0)</f>
        <v>0.0137</v>
      </c>
      <c r="Y126" s="41">
        <f>MID(VLOOKUP($A126,'Dados ClubeFII'!$A:$AU,column(Y126)-$A$5,0),3,100)/1</f>
        <v>2271334.66</v>
      </c>
      <c r="Z126" s="46">
        <f>VLOOKUP($A126,'Dados ClubeFII'!$A:$AU,column(Z126)-$A$5,0)</f>
        <v>157293</v>
      </c>
      <c r="AA126" s="47">
        <f t="shared" si="2"/>
        <v>15117238</v>
      </c>
      <c r="AB126" s="48">
        <f t="shared" si="3"/>
        <v>111.1629584</v>
      </c>
      <c r="AC126" s="48"/>
      <c r="AD126" s="48"/>
      <c r="AE126" s="48"/>
    </row>
    <row r="127">
      <c r="A127" s="49" t="s">
        <v>150</v>
      </c>
      <c r="B127" s="38">
        <f>IFERROR(__xludf.DUMMYFUNCTION("GOOGLEFINANCE(A127)"),680.0)</f>
        <v>680</v>
      </c>
      <c r="C127" s="38">
        <f>IFERROR(__xludf.DUMMYFUNCTION("GOOGLEFINANCE($A127,""high52"")"),829.54)</f>
        <v>829.54</v>
      </c>
      <c r="D127" s="39">
        <f t="shared" si="4"/>
        <v>-0.1802685826</v>
      </c>
      <c r="E127" s="40" t="str">
        <f>VLOOKUP($A127,'Dados ClubeFII'!$A:$AU,column(E127)-$A$5,0)</f>
        <v>Shopping Pátio Higienópolis</v>
      </c>
      <c r="F127" s="40" t="str">
        <f>VLOOKUP($A127,'Dados ClubeFII'!$A:$AU,column(F127)-$A$5,0)</f>
        <v>RIO BRAVO</v>
      </c>
      <c r="G127" s="40" t="str">
        <f>VLOOKUP($A127,'Dados ClubeFII'!$A:$AU,column(G127)-$A$5,0)</f>
        <v>Shopping/Varejo</v>
      </c>
      <c r="H127" s="41">
        <f>MID(VLOOKUP($A127,'Dados ClubeFII'!$A:$AU,COLUMN(H127)-$A$5,0),3,100)/MID(VLOOKUP($A127,'Dados ClubeFII'!$A:$AU,2,0),3,SEARCH(",",VLOOKUP($A127,'Dados ClubeFII'!$A:$AU,2,0)))*B127</f>
        <v>406387949.5</v>
      </c>
      <c r="I127" s="41">
        <f>MID(VLOOKUP($A127,'Dados ClubeFII'!$A:$AU,column(I127)-$A$5,0),3,100)/1</f>
        <v>544656433.7</v>
      </c>
      <c r="J127" s="42">
        <f>VLOOKUP($A127,'Dados ClubeFII'!$A:$AU,column(J127)-$A$5,0)/mid(VLOOKUP($A127,'Dados ClubeFII'!$A:$AU,2,0),3,SEARCH(",",VLOOKUP($A127,'Dados ClubeFII'!$A:$AU,2,0)))*B127</f>
        <v>0.7436185214</v>
      </c>
      <c r="K127" s="41">
        <f>if(VLOOKUP($A127,'Dados ClubeFII'!$A:$AU,column(K127)-$A$5,0)="N/D",0,MID(VLOOKUP($A127,'Dados ClubeFII'!$A:$AU,column(K127)-$A$5,0),3,100)/1)/mid(VLOOKUP($A127,'Dados ClubeFII'!$A:$AU,2,0),3,SEARCH(",",VLOOKUP($A127,'Dados ClubeFII'!$A:$AU,2,0)))*B127</f>
        <v>46375.43642</v>
      </c>
      <c r="L127" s="41">
        <f>if(VLOOKUP($A127,'Dados ClubeFII'!$A:$AU,column(L127)-$A$5,0)="N/D",0,MID(VLOOKUP($A127,'Dados ClubeFII'!$A:$AU,column(L127)-$A$5,0),3,100)/1)</f>
        <v>62154.11</v>
      </c>
      <c r="M127" s="41">
        <f>MID(VLOOKUP($A127,'Dados ClubeFII'!$A:$AU,column(M127)-$A$5,0),3,100)/1</f>
        <v>3.4</v>
      </c>
      <c r="N127" s="41">
        <f>MID(VLOOKUP($A127,'Dados ClubeFII'!$A:$AU,column(N127)-$A$5,0),3,100)/1</f>
        <v>236.27</v>
      </c>
      <c r="O127" s="41">
        <f>LEFT(VLOOKUP($A127,'Dados ClubeFII'!$A:$AU,column(O127)-$A$5,0),len(VLOOKUP($A127,'Dados ClubeFII'!$A:$AU,column(O127)-$A$5,0))-2)/1</f>
        <v>8763</v>
      </c>
      <c r="P127" s="43">
        <f>VLOOKUP($A127,'Dados ClubeFII'!$A:$AU,column(P127)-$A$5,0)</f>
        <v>44972</v>
      </c>
      <c r="Q127" s="44">
        <f>VLOOKUP($A127,'Dados ClubeFII'!$A:$AU,column(Q127)-$A$5,0)/mid(VLOOKUP($A127,'Dados ClubeFII'!$A:$AU,2,0),3,SEARCH(",",VLOOKUP($A127,'Dados ClubeFII'!$A:$AU,2,0)))*B127</f>
        <v>0.06017439351</v>
      </c>
      <c r="R127" s="44">
        <f>VLOOKUP($A127,'Dados ClubeFII'!$A:$AU,column(R127)-$A$5,0)/mid(VLOOKUP($A127,'Dados ClubeFII'!$A:$AU,2,0),3,SEARCH(",",VLOOKUP($A127,'Dados ClubeFII'!$A:$AU,2,0)))*B127</f>
        <v>0.06203343981</v>
      </c>
      <c r="S127" s="43">
        <f>VLOOKUP($A127,'Dados ClubeFII'!$A:$AU,column(S127)-$A$5,0)</f>
        <v>37834</v>
      </c>
      <c r="T127" s="41">
        <f>MID(VLOOKUP($A127,'Dados ClubeFII'!$A:$AU,column(T127)-$A$5,0),3,100)/1</f>
        <v>100</v>
      </c>
      <c r="U127" s="45">
        <f>VLOOKUP($A127,'Dados ClubeFII'!$A:$AU,column(U127)-$A$5,0)/mid(VLOOKUP($A127,'Dados ClubeFII'!$A:$AU,2,0),4,SEARCH(",",VLOOKUP($A127,'Dados ClubeFII'!$A:$AU,2,0))-1)*B127</f>
        <v>-0.5290798063</v>
      </c>
      <c r="V127" s="42">
        <f>VLOOKUP($A127,'Dados ClubeFII'!$A:$AU,column(V127)-$A$5,0)</f>
        <v>0.089</v>
      </c>
      <c r="W127" s="43" t="str">
        <f>VLOOKUP($A127,'Dados ClubeFII'!$A:$AU,column(W127)-$A$5,0)</f>
        <v>N/D</v>
      </c>
      <c r="X127" s="45">
        <f>VLOOKUP($A127,'Dados ClubeFII'!$A:$AU,column(X127)-$A$5,0)</f>
        <v>0</v>
      </c>
      <c r="Y127" s="41">
        <f>MID(VLOOKUP($A127,'Dados ClubeFII'!$A:$AU,column(Y127)-$A$5,0),3,100)/1</f>
        <v>124945.87</v>
      </c>
      <c r="Z127" s="46">
        <f>VLOOKUP($A127,'Dados ClubeFII'!$A:$AU,column(Z127)-$A$5,0)</f>
        <v>2598</v>
      </c>
      <c r="AA127" s="47">
        <f t="shared" si="2"/>
        <v>597629</v>
      </c>
      <c r="AB127" s="48">
        <f t="shared" si="3"/>
        <v>911.3621221</v>
      </c>
      <c r="AC127" s="48"/>
      <c r="AD127" s="48"/>
      <c r="AE127" s="48"/>
    </row>
    <row r="128">
      <c r="A128" s="37" t="s">
        <v>151</v>
      </c>
      <c r="B128" s="38">
        <f>IFERROR(__xludf.DUMMYFUNCTION("GOOGLEFINANCE(A128)"),78.04)</f>
        <v>78.04</v>
      </c>
      <c r="C128" s="38">
        <f>IFERROR(__xludf.DUMMYFUNCTION("GOOGLEFINANCE($A128,""high52"")"),88.27)</f>
        <v>88.27</v>
      </c>
      <c r="D128" s="39">
        <f t="shared" si="4"/>
        <v>-0.1158944149</v>
      </c>
      <c r="E128" s="40" t="str">
        <f>VLOOKUP($A128,'Dados ClubeFII'!$A:$AU,column(E128)-$A$5,0)</f>
        <v>Kinea Fundo de Fundos</v>
      </c>
      <c r="F128" s="40" t="str">
        <f>VLOOKUP($A128,'Dados ClubeFII'!$A:$AU,column(F128)-$A$5,0)</f>
        <v>KINEA</v>
      </c>
      <c r="G128" s="40" t="str">
        <f>VLOOKUP($A128,'Dados ClubeFII'!$A:$AU,column(G128)-$A$5,0)</f>
        <v>Fundo de Fundos</v>
      </c>
      <c r="H128" s="41">
        <f>MID(VLOOKUP($A128,'Dados ClubeFII'!$A:$AU,column(H128)-$A$5,0),3,100)/mid(VLOOKUP($A128,'Dados ClubeFII'!$A:$AU,2,0),4,SEARCH(",",VLOOKUP($A128,'Dados ClubeFII'!$A:$AU,2,0))-1)*B128</f>
        <v>4971847819</v>
      </c>
      <c r="I128" s="41">
        <f>MID(VLOOKUP($A128,'Dados ClubeFII'!$A:$AU,column(I128)-$A$5,0),3,100)/1</f>
        <v>399581482.7</v>
      </c>
      <c r="J128" s="42">
        <f>VLOOKUP($A128,'Dados ClubeFII'!$A:$AU,column(J128)-$A$5,0)/mid(VLOOKUP($A128,'Dados ClubeFII'!$A:$AU,2,0),3,SEARCH(",",VLOOKUP($A128,'Dados ClubeFII'!$A:$AU,2,0)))*B128</f>
        <v>0.8898753646</v>
      </c>
      <c r="K128" s="41">
        <f>if(VLOOKUP($A128,'Dados ClubeFII'!$A:$AU,column(K128)-$A$5,0)="N/D",0,MID(VLOOKUP($A128,'Dados ClubeFII'!$A:$AU,column(K128)-$A$5,0),3,100)/1)/mid(VLOOKUP($A128,'Dados ClubeFII'!$A:$AU,2,0),3,SEARCH(",",VLOOKUP($A128,'Dados ClubeFII'!$A:$AU,2,0)))*B128</f>
        <v>0</v>
      </c>
      <c r="L128" s="41">
        <f>if(VLOOKUP($A128,'Dados ClubeFII'!$A:$AU,column(L128)-$A$5,0)="N/D",0,MID(VLOOKUP($A128,'Dados ClubeFII'!$A:$AU,column(L128)-$A$5,0),3,100)/1)</f>
        <v>0</v>
      </c>
      <c r="M128" s="41">
        <f>MID(VLOOKUP($A128,'Dados ClubeFII'!$A:$AU,column(M128)-$A$5,0),3,100)/1</f>
        <v>0.72</v>
      </c>
      <c r="N128" s="41">
        <f>MID(VLOOKUP($A128,'Dados ClubeFII'!$A:$AU,column(N128)-$A$5,0),3,100)/1</f>
        <v>0</v>
      </c>
      <c r="O128" s="41">
        <f>LEFT(VLOOKUP($A128,'Dados ClubeFII'!$A:$AU,column(O128)-$A$5,0),len(VLOOKUP($A128,'Dados ClubeFII'!$A:$AU,column(O128)-$A$5,0))-2)/1</f>
        <v>0</v>
      </c>
      <c r="P128" s="43">
        <f>VLOOKUP($A128,'Dados ClubeFII'!$A:$AU,column(P128)-$A$5,0)</f>
        <v>44971</v>
      </c>
      <c r="Q128" s="44">
        <f>VLOOKUP($A128,'Dados ClubeFII'!$A:$AU,column(Q128)-$A$5,0)/mid(VLOOKUP($A128,'Dados ClubeFII'!$A:$AU,2,0),3,SEARCH(",",VLOOKUP($A128,'Dados ClubeFII'!$A:$AU,2,0)))*B128</f>
        <v>0.1236512861</v>
      </c>
      <c r="R128" s="44">
        <f>VLOOKUP($A128,'Dados ClubeFII'!$A:$AU,column(R128)-$A$5,0)/mid(VLOOKUP($A128,'Dados ClubeFII'!$A:$AU,2,0),3,SEARCH(",",VLOOKUP($A128,'Dados ClubeFII'!$A:$AU,2,0)))*B128</f>
        <v>0.1139247414</v>
      </c>
      <c r="S128" s="43">
        <f>VLOOKUP($A128,'Dados ClubeFII'!$A:$AU,column(S128)-$A$5,0)</f>
        <v>43487</v>
      </c>
      <c r="T128" s="41">
        <f>MID(VLOOKUP($A128,'Dados ClubeFII'!$A:$AU,column(T128)-$A$5,0),3,100)/1</f>
        <v>100</v>
      </c>
      <c r="U128" s="45">
        <f>VLOOKUP($A128,'Dados ClubeFII'!$A:$AU,column(U128)-$A$5,0)/mid(VLOOKUP($A128,'Dados ClubeFII'!$A:$AU,2,0),4,SEARCH(",",VLOOKUP($A128,'Dados ClubeFII'!$A:$AU,2,0))-1)*B128</f>
        <v>-0.4132376384</v>
      </c>
      <c r="V128" s="42" t="str">
        <f>VLOOKUP($A128,'Dados ClubeFII'!$A:$AU,column(V128)-$A$5,0)</f>
        <v>N/D</v>
      </c>
      <c r="W128" s="43" t="str">
        <f>VLOOKUP($A128,'Dados ClubeFII'!$A:$AU,column(W128)-$A$5,0)</f>
        <v>N/D</v>
      </c>
      <c r="X128" s="45">
        <f>VLOOKUP($A128,'Dados ClubeFII'!$A:$AU,column(X128)-$A$5,0)</f>
        <v>0.0032</v>
      </c>
      <c r="Y128" s="41">
        <f>MID(VLOOKUP($A128,'Dados ClubeFII'!$A:$AU,column(Y128)-$A$5,0),3,100)/1</f>
        <v>719277.69</v>
      </c>
      <c r="Z128" s="46">
        <f>VLOOKUP($A128,'Dados ClubeFII'!$A:$AU,column(Z128)-$A$5,0)</f>
        <v>12384</v>
      </c>
      <c r="AA128" s="47">
        <f t="shared" si="2"/>
        <v>63708967</v>
      </c>
      <c r="AB128" s="48">
        <f t="shared" si="3"/>
        <v>6.271981818</v>
      </c>
      <c r="AC128" s="48"/>
      <c r="AD128" s="48"/>
      <c r="AE128" s="48"/>
    </row>
    <row r="129">
      <c r="A129" s="37" t="s">
        <v>152</v>
      </c>
      <c r="B129" s="38">
        <f>IFERROR(__xludf.DUMMYFUNCTION("GOOGLEFINANCE(A129)"),92.3)</f>
        <v>92.3</v>
      </c>
      <c r="C129" s="38">
        <f>IFERROR(__xludf.DUMMYFUNCTION("GOOGLEFINANCE($A129,""high52"")"),110.6)</f>
        <v>110.6</v>
      </c>
      <c r="D129" s="39">
        <f t="shared" si="4"/>
        <v>-0.1654611212</v>
      </c>
      <c r="E129" s="40" t="str">
        <f>VLOOKUP($A129,'Dados ClubeFII'!$A:$AU,column(E129)-$A$5,0)</f>
        <v>Bresco Logística</v>
      </c>
      <c r="F129" s="40" t="str">
        <f>VLOOKUP($A129,'Dados ClubeFII'!$A:$AU,column(F129)-$A$5,0)</f>
        <v>Bresco</v>
      </c>
      <c r="G129" s="40" t="str">
        <f>VLOOKUP($A129,'Dados ClubeFII'!$A:$AU,column(G129)-$A$5,0)</f>
        <v>Logisticos</v>
      </c>
      <c r="H129" s="41">
        <f>MID(VLOOKUP($A129,'Dados ClubeFII'!$A:$AU,COLUMN(H129)-$A$5,0),3,100)/MID(VLOOKUP($A129,'Dados ClubeFII'!$A:$AU,2,0),3,SEARCH(",",VLOOKUP($A129,'Dados ClubeFII'!$A:$AU,2,0)))*B129</f>
        <v>1372900028</v>
      </c>
      <c r="I129" s="41">
        <f>MID(VLOOKUP($A129,'Dados ClubeFII'!$A:$AU,column(I129)-$A$5,0),3,100)/1</f>
        <v>1794750560</v>
      </c>
      <c r="J129" s="42">
        <f>VLOOKUP($A129,'Dados ClubeFII'!$A:$AU,column(J129)-$A$5,0)/mid(VLOOKUP($A129,'Dados ClubeFII'!$A:$AU,2,0),3,SEARCH(",",VLOOKUP($A129,'Dados ClubeFII'!$A:$AU,2,0)))*B129</f>
        <v>0.7657687749</v>
      </c>
      <c r="K129" s="41">
        <f>if(VLOOKUP($A129,'Dados ClubeFII'!$A:$AU,column(K129)-$A$5,0)="N/D",0,MID(VLOOKUP($A129,'Dados ClubeFII'!$A:$AU,column(K129)-$A$5,0),3,100)/1)/mid(VLOOKUP($A129,'Dados ClubeFII'!$A:$AU,2,0),3,SEARCH(",",VLOOKUP($A129,'Dados ClubeFII'!$A:$AU,2,0)))*B129</f>
        <v>3078.251244</v>
      </c>
      <c r="L129" s="41">
        <f>if(VLOOKUP($A129,'Dados ClubeFII'!$A:$AU,column(L129)-$A$5,0)="N/D",0,MID(VLOOKUP($A129,'Dados ClubeFII'!$A:$AU,column(L129)-$A$5,0),3,100)/1)</f>
        <v>4024.1</v>
      </c>
      <c r="M129" s="41">
        <f>MID(VLOOKUP($A129,'Dados ClubeFII'!$A:$AU,column(M129)-$A$5,0),3,100)/1</f>
        <v>0.62</v>
      </c>
      <c r="N129" s="41">
        <f>MID(VLOOKUP($A129,'Dados ClubeFII'!$A:$AU,column(N129)-$A$5,0),3,100)/1</f>
        <v>20.54</v>
      </c>
      <c r="O129" s="41">
        <f>LEFT(VLOOKUP($A129,'Dados ClubeFII'!$A:$AU,column(O129)-$A$5,0),len(VLOOKUP($A129,'Dados ClubeFII'!$A:$AU,column(O129)-$A$5,0))-2)/1</f>
        <v>446000</v>
      </c>
      <c r="P129" s="43">
        <f>VLOOKUP($A129,'Dados ClubeFII'!$A:$AU,column(P129)-$A$5,0)</f>
        <v>44971</v>
      </c>
      <c r="Q129" s="44">
        <f>VLOOKUP($A129,'Dados ClubeFII'!$A:$AU,column(Q129)-$A$5,0)/mid(VLOOKUP($A129,'Dados ClubeFII'!$A:$AU,2,0),3,SEARCH(",",VLOOKUP($A129,'Dados ClubeFII'!$A:$AU,2,0)))*B129</f>
        <v>0.08214610495</v>
      </c>
      <c r="R129" s="44">
        <f>VLOOKUP($A129,'Dados ClubeFII'!$A:$AU,column(R129)-$A$5,0)/mid(VLOOKUP($A129,'Dados ClubeFII'!$A:$AU,2,0),3,SEARCH(",",VLOOKUP($A129,'Dados ClubeFII'!$A:$AU,2,0)))*B129</f>
        <v>0.08552742161</v>
      </c>
      <c r="S129" s="43">
        <f>VLOOKUP($A129,'Dados ClubeFII'!$A:$AU,column(S129)-$A$5,0)</f>
        <v>43804</v>
      </c>
      <c r="T129" s="41">
        <f>MID(VLOOKUP($A129,'Dados ClubeFII'!$A:$AU,column(T129)-$A$5,0),3,100)/1</f>
        <v>100</v>
      </c>
      <c r="U129" s="45">
        <f>VLOOKUP($A129,'Dados ClubeFII'!$A:$AU,column(U129)-$A$5,0)/mid(VLOOKUP($A129,'Dados ClubeFII'!$A:$AU,2,0),4,SEARCH(",",VLOOKUP($A129,'Dados ClubeFII'!$A:$AU,2,0))-1)*B129</f>
        <v>-1.639064057</v>
      </c>
      <c r="V129" s="42">
        <f>VLOOKUP($A129,'Dados ClubeFII'!$A:$AU,column(V129)-$A$5,0)</f>
        <v>0.12</v>
      </c>
      <c r="W129" s="43">
        <f>VLOOKUP($A129,'Dados ClubeFII'!$A:$AU,column(W129)-$A$5,0)</f>
        <v>44957</v>
      </c>
      <c r="X129" s="45">
        <f>VLOOKUP($A129,'Dados ClubeFII'!$A:$AU,column(X129)-$A$5,0)</f>
        <v>0.0133</v>
      </c>
      <c r="Y129" s="41">
        <f>MID(VLOOKUP($A129,'Dados ClubeFII'!$A:$AU,column(Y129)-$A$5,0),3,100)/1</f>
        <v>2944645.37</v>
      </c>
      <c r="Z129" s="46">
        <f>VLOOKUP($A129,'Dados ClubeFII'!$A:$AU,column(Z129)-$A$5,0)</f>
        <v>112470</v>
      </c>
      <c r="AA129" s="47">
        <f t="shared" si="2"/>
        <v>14874323</v>
      </c>
      <c r="AB129" s="48">
        <f t="shared" si="3"/>
        <v>120.6609914</v>
      </c>
      <c r="AC129" s="48"/>
      <c r="AD129" s="48"/>
      <c r="AE129" s="48"/>
    </row>
    <row r="130">
      <c r="A130" s="37" t="s">
        <v>153</v>
      </c>
      <c r="B130" s="38">
        <f>IFERROR(__xludf.DUMMYFUNCTION("GOOGLEFINANCE(A130)"),98.99)</f>
        <v>98.99</v>
      </c>
      <c r="C130" s="38">
        <f>IFERROR(__xludf.DUMMYFUNCTION("GOOGLEFINANCE($A130,""high52"")"),116.98)</f>
        <v>116.98</v>
      </c>
      <c r="D130" s="39">
        <f t="shared" si="4"/>
        <v>-0.1537869721</v>
      </c>
      <c r="E130" s="40" t="str">
        <f>VLOOKUP($A130,'Dados ClubeFII'!$A:$AU,column(E130)-$A$5,0)</f>
        <v>Hospital Unimed Sul Capixaba</v>
      </c>
      <c r="F130" s="40" t="str">
        <f>VLOOKUP($A130,'Dados ClubeFII'!$A:$AU,column(F130)-$A$5,0)</f>
        <v>RIO BRAVO</v>
      </c>
      <c r="G130" s="40" t="str">
        <f>VLOOKUP($A130,'Dados ClubeFII'!$A:$AU,column(G130)-$A$5,0)</f>
        <v>Hospital</v>
      </c>
      <c r="H130" s="41">
        <f>MID(VLOOKUP($A130,'Dados ClubeFII'!$A:$AU,column(H130)-$A$5,0),3,100)/mid(VLOOKUP($A130,'Dados ClubeFII'!$A:$AU,2,0),4,SEARCH(",",VLOOKUP($A130,'Dados ClubeFII'!$A:$AU,2,0))-1)*B130</f>
        <v>2050252895</v>
      </c>
      <c r="I130" s="41">
        <f>MID(VLOOKUP($A130,'Dados ClubeFII'!$A:$AU,column(I130)-$A$5,0),3,100)/1</f>
        <v>116621564.5</v>
      </c>
      <c r="J130" s="42">
        <f>VLOOKUP($A130,'Dados ClubeFII'!$A:$AU,column(J130)-$A$5,0)/mid(VLOOKUP($A130,'Dados ClubeFII'!$A:$AU,2,0),3,SEARCH(",",VLOOKUP($A130,'Dados ClubeFII'!$A:$AU,2,0)))*B130</f>
        <v>0.6758621021</v>
      </c>
      <c r="K130" s="41">
        <f>if(VLOOKUP($A130,'Dados ClubeFII'!$A:$AU,column(K130)-$A$5,0)="N/D",0,MID(VLOOKUP($A130,'Dados ClubeFII'!$A:$AU,column(K130)-$A$5,0),3,100)/1)/mid(VLOOKUP($A130,'Dados ClubeFII'!$A:$AU,2,0),3,SEARCH(",",VLOOKUP($A130,'Dados ClubeFII'!$A:$AU,2,0)))*B130</f>
        <v>6795.05094</v>
      </c>
      <c r="L130" s="41">
        <f>if(VLOOKUP($A130,'Dados ClubeFII'!$A:$AU,column(L130)-$A$5,0)="N/D",0,MID(VLOOKUP($A130,'Dados ClubeFII'!$A:$AU,column(L130)-$A$5,0),3,100)/1)</f>
        <v>10073.56</v>
      </c>
      <c r="M130" s="41">
        <f>MID(VLOOKUP($A130,'Dados ClubeFII'!$A:$AU,column(M130)-$A$5,0),3,100)/1</f>
        <v>0.87</v>
      </c>
      <c r="N130" s="41">
        <f>MID(VLOOKUP($A130,'Dados ClubeFII'!$A:$AU,column(N130)-$A$5,0),3,100)/1</f>
        <v>59.71</v>
      </c>
      <c r="O130" s="41">
        <f>LEFT(VLOOKUP($A130,'Dados ClubeFII'!$A:$AU,column(O130)-$A$5,0),len(VLOOKUP($A130,'Dados ClubeFII'!$A:$AU,column(O130)-$A$5,0))-2)/1</f>
        <v>11577</v>
      </c>
      <c r="P130" s="43">
        <f>VLOOKUP($A130,'Dados ClubeFII'!$A:$AU,column(P130)-$A$5,0)</f>
        <v>44972</v>
      </c>
      <c r="Q130" s="44">
        <f>VLOOKUP($A130,'Dados ClubeFII'!$A:$AU,column(Q130)-$A$5,0)/mid(VLOOKUP($A130,'Dados ClubeFII'!$A:$AU,2,0),3,SEARCH(",",VLOOKUP($A130,'Dados ClubeFII'!$A:$AU,2,0)))*B130</f>
        <v>0.1000466295</v>
      </c>
      <c r="R130" s="44">
        <f>VLOOKUP($A130,'Dados ClubeFII'!$A:$AU,column(R130)-$A$5,0)/mid(VLOOKUP($A130,'Dados ClubeFII'!$A:$AU,2,0),3,SEARCH(",",VLOOKUP($A130,'Dados ClubeFII'!$A:$AU,2,0)))*B130</f>
        <v>0.09404954323</v>
      </c>
      <c r="S130" s="43">
        <f>VLOOKUP($A130,'Dados ClubeFII'!$A:$AU,column(S130)-$A$5,0)</f>
        <v>43220</v>
      </c>
      <c r="T130" s="41">
        <f>MID(VLOOKUP($A130,'Dados ClubeFII'!$A:$AU,column(T130)-$A$5,0),3,100)/1</f>
        <v>100</v>
      </c>
      <c r="U130" s="45">
        <f>VLOOKUP($A130,'Dados ClubeFII'!$A:$AU,column(U130)-$A$5,0)/mid(VLOOKUP($A130,'Dados ClubeFII'!$A:$AU,2,0),4,SEARCH(",",VLOOKUP($A130,'Dados ClubeFII'!$A:$AU,2,0))-1)*B130</f>
        <v>-0.2232857143</v>
      </c>
      <c r="V130" s="42" t="str">
        <f>VLOOKUP($A130,'Dados ClubeFII'!$A:$AU,column(V130)-$A$5,0)</f>
        <v>N/D</v>
      </c>
      <c r="W130" s="43" t="str">
        <f>VLOOKUP($A130,'Dados ClubeFII'!$A:$AU,column(W130)-$A$5,0)</f>
        <v>N/D</v>
      </c>
      <c r="X130" s="45">
        <f>VLOOKUP($A130,'Dados ClubeFII'!$A:$AU,column(X130)-$A$5,0)</f>
        <v>0</v>
      </c>
      <c r="Y130" s="41">
        <f>MID(VLOOKUP($A130,'Dados ClubeFII'!$A:$AU,column(Y130)-$A$5,0),3,100)/1</f>
        <v>6854.4</v>
      </c>
      <c r="Z130" s="46">
        <f>VLOOKUP($A130,'Dados ClubeFII'!$A:$AU,column(Z130)-$A$5,0)</f>
        <v>758</v>
      </c>
      <c r="AA130" s="47">
        <f t="shared" si="2"/>
        <v>20711717</v>
      </c>
      <c r="AB130" s="48">
        <f t="shared" si="3"/>
        <v>5.63070481</v>
      </c>
      <c r="AC130" s="17"/>
      <c r="AD130" s="17"/>
      <c r="AE130" s="17"/>
    </row>
    <row r="131">
      <c r="A131" s="49" t="s">
        <v>154</v>
      </c>
      <c r="B131" s="38">
        <f>IFERROR(__xludf.DUMMYFUNCTION("GOOGLEFINANCE(A131)"),51.49)</f>
        <v>51.49</v>
      </c>
      <c r="C131" s="38">
        <f>IFERROR(__xludf.DUMMYFUNCTION("GOOGLEFINANCE($A131,""high52"")"),55.46)</f>
        <v>55.46</v>
      </c>
      <c r="D131" s="39">
        <f t="shared" si="4"/>
        <v>-0.07158312297</v>
      </c>
      <c r="E131" s="40" t="str">
        <f>VLOOKUP($A131,'Dados ClubeFII'!$A:$AU,column(E131)-$A$5,0)</f>
        <v>Parque Anhanguera</v>
      </c>
      <c r="F131" s="40" t="str">
        <f>VLOOKUP($A131,'Dados ClubeFII'!$A:$AU,column(F131)-$A$5,0)</f>
        <v>RB CAPITAL</v>
      </c>
      <c r="G131" s="40" t="str">
        <f>VLOOKUP($A131,'Dados ClubeFII'!$A:$AU,column(G131)-$A$5,0)</f>
        <v>Logisticos</v>
      </c>
      <c r="H131" s="41">
        <f>MID(VLOOKUP($A131,'Dados ClubeFII'!$A:$AU,COLUMN(H131)-$A$5,0),3,100)/MID(VLOOKUP($A131,'Dados ClubeFII'!$A:$AU,2,0),3,SEARCH(",",VLOOKUP($A131,'Dados ClubeFII'!$A:$AU,2,0)))*B131</f>
        <v>702926091.6</v>
      </c>
      <c r="I131" s="41">
        <f>MID(VLOOKUP($A131,'Dados ClubeFII'!$A:$AU,column(I131)-$A$5,0),3,100)/1</f>
        <v>800863763.1</v>
      </c>
      <c r="J131" s="42">
        <f>VLOOKUP($A131,'Dados ClubeFII'!$A:$AU,column(J131)-$A$5,0)/mid(VLOOKUP($A131,'Dados ClubeFII'!$A:$AU,2,0),3,SEARCH(",",VLOOKUP($A131,'Dados ClubeFII'!$A:$AU,2,0)))*B131</f>
        <v>0.8791907944</v>
      </c>
      <c r="K131" s="41">
        <f>if(VLOOKUP($A131,'Dados ClubeFII'!$A:$AU,column(K131)-$A$5,0)="N/D",0,MID(VLOOKUP($A131,'Dados ClubeFII'!$A:$AU,column(K131)-$A$5,0),3,100)/1)/mid(VLOOKUP($A131,'Dados ClubeFII'!$A:$AU,2,0),3,SEARCH(",",VLOOKUP($A131,'Dados ClubeFII'!$A:$AU,2,0)))*B131</f>
        <v>11051.25627</v>
      </c>
      <c r="L131" s="41">
        <f>if(VLOOKUP($A131,'Dados ClubeFII'!$A:$AU,column(L131)-$A$5,0)="N/D",0,MID(VLOOKUP($A131,'Dados ClubeFII'!$A:$AU,column(L131)-$A$5,0),3,100)/1)</f>
        <v>12591.01</v>
      </c>
      <c r="M131" s="41">
        <f>MID(VLOOKUP($A131,'Dados ClubeFII'!$A:$AU,column(M131)-$A$5,0),3,100)/1</f>
        <v>0.44</v>
      </c>
      <c r="N131" s="41">
        <f>MID(VLOOKUP($A131,'Dados ClubeFII'!$A:$AU,column(N131)-$A$5,0),3,100)/1</f>
        <v>96.79</v>
      </c>
      <c r="O131" s="41">
        <f>LEFT(VLOOKUP($A131,'Dados ClubeFII'!$A:$AU,column(O131)-$A$5,0),len(VLOOKUP($A131,'Dados ClubeFII'!$A:$AU,column(O131)-$A$5,0))-2)/1</f>
        <v>63606</v>
      </c>
      <c r="P131" s="43">
        <f>VLOOKUP($A131,'Dados ClubeFII'!$A:$AU,column(P131)-$A$5,0)</f>
        <v>44971</v>
      </c>
      <c r="Q131" s="44">
        <f>VLOOKUP($A131,'Dados ClubeFII'!$A:$AU,column(Q131)-$A$5,0)/mid(VLOOKUP($A131,'Dados ClubeFII'!$A:$AU,2,0),3,SEARCH(",",VLOOKUP($A131,'Dados ClubeFII'!$A:$AU,2,0)))*B131</f>
        <v>0.1005335561</v>
      </c>
      <c r="R131" s="44">
        <f>VLOOKUP($A131,'Dados ClubeFII'!$A:$AU,column(R131)-$A$5,0)/mid(VLOOKUP($A131,'Dados ClubeFII'!$A:$AU,2,0),3,SEARCH(",",VLOOKUP($A131,'Dados ClubeFII'!$A:$AU,2,0)))*B131</f>
        <v>0.09164608389</v>
      </c>
      <c r="S131" s="43">
        <f>VLOOKUP($A131,'Dados ClubeFII'!$A:$AU,column(S131)-$A$5,0)</f>
        <v>44042</v>
      </c>
      <c r="T131" s="41">
        <f>MID(VLOOKUP($A131,'Dados ClubeFII'!$A:$AU,column(T131)-$A$5,0),3,100)/1</f>
        <v>100</v>
      </c>
      <c r="U131" s="45">
        <f>VLOOKUP($A131,'Dados ClubeFII'!$A:$AU,column(U131)-$A$5,0)/mid(VLOOKUP($A131,'Dados ClubeFII'!$A:$AU,2,0),4,SEARCH(",",VLOOKUP($A131,'Dados ClubeFII'!$A:$AU,2,0))-1)*B131</f>
        <v>-0.6847639175</v>
      </c>
      <c r="V131" s="42">
        <f>VLOOKUP($A131,'Dados ClubeFII'!$A:$AU,column(V131)-$A$5,0)</f>
        <v>0</v>
      </c>
      <c r="W131" s="43" t="str">
        <f>VLOOKUP($A131,'Dados ClubeFII'!$A:$AU,column(W131)-$A$5,0)</f>
        <v>N/D</v>
      </c>
      <c r="X131" s="45">
        <f>VLOOKUP($A131,'Dados ClubeFII'!$A:$AU,column(X131)-$A$5,0)</f>
        <v>0</v>
      </c>
      <c r="Y131" s="41">
        <f>MID(VLOOKUP($A131,'Dados ClubeFII'!$A:$AU,column(Y131)-$A$5,0),3,100)/1</f>
        <v>9013.69</v>
      </c>
      <c r="Z131" s="46">
        <f>VLOOKUP($A131,'Dados ClubeFII'!$A:$AU,column(Z131)-$A$5,0)</f>
        <v>465</v>
      </c>
      <c r="AA131" s="47">
        <f t="shared" si="2"/>
        <v>13651701</v>
      </c>
      <c r="AB131" s="48">
        <f t="shared" si="3"/>
        <v>58.66402752</v>
      </c>
      <c r="AC131" s="17"/>
      <c r="AD131" s="17"/>
      <c r="AE131" s="17"/>
    </row>
    <row r="132">
      <c r="A132" s="49" t="s">
        <v>155</v>
      </c>
      <c r="B132" s="38" t="str">
        <f>IFERROR(__xludf.DUMMYFUNCTION("GOOGLEFINANCE(A132)"),"#N/A")</f>
        <v>#N/A</v>
      </c>
      <c r="C132" s="38" t="str">
        <f>IFERROR(__xludf.DUMMYFUNCTION("GOOGLEFINANCE($A132,""high52"")"),"#N/A")</f>
        <v>#N/A</v>
      </c>
      <c r="D132" s="39" t="str">
        <f t="shared" si="4"/>
        <v>#N/A</v>
      </c>
      <c r="E132" s="40" t="str">
        <f>VLOOKUP($A132,'Dados ClubeFII'!$A:$AU,column(E132)-$A$5,0)</f>
        <v>#N/A</v>
      </c>
      <c r="F132" s="40" t="str">
        <f>VLOOKUP($A132,'Dados ClubeFII'!$A:$AU,column(F132)-$A$5,0)</f>
        <v>#N/A</v>
      </c>
      <c r="G132" s="40" t="str">
        <f>VLOOKUP($A132,'Dados ClubeFII'!$A:$AU,column(G132)-$A$5,0)</f>
        <v>#N/A</v>
      </c>
      <c r="H132" s="41" t="str">
        <f>MID(VLOOKUP($A132,'Dados ClubeFII'!$A:$AU,column(H132)-$A$5,0),3,100)/mid(VLOOKUP($A132,'Dados ClubeFII'!$A:$AU,2,0),4,SEARCH(",",VLOOKUP($A132,'Dados ClubeFII'!$A:$AU,2,0))-1)*B132</f>
        <v>#N/A</v>
      </c>
      <c r="I132" s="41" t="str">
        <f>MID(VLOOKUP($A132,'Dados ClubeFII'!$A:$AU,column(I132)-$A$5,0),3,100)/1</f>
        <v>#N/A</v>
      </c>
      <c r="J132" s="42" t="str">
        <f>VLOOKUP($A132,'Dados ClubeFII'!$A:$AU,column(J132)-$A$5,0)/mid(VLOOKUP($A132,'Dados ClubeFII'!$A:$AU,2,0),3,SEARCH(",",VLOOKUP($A132,'Dados ClubeFII'!$A:$AU,2,0)))*B132</f>
        <v>#N/A</v>
      </c>
      <c r="K132" s="41" t="str">
        <f>if(VLOOKUP($A132,'Dados ClubeFII'!$A:$AU,column(K132)-$A$5,0)="N/D",0,MID(VLOOKUP($A132,'Dados ClubeFII'!$A:$AU,column(K132)-$A$5,0),3,100)/1)/mid(VLOOKUP($A132,'Dados ClubeFII'!$A:$AU,2,0),3,SEARCH(",",VLOOKUP($A132,'Dados ClubeFII'!$A:$AU,2,0)))*B132</f>
        <v>#N/A</v>
      </c>
      <c r="L132" s="41" t="str">
        <f>if(VLOOKUP($A132,'Dados ClubeFII'!$A:$AU,column(L132)-$A$5,0)="N/D",0,MID(VLOOKUP($A132,'Dados ClubeFII'!$A:$AU,column(L132)-$A$5,0),3,100)/1)</f>
        <v>#N/A</v>
      </c>
      <c r="M132" s="41" t="str">
        <f>MID(VLOOKUP($A132,'Dados ClubeFII'!$A:$AU,column(M132)-$A$5,0),3,100)/1</f>
        <v>#N/A</v>
      </c>
      <c r="N132" s="41" t="str">
        <f>MID(VLOOKUP($A132,'Dados ClubeFII'!$A:$AU,column(N132)-$A$5,0),3,100)/1</f>
        <v>#N/A</v>
      </c>
      <c r="O132" s="41" t="str">
        <f>LEFT(VLOOKUP($A132,'Dados ClubeFII'!$A:$AU,column(O132)-$A$5,0),len(VLOOKUP($A132,'Dados ClubeFII'!$A:$AU,column(O132)-$A$5,0))-2)/1</f>
        <v>#N/A</v>
      </c>
      <c r="P132" s="43" t="str">
        <f>VLOOKUP($A132,'Dados ClubeFII'!$A:$AU,column(P132)-$A$5,0)</f>
        <v>#N/A</v>
      </c>
      <c r="Q132" s="44" t="str">
        <f>VLOOKUP($A132,'Dados ClubeFII'!$A:$AU,column(Q132)-$A$5,0)/mid(VLOOKUP($A132,'Dados ClubeFII'!$A:$AU,2,0),3,SEARCH(",",VLOOKUP($A132,'Dados ClubeFII'!$A:$AU,2,0)))*B132</f>
        <v>#N/A</v>
      </c>
      <c r="R132" s="44" t="str">
        <f>VLOOKUP($A132,'Dados ClubeFII'!$A:$AU,column(R132)-$A$5,0)/mid(VLOOKUP($A132,'Dados ClubeFII'!$A:$AU,2,0),3,SEARCH(",",VLOOKUP($A132,'Dados ClubeFII'!$A:$AU,2,0)))*B132</f>
        <v>#N/A</v>
      </c>
      <c r="S132" s="43" t="str">
        <f>VLOOKUP($A132,'Dados ClubeFII'!$A:$AU,column(S132)-$A$5,0)</f>
        <v>#N/A</v>
      </c>
      <c r="T132" s="41" t="str">
        <f>MID(VLOOKUP($A132,'Dados ClubeFII'!$A:$AU,column(T132)-$A$5,0),3,100)/1</f>
        <v>#N/A</v>
      </c>
      <c r="U132" s="45" t="str">
        <f>VLOOKUP($A132,'Dados ClubeFII'!$A:$AU,column(U132)-$A$5,0)/mid(VLOOKUP($A132,'Dados ClubeFII'!$A:$AU,2,0),4,SEARCH(",",VLOOKUP($A132,'Dados ClubeFII'!$A:$AU,2,0))-1)*B132</f>
        <v>#N/A</v>
      </c>
      <c r="V132" s="42" t="str">
        <f>VLOOKUP($A132,'Dados ClubeFII'!$A:$AU,column(V132)-$A$5,0)</f>
        <v>#N/A</v>
      </c>
      <c r="W132" s="43" t="str">
        <f>VLOOKUP($A132,'Dados ClubeFII'!$A:$AU,column(W132)-$A$5,0)</f>
        <v>#N/A</v>
      </c>
      <c r="X132" s="45" t="str">
        <f>VLOOKUP($A132,'Dados ClubeFII'!$A:$AU,column(X132)-$A$5,0)</f>
        <v>#N/A</v>
      </c>
      <c r="Y132" s="41" t="str">
        <f>MID(VLOOKUP($A132,'Dados ClubeFII'!$A:$AU,column(Y132)-$A$5,0),3,100)/1</f>
        <v>#N/A</v>
      </c>
      <c r="Z132" s="40" t="str">
        <f>VLOOKUP($A132,'Dados ClubeFII'!$A:$AU,column(Z132)-$A$5,0)</f>
        <v>#N/A</v>
      </c>
      <c r="AA132" s="47" t="str">
        <f t="shared" si="2"/>
        <v>#N/A</v>
      </c>
      <c r="AB132" s="48" t="str">
        <f t="shared" si="3"/>
        <v>#N/A</v>
      </c>
      <c r="AC132" s="48"/>
      <c r="AD132" s="48"/>
      <c r="AE132" s="48"/>
    </row>
    <row r="133">
      <c r="A133" s="49" t="s">
        <v>156</v>
      </c>
      <c r="B133" s="38">
        <f>IFERROR(__xludf.DUMMYFUNCTION("GOOGLEFINANCE(A133)"),94.36)</f>
        <v>94.36</v>
      </c>
      <c r="C133" s="38">
        <f>IFERROR(__xludf.DUMMYFUNCTION("GOOGLEFINANCE($A133,""high52"")"),105.81)</f>
        <v>105.81</v>
      </c>
      <c r="D133" s="39">
        <f t="shared" si="4"/>
        <v>-0.1082128343</v>
      </c>
      <c r="E133" s="40" t="str">
        <f>VLOOKUP($A133,'Dados ClubeFII'!$A:$AU,column(E133)-$A$5,0)</f>
        <v>XP Log</v>
      </c>
      <c r="F133" s="40" t="str">
        <f>VLOOKUP($A133,'Dados ClubeFII'!$A:$AU,column(F133)-$A$5,0)</f>
        <v>XP Vista</v>
      </c>
      <c r="G133" s="40" t="str">
        <f>VLOOKUP($A133,'Dados ClubeFII'!$A:$AU,column(G133)-$A$5,0)</f>
        <v>Logisticos</v>
      </c>
      <c r="H133" s="41">
        <f>MID(VLOOKUP($A133,'Dados ClubeFII'!$A:$AU,COLUMN(H133)-$A$5,0),3,100)/MID(VLOOKUP($A133,'Dados ClubeFII'!$A:$AU,2,0),3,SEARCH(",",VLOOKUP($A133,'Dados ClubeFII'!$A:$AU,2,0)))*B133</f>
        <v>2601909721</v>
      </c>
      <c r="I133" s="41">
        <f>MID(VLOOKUP($A133,'Dados ClubeFII'!$A:$AU,column(I133)-$A$5,0),3,100)/1</f>
        <v>3098182792</v>
      </c>
      <c r="J133" s="42">
        <f>VLOOKUP($A133,'Dados ClubeFII'!$A:$AU,column(J133)-$A$5,0)/mid(VLOOKUP($A133,'Dados ClubeFII'!$A:$AU,2,0),3,SEARCH(",",VLOOKUP($A133,'Dados ClubeFII'!$A:$AU,2,0)))*B133</f>
        <v>0.8444308633</v>
      </c>
      <c r="K133" s="41">
        <f>if(VLOOKUP($A133,'Dados ClubeFII'!$A:$AU,column(K133)-$A$5,0)="N/D",0,MID(VLOOKUP($A133,'Dados ClubeFII'!$A:$AU,column(K133)-$A$5,0),3,100)/1)/mid(VLOOKUP($A133,'Dados ClubeFII'!$A:$AU,2,0),3,SEARCH(",",VLOOKUP($A133,'Dados ClubeFII'!$A:$AU,2,0)))*B133</f>
        <v>2725.153461</v>
      </c>
      <c r="L133" s="41">
        <f>if(VLOOKUP($A133,'Dados ClubeFII'!$A:$AU,column(L133)-$A$5,0)="N/D",0,MID(VLOOKUP($A133,'Dados ClubeFII'!$A:$AU,column(L133)-$A$5,0),3,100)/1)</f>
        <v>3244.94</v>
      </c>
      <c r="M133" s="41">
        <f>MID(VLOOKUP($A133,'Dados ClubeFII'!$A:$AU,column(M133)-$A$5,0),3,100)/1</f>
        <v>0.74</v>
      </c>
      <c r="N133" s="41">
        <f>MID(VLOOKUP($A133,'Dados ClubeFII'!$A:$AU,column(N133)-$A$5,0),3,100)/1</f>
        <v>21</v>
      </c>
      <c r="O133" s="41">
        <f>LEFT(VLOOKUP($A133,'Dados ClubeFII'!$A:$AU,column(O133)-$A$5,0),len(VLOOKUP($A133,'Dados ClubeFII'!$A:$AU,column(O133)-$A$5,0))-2)/1</f>
        <v>954774</v>
      </c>
      <c r="P133" s="43">
        <f>VLOOKUP($A133,'Dados ClubeFII'!$A:$AU,column(P133)-$A$5,0)</f>
        <v>44971</v>
      </c>
      <c r="Q133" s="44">
        <f>VLOOKUP($A133,'Dados ClubeFII'!$A:$AU,column(Q133)-$A$5,0)/mid(VLOOKUP($A133,'Dados ClubeFII'!$A:$AU,2,0),3,SEARCH(",",VLOOKUP($A133,'Dados ClubeFII'!$A:$AU,2,0)))*B133</f>
        <v>0.1024644767</v>
      </c>
      <c r="R133" s="44">
        <f>VLOOKUP($A133,'Dados ClubeFII'!$A:$AU,column(R133)-$A$5,0)/mid(VLOOKUP($A133,'Dados ClubeFII'!$A:$AU,2,0),3,SEARCH(",",VLOOKUP($A133,'Dados ClubeFII'!$A:$AU,2,0)))*B133</f>
        <v>0.09391718869</v>
      </c>
      <c r="S133" s="43">
        <f>VLOOKUP($A133,'Dados ClubeFII'!$A:$AU,column(S133)-$A$5,0)</f>
        <v>43256</v>
      </c>
      <c r="T133" s="41">
        <f>MID(VLOOKUP($A133,'Dados ClubeFII'!$A:$AU,column(T133)-$A$5,0),3,100)/1</f>
        <v>100</v>
      </c>
      <c r="U133" s="45">
        <f>VLOOKUP($A133,'Dados ClubeFII'!$A:$AU,column(U133)-$A$5,0)/mid(VLOOKUP($A133,'Dados ClubeFII'!$A:$AU,2,0),4,SEARCH(",",VLOOKUP($A133,'Dados ClubeFII'!$A:$AU,2,0))-1)*B133</f>
        <v>-3.415484663</v>
      </c>
      <c r="V133" s="42">
        <f>VLOOKUP($A133,'Dados ClubeFII'!$A:$AU,column(V133)-$A$5,0)</f>
        <v>0.068</v>
      </c>
      <c r="W133" s="43">
        <f>VLOOKUP($A133,'Dados ClubeFII'!$A:$AU,column(W133)-$A$5,0)</f>
        <v>44957</v>
      </c>
      <c r="X133" s="45">
        <f>VLOOKUP($A133,'Dados ClubeFII'!$A:$AU,column(X133)-$A$5,0)</f>
        <v>0.0245</v>
      </c>
      <c r="Y133" s="41">
        <f>MID(VLOOKUP($A133,'Dados ClubeFII'!$A:$AU,column(Y133)-$A$5,0),3,100)/1</f>
        <v>4691271.61</v>
      </c>
      <c r="Z133" s="46">
        <f>VLOOKUP($A133,'Dados ClubeFII'!$A:$AU,column(Z133)-$A$5,0)</f>
        <v>306167</v>
      </c>
      <c r="AA133" s="47">
        <f t="shared" si="2"/>
        <v>27574286</v>
      </c>
      <c r="AB133" s="48">
        <f t="shared" si="3"/>
        <v>112.3576796</v>
      </c>
      <c r="AC133" s="48"/>
      <c r="AD133" s="48"/>
      <c r="AE133" s="48"/>
    </row>
    <row r="134">
      <c r="A134" s="54" t="s">
        <v>157</v>
      </c>
      <c r="B134" s="38">
        <f>IFERROR(__xludf.DUMMYFUNCTION("GOOGLEFINANCE(A134)"),60.95)</f>
        <v>60.95</v>
      </c>
      <c r="C134" s="38">
        <f>IFERROR(__xludf.DUMMYFUNCTION("GOOGLEFINANCE($A134,""high52"")"),73.63)</f>
        <v>73.63</v>
      </c>
      <c r="D134" s="39">
        <f t="shared" si="4"/>
        <v>-0.1722124134</v>
      </c>
      <c r="E134" s="40" t="str">
        <f>VLOOKUP($A134,'Dados ClubeFII'!$A:$AU,column(E134)-$A$5,0)</f>
        <v>More Real Estate FOF</v>
      </c>
      <c r="F134" s="40" t="str">
        <f>VLOOKUP($A134,'Dados ClubeFII'!$A:$AU,column(F134)-$A$5,0)</f>
        <v>MORE INVEST</v>
      </c>
      <c r="G134" s="40" t="str">
        <f>VLOOKUP($A134,'Dados ClubeFII'!$A:$AU,column(G134)-$A$5,0)</f>
        <v>Fundo de Fundos</v>
      </c>
      <c r="H134" s="41">
        <f>MID(VLOOKUP($A134,'Dados ClubeFII'!$A:$AU,column(H134)-$A$5,0),3,100)/mid(VLOOKUP($A134,'Dados ClubeFII'!$A:$AU,2,0),4,SEARCH(",",VLOOKUP($A134,'Dados ClubeFII'!$A:$AU,2,0))-1)*B134</f>
        <v>6944102117</v>
      </c>
      <c r="I134" s="41">
        <f>MID(VLOOKUP($A134,'Dados ClubeFII'!$A:$AU,column(I134)-$A$5,0),3,100)/1</f>
        <v>188535634.8</v>
      </c>
      <c r="J134" s="42">
        <f>VLOOKUP($A134,'Dados ClubeFII'!$A:$AU,column(J134)-$A$5,0)/mid(VLOOKUP($A134,'Dados ClubeFII'!$A:$AU,2,0),3,SEARCH(",",VLOOKUP($A134,'Dados ClubeFII'!$A:$AU,2,0)))*B134</f>
        <v>0.7561540973</v>
      </c>
      <c r="K134" s="41">
        <f>if(VLOOKUP($A134,'Dados ClubeFII'!$A:$AU,column(K134)-$A$5,0)="N/D",0,MID(VLOOKUP($A134,'Dados ClubeFII'!$A:$AU,column(K134)-$A$5,0),3,100)/1)/mid(VLOOKUP($A134,'Dados ClubeFII'!$A:$AU,2,0),3,SEARCH(",",VLOOKUP($A134,'Dados ClubeFII'!$A:$AU,2,0)))*B134</f>
        <v>0</v>
      </c>
      <c r="L134" s="41">
        <f>if(VLOOKUP($A134,'Dados ClubeFII'!$A:$AU,column(L134)-$A$5,0)="N/D",0,MID(VLOOKUP($A134,'Dados ClubeFII'!$A:$AU,column(L134)-$A$5,0),3,100)/1)</f>
        <v>0</v>
      </c>
      <c r="M134" s="41">
        <f>MID(VLOOKUP($A134,'Dados ClubeFII'!$A:$AU,column(M134)-$A$5,0),3,100)/1</f>
        <v>0.66</v>
      </c>
      <c r="N134" s="41">
        <f>MID(VLOOKUP($A134,'Dados ClubeFII'!$A:$AU,column(N134)-$A$5,0),3,100)/1</f>
        <v>0</v>
      </c>
      <c r="O134" s="41">
        <f>LEFT(VLOOKUP($A134,'Dados ClubeFII'!$A:$AU,column(O134)-$A$5,0),len(VLOOKUP($A134,'Dados ClubeFII'!$A:$AU,column(O134)-$A$5,0))-2)/1</f>
        <v>0</v>
      </c>
      <c r="P134" s="43">
        <f>VLOOKUP($A134,'Dados ClubeFII'!$A:$AU,column(P134)-$A$5,0)</f>
        <v>44979</v>
      </c>
      <c r="Q134" s="44">
        <f>VLOOKUP($A134,'Dados ClubeFII'!$A:$AU,column(Q134)-$A$5,0)/mid(VLOOKUP($A134,'Dados ClubeFII'!$A:$AU,2,0),3,SEARCH(",",VLOOKUP($A134,'Dados ClubeFII'!$A:$AU,2,0)))*B134</f>
        <v>0.135013304</v>
      </c>
      <c r="R134" s="44">
        <f>VLOOKUP($A134,'Dados ClubeFII'!$A:$AU,column(R134)-$A$5,0)/mid(VLOOKUP($A134,'Dados ClubeFII'!$A:$AU,2,0),3,SEARCH(",",VLOOKUP($A134,'Dados ClubeFII'!$A:$AU,2,0)))*B134</f>
        <v>0.1278497388</v>
      </c>
      <c r="S134" s="43">
        <f>VLOOKUP($A134,'Dados ClubeFII'!$A:$AU,column(S134)-$A$5,0)</f>
        <v>43955</v>
      </c>
      <c r="T134" s="41">
        <f>MID(VLOOKUP($A134,'Dados ClubeFII'!$A:$AU,column(T134)-$A$5,0),3,100)/1</f>
        <v>100</v>
      </c>
      <c r="U134" s="45">
        <f>VLOOKUP($A134,'Dados ClubeFII'!$A:$AU,column(U134)-$A$5,0)/mid(VLOOKUP($A134,'Dados ClubeFII'!$A:$AU,2,0),4,SEARCH(",",VLOOKUP($A134,'Dados ClubeFII'!$A:$AU,2,0))-1)*B134</f>
        <v>-4.043984127</v>
      </c>
      <c r="V134" s="42" t="str">
        <f>VLOOKUP($A134,'Dados ClubeFII'!$A:$AU,column(V134)-$A$5,0)</f>
        <v>N/D</v>
      </c>
      <c r="W134" s="43" t="str">
        <f>VLOOKUP($A134,'Dados ClubeFII'!$A:$AU,column(W134)-$A$5,0)</f>
        <v>N/D</v>
      </c>
      <c r="X134" s="45">
        <f>VLOOKUP($A134,'Dados ClubeFII'!$A:$AU,column(X134)-$A$5,0)</f>
        <v>0.0014</v>
      </c>
      <c r="Y134" s="41">
        <f>MID(VLOOKUP($A134,'Dados ClubeFII'!$A:$AU,column(Y134)-$A$5,0),3,100)/1</f>
        <v>395549.41</v>
      </c>
      <c r="Z134" s="46">
        <f>VLOOKUP($A134,'Dados ClubeFII'!$A:$AU,column(Z134)-$A$5,0)</f>
        <v>17743</v>
      </c>
      <c r="AA134" s="47">
        <f t="shared" si="2"/>
        <v>113931125</v>
      </c>
      <c r="AB134" s="48">
        <f t="shared" si="3"/>
        <v>1.654821146</v>
      </c>
      <c r="AC134" s="48"/>
      <c r="AD134" s="48"/>
      <c r="AE134" s="48"/>
    </row>
    <row r="135">
      <c r="A135" s="37" t="s">
        <v>158</v>
      </c>
      <c r="B135" s="38">
        <f>IFERROR(__xludf.DUMMYFUNCTION("GOOGLEFINANCE(A135)"),108.2)</f>
        <v>108.2</v>
      </c>
      <c r="C135" s="38">
        <f>IFERROR(__xludf.DUMMYFUNCTION("GOOGLEFINANCE($A135,""high52"")"),139.08)</f>
        <v>139.08</v>
      </c>
      <c r="D135" s="39">
        <f t="shared" si="4"/>
        <v>-0.2220304861</v>
      </c>
      <c r="E135" s="40" t="str">
        <f>VLOOKUP($A135,'Dados ClubeFII'!$A:$AU,column(E135)-$A$5,0)</f>
        <v>CSHG Real Estate</v>
      </c>
      <c r="F135" s="40" t="str">
        <f>VLOOKUP($A135,'Dados ClubeFII'!$A:$AU,column(F135)-$A$5,0)</f>
        <v>CREDIT SUISSE</v>
      </c>
      <c r="G135" s="40" t="str">
        <f>VLOOKUP($A135,'Dados ClubeFII'!$A:$AU,column(G135)-$A$5,0)</f>
        <v>Lajes Comerciais</v>
      </c>
      <c r="H135" s="41">
        <f>MID(VLOOKUP($A135,'Dados ClubeFII'!$A:$AU,COLUMN(H135)-$A$5,0),3,100)/MID(VLOOKUP($A135,'Dados ClubeFII'!$A:$AU,2,0),3,SEARCH(",",VLOOKUP($A135,'Dados ClubeFII'!$A:$AU,2,0)))*B135</f>
        <v>1318265063</v>
      </c>
      <c r="I135" s="41">
        <f>MID(VLOOKUP($A135,'Dados ClubeFII'!$A:$AU,column(I135)-$A$5,0),3,100)/1</f>
        <v>1855205413</v>
      </c>
      <c r="J135" s="42">
        <f>VLOOKUP($A135,'Dados ClubeFII'!$A:$AU,column(J135)-$A$5,0)/mid(VLOOKUP($A135,'Dados ClubeFII'!$A:$AU,2,0),3,SEARCH(",",VLOOKUP($A135,'Dados ClubeFII'!$A:$AU,2,0)))*B135</f>
        <v>0.7149348298</v>
      </c>
      <c r="K135" s="41">
        <f>if(VLOOKUP($A135,'Dados ClubeFII'!$A:$AU,column(K135)-$A$5,0)="N/D",0,MID(VLOOKUP($A135,'Dados ClubeFII'!$A:$AU,column(K135)-$A$5,0),3,100)/1)/mid(VLOOKUP($A135,'Dados ClubeFII'!$A:$AU,2,0),3,SEARCH(",",VLOOKUP($A135,'Dados ClubeFII'!$A:$AU,2,0)))*B135</f>
        <v>6132.49551</v>
      </c>
      <c r="L135" s="41">
        <f>if(VLOOKUP($A135,'Dados ClubeFII'!$A:$AU,column(L135)-$A$5,0)="N/D",0,MID(VLOOKUP($A135,'Dados ClubeFII'!$A:$AU,column(L135)-$A$5,0),3,100)/1)</f>
        <v>8630.31</v>
      </c>
      <c r="M135" s="41">
        <f>MID(VLOOKUP($A135,'Dados ClubeFII'!$A:$AU,column(M135)-$A$5,0),3,100)/1</f>
        <v>0.78</v>
      </c>
      <c r="N135" s="41">
        <f>MID(VLOOKUP($A135,'Dados ClubeFII'!$A:$AU,column(N135)-$A$5,0),3,100)/1</f>
        <v>42.88</v>
      </c>
      <c r="O135" s="41">
        <f>LEFT(VLOOKUP($A135,'Dados ClubeFII'!$A:$AU,column(O135)-$A$5,0),len(VLOOKUP($A135,'Dados ClubeFII'!$A:$AU,column(O135)-$A$5,0))-2)/1</f>
        <v>214964</v>
      </c>
      <c r="P135" s="43">
        <f>VLOOKUP($A135,'Dados ClubeFII'!$A:$AU,column(P135)-$A$5,0)</f>
        <v>44971</v>
      </c>
      <c r="Q135" s="44">
        <f>VLOOKUP($A135,'Dados ClubeFII'!$A:$AU,column(Q135)-$A$5,0)/mid(VLOOKUP($A135,'Dados ClubeFII'!$A:$AU,2,0),3,SEARCH(",",VLOOKUP($A135,'Dados ClubeFII'!$A:$AU,2,0)))*B135</f>
        <v>0.08353964518</v>
      </c>
      <c r="R135" s="44">
        <f>VLOOKUP($A135,'Dados ClubeFII'!$A:$AU,column(R135)-$A$5,0)/mid(VLOOKUP($A135,'Dados ClubeFII'!$A:$AU,2,0),3,SEARCH(",",VLOOKUP($A135,'Dados ClubeFII'!$A:$AU,2,0)))*B135</f>
        <v>0.0816788559</v>
      </c>
      <c r="S135" s="43">
        <f>VLOOKUP($A135,'Dados ClubeFII'!$A:$AU,column(S135)-$A$5,0)</f>
        <v>39574</v>
      </c>
      <c r="T135" s="41">
        <f>MID(VLOOKUP($A135,'Dados ClubeFII'!$A:$AU,column(T135)-$A$5,0),3,100)/1</f>
        <v>100</v>
      </c>
      <c r="U135" s="45">
        <f>VLOOKUP($A135,'Dados ClubeFII'!$A:$AU,column(U135)-$A$5,0)/mid(VLOOKUP($A135,'Dados ClubeFII'!$A:$AU,2,0),4,SEARCH(",",VLOOKUP($A135,'Dados ClubeFII'!$A:$AU,2,0))-1)*B135</f>
        <v>-0.7650400763</v>
      </c>
      <c r="V135" s="42">
        <f>VLOOKUP($A135,'Dados ClubeFII'!$A:$AU,column(V135)-$A$5,0)</f>
        <v>0.218</v>
      </c>
      <c r="W135" s="43">
        <f>VLOOKUP($A135,'Dados ClubeFII'!$A:$AU,column(W135)-$A$5,0)</f>
        <v>44957</v>
      </c>
      <c r="X135" s="45">
        <f>VLOOKUP($A135,'Dados ClubeFII'!$A:$AU,column(X135)-$A$5,0)</f>
        <v>0.0132</v>
      </c>
      <c r="Y135" s="41">
        <f>MID(VLOOKUP($A135,'Dados ClubeFII'!$A:$AU,column(Y135)-$A$5,0),3,100)/1</f>
        <v>2412980.18</v>
      </c>
      <c r="Z135" s="46">
        <f>VLOOKUP($A135,'Dados ClubeFII'!$A:$AU,column(Z135)-$A$5,0)</f>
        <v>139177</v>
      </c>
      <c r="AA135" s="47">
        <f t="shared" si="2"/>
        <v>12183595</v>
      </c>
      <c r="AB135" s="48">
        <f t="shared" si="3"/>
        <v>152.2707717</v>
      </c>
      <c r="AC135" s="48"/>
      <c r="AD135" s="48"/>
      <c r="AE135" s="48"/>
    </row>
    <row r="136">
      <c r="A136" s="37" t="s">
        <v>159</v>
      </c>
      <c r="B136" s="38">
        <f>IFERROR(__xludf.DUMMYFUNCTION("GOOGLEFINANCE(A136)"),47.23)</f>
        <v>47.23</v>
      </c>
      <c r="C136" s="38">
        <f>IFERROR(__xludf.DUMMYFUNCTION("GOOGLEFINANCE($A136,""high52"")"),56.45)</f>
        <v>56.45</v>
      </c>
      <c r="D136" s="39">
        <f t="shared" si="4"/>
        <v>-0.1633303809</v>
      </c>
      <c r="E136" s="40" t="str">
        <f>VLOOKUP($A136,'Dados ClubeFII'!$A:$AU,column(E136)-$A$5,0)</f>
        <v>General Shopping Ativo e Renda</v>
      </c>
      <c r="F136" s="40" t="str">
        <f>VLOOKUP($A136,'Dados ClubeFII'!$A:$AU,column(F136)-$A$5,0)</f>
        <v>HEDGE INVESTMENTS</v>
      </c>
      <c r="G136" s="40" t="str">
        <f>VLOOKUP($A136,'Dados ClubeFII'!$A:$AU,column(G136)-$A$5,0)</f>
        <v>Shopping/Varejo</v>
      </c>
      <c r="H136" s="41">
        <f>MID(VLOOKUP($A136,'Dados ClubeFII'!$A:$AU,COLUMN(H136)-$A$5,0),3,100)/MID(VLOOKUP($A136,'Dados ClubeFII'!$A:$AU,2,0),3,SEARCH(",",VLOOKUP($A136,'Dados ClubeFII'!$A:$AU,2,0)))*B136</f>
        <v>133281322.7</v>
      </c>
      <c r="I136" s="41">
        <f>MID(VLOOKUP($A136,'Dados ClubeFII'!$A:$AU,column(I136)-$A$5,0),3,100)/1</f>
        <v>217509161.4</v>
      </c>
      <c r="J136" s="42">
        <f>VLOOKUP($A136,'Dados ClubeFII'!$A:$AU,column(J136)-$A$5,0)/mid(VLOOKUP($A136,'Dados ClubeFII'!$A:$AU,2,0),3,SEARCH(",",VLOOKUP($A136,'Dados ClubeFII'!$A:$AU,2,0)))*B136</f>
        <v>0.6161313088</v>
      </c>
      <c r="K136" s="41">
        <f>if(VLOOKUP($A136,'Dados ClubeFII'!$A:$AU,column(K136)-$A$5,0)="N/D",0,MID(VLOOKUP($A136,'Dados ClubeFII'!$A:$AU,column(K136)-$A$5,0),3,100)/1)/mid(VLOOKUP($A136,'Dados ClubeFII'!$A:$AU,2,0),3,SEARCH(",",VLOOKUP($A136,'Dados ClubeFII'!$A:$AU,2,0)))*B136</f>
        <v>5968.979115</v>
      </c>
      <c r="L136" s="41">
        <f>if(VLOOKUP($A136,'Dados ClubeFII'!$A:$AU,column(L136)-$A$5,0)="N/D",0,MID(VLOOKUP($A136,'Dados ClubeFII'!$A:$AU,column(L136)-$A$5,0),3,100)/1)</f>
        <v>9741.11</v>
      </c>
      <c r="M136" s="41">
        <f>MID(VLOOKUP($A136,'Dados ClubeFII'!$A:$AU,column(M136)-$A$5,0),3,100)/1</f>
        <v>0.39</v>
      </c>
      <c r="N136" s="41">
        <f>MID(VLOOKUP($A136,'Dados ClubeFII'!$A:$AU,column(N136)-$A$5,0),3,100)/1</f>
        <v>49.78</v>
      </c>
      <c r="O136" s="41">
        <f>LEFT(VLOOKUP($A136,'Dados ClubeFII'!$A:$AU,column(O136)-$A$5,0),len(VLOOKUP($A136,'Dados ClubeFII'!$A:$AU,column(O136)-$A$5,0))-2)/1</f>
        <v>22329</v>
      </c>
      <c r="P136" s="43">
        <f>VLOOKUP($A136,'Dados ClubeFII'!$A:$AU,column(P136)-$A$5,0)</f>
        <v>44971</v>
      </c>
      <c r="Q136" s="44">
        <f>VLOOKUP($A136,'Dados ClubeFII'!$A:$AU,column(Q136)-$A$5,0)/mid(VLOOKUP($A136,'Dados ClubeFII'!$A:$AU,2,0),3,SEARCH(",",VLOOKUP($A136,'Dados ClubeFII'!$A:$AU,2,0)))*B136</f>
        <v>0.1069644354</v>
      </c>
      <c r="R136" s="44">
        <f>VLOOKUP($A136,'Dados ClubeFII'!$A:$AU,column(R136)-$A$5,0)/mid(VLOOKUP($A136,'Dados ClubeFII'!$A:$AU,2,0),3,SEARCH(",",VLOOKUP($A136,'Dados ClubeFII'!$A:$AU,2,0)))*B136</f>
        <v>0.09969206587</v>
      </c>
      <c r="S136" s="43">
        <f>VLOOKUP($A136,'Dados ClubeFII'!$A:$AU,column(S136)-$A$5,0)</f>
        <v>41452</v>
      </c>
      <c r="T136" s="41">
        <f>MID(VLOOKUP($A136,'Dados ClubeFII'!$A:$AU,column(T136)-$A$5,0),3,100)/1</f>
        <v>100</v>
      </c>
      <c r="U136" s="45">
        <f>VLOOKUP($A136,'Dados ClubeFII'!$A:$AU,column(U136)-$A$5,0)/mid(VLOOKUP($A136,'Dados ClubeFII'!$A:$AU,2,0),4,SEARCH(",",VLOOKUP($A136,'Dados ClubeFII'!$A:$AU,2,0))-1)*B136</f>
        <v>-0.5673189349</v>
      </c>
      <c r="V136" s="42">
        <f>VLOOKUP($A136,'Dados ClubeFII'!$A:$AU,column(V136)-$A$5,0)</f>
        <v>0.111</v>
      </c>
      <c r="W136" s="43" t="str">
        <f>VLOOKUP($A136,'Dados ClubeFII'!$A:$AU,column(W136)-$A$5,0)</f>
        <v>N/D</v>
      </c>
      <c r="X136" s="45">
        <f>VLOOKUP($A136,'Dados ClubeFII'!$A:$AU,column(X136)-$A$5,0)</f>
        <v>0</v>
      </c>
      <c r="Y136" s="41">
        <f>MID(VLOOKUP($A136,'Dados ClubeFII'!$A:$AU,column(Y136)-$A$5,0),3,100)/1</f>
        <v>110727.48</v>
      </c>
      <c r="Z136" s="46">
        <f>VLOOKUP($A136,'Dados ClubeFII'!$A:$AU,column(Z136)-$A$5,0)</f>
        <v>15645</v>
      </c>
      <c r="AA136" s="47">
        <f t="shared" si="2"/>
        <v>2821963</v>
      </c>
      <c r="AB136" s="48">
        <f t="shared" si="3"/>
        <v>77.07725488</v>
      </c>
      <c r="AC136" s="48"/>
      <c r="AD136" s="48"/>
      <c r="AE136" s="48"/>
    </row>
    <row r="137">
      <c r="A137" s="37" t="s">
        <v>160</v>
      </c>
      <c r="B137" s="38">
        <f>IFERROR(__xludf.DUMMYFUNCTION("GOOGLEFINANCE(A137)"),20.17)</f>
        <v>20.17</v>
      </c>
      <c r="C137" s="38">
        <f>IFERROR(__xludf.DUMMYFUNCTION("GOOGLEFINANCE($A137,""high52"")"),23.65)</f>
        <v>23.65</v>
      </c>
      <c r="D137" s="39">
        <f t="shared" si="4"/>
        <v>-0.1471458774</v>
      </c>
      <c r="E137" s="40" t="str">
        <f>VLOOKUP($A137,'Dados ClubeFII'!$A:$AU,column(E137)-$A$5,0)</f>
        <v>Edifício Galeria</v>
      </c>
      <c r="F137" s="40" t="str">
        <f>VLOOKUP($A137,'Dados ClubeFII'!$A:$AU,column(F137)-$A$5,0)</f>
        <v>BTG PACTUAL</v>
      </c>
      <c r="G137" s="40" t="str">
        <f>VLOOKUP($A137,'Dados ClubeFII'!$A:$AU,column(G137)-$A$5,0)</f>
        <v>Lajes Comerciais</v>
      </c>
      <c r="H137" s="41">
        <f>MID(VLOOKUP($A137,'Dados ClubeFII'!$A:$AU,COLUMN(H137)-$A$5,0),3,100)/MID(VLOOKUP($A137,'Dados ClubeFII'!$A:$AU,2,0),3,SEARCH(",",VLOOKUP($A137,'Dados ClubeFII'!$A:$AU,2,0)))*B137</f>
        <v>77971569.41</v>
      </c>
      <c r="I137" s="41">
        <f>MID(VLOOKUP($A137,'Dados ClubeFII'!$A:$AU,column(I137)-$A$5,0),3,100)/1</f>
        <v>233668180.1</v>
      </c>
      <c r="J137" s="42">
        <f>VLOOKUP($A137,'Dados ClubeFII'!$A:$AU,column(J137)-$A$5,0)/mid(VLOOKUP($A137,'Dados ClubeFII'!$A:$AU,2,0),3,SEARCH(",",VLOOKUP($A137,'Dados ClubeFII'!$A:$AU,2,0)))*B137</f>
        <v>0.3329029126</v>
      </c>
      <c r="K137" s="41">
        <f>if(VLOOKUP($A137,'Dados ClubeFII'!$A:$AU,column(K137)-$A$5,0)="N/D",0,MID(VLOOKUP($A137,'Dados ClubeFII'!$A:$AU,column(K137)-$A$5,0),3,100)/1)/mid(VLOOKUP($A137,'Dados ClubeFII'!$A:$AU,2,0),3,SEARCH(",",VLOOKUP($A137,'Dados ClubeFII'!$A:$AU,2,0)))*B137</f>
        <v>3138.442209</v>
      </c>
      <c r="L137" s="41">
        <f>if(VLOOKUP($A137,'Dados ClubeFII'!$A:$AU,column(L137)-$A$5,0)="N/D",0,MID(VLOOKUP($A137,'Dados ClubeFII'!$A:$AU,column(L137)-$A$5,0),3,100)/1)</f>
        <v>9405.42</v>
      </c>
      <c r="M137" s="41">
        <f>MID(VLOOKUP($A137,'Dados ClubeFII'!$A:$AU,column(M137)-$A$5,0),3,100)/1</f>
        <v>0.13</v>
      </c>
      <c r="N137" s="41">
        <f>MID(VLOOKUP($A137,'Dados ClubeFII'!$A:$AU,column(N137)-$A$5,0),3,100)/1</f>
        <v>19.95</v>
      </c>
      <c r="O137" s="41">
        <f>LEFT(VLOOKUP($A137,'Dados ClubeFII'!$A:$AU,column(O137)-$A$5,0),len(VLOOKUP($A137,'Dados ClubeFII'!$A:$AU,column(O137)-$A$5,0))-2)/1</f>
        <v>24844</v>
      </c>
      <c r="P137" s="43">
        <f>VLOOKUP($A137,'Dados ClubeFII'!$A:$AU,column(P137)-$A$5,0)</f>
        <v>44985</v>
      </c>
      <c r="Q137" s="44">
        <f>VLOOKUP($A137,'Dados ClubeFII'!$A:$AU,column(Q137)-$A$5,0)/mid(VLOOKUP($A137,'Dados ClubeFII'!$A:$AU,2,0),3,SEARCH(",",VLOOKUP($A137,'Dados ClubeFII'!$A:$AU,2,0)))*B137</f>
        <v>0.07568645631</v>
      </c>
      <c r="R137" s="44">
        <f>VLOOKUP($A137,'Dados ClubeFII'!$A:$AU,column(R137)-$A$5,0)/mid(VLOOKUP($A137,'Dados ClubeFII'!$A:$AU,2,0),3,SEARCH(",",VLOOKUP($A137,'Dados ClubeFII'!$A:$AU,2,0)))*B137</f>
        <v>0.07441359223</v>
      </c>
      <c r="S137" s="43">
        <f>VLOOKUP($A137,'Dados ClubeFII'!$A:$AU,column(S137)-$A$5,0)</f>
        <v>41164</v>
      </c>
      <c r="T137" s="41">
        <f>MID(VLOOKUP($A137,'Dados ClubeFII'!$A:$AU,column(T137)-$A$5,0),3,100)/1</f>
        <v>100</v>
      </c>
      <c r="U137" s="45">
        <f>VLOOKUP($A137,'Dados ClubeFII'!$A:$AU,column(U137)-$A$5,0)/mid(VLOOKUP($A137,'Dados ClubeFII'!$A:$AU,2,0),4,SEARCH(",",VLOOKUP($A137,'Dados ClubeFII'!$A:$AU,2,0))-1)*B137</f>
        <v>3.24737</v>
      </c>
      <c r="V137" s="42">
        <f>VLOOKUP($A137,'Dados ClubeFII'!$A:$AU,column(V137)-$A$5,0)</f>
        <v>0.4124</v>
      </c>
      <c r="W137" s="43" t="str">
        <f>VLOOKUP($A137,'Dados ClubeFII'!$A:$AU,column(W137)-$A$5,0)</f>
        <v>N/D</v>
      </c>
      <c r="X137" s="45">
        <f>VLOOKUP($A137,'Dados ClubeFII'!$A:$AU,column(X137)-$A$5,0)</f>
        <v>0</v>
      </c>
      <c r="Y137" s="41">
        <f>MID(VLOOKUP($A137,'Dados ClubeFII'!$A:$AU,column(Y137)-$A$5,0),3,100)/1</f>
        <v>33730.27</v>
      </c>
      <c r="Z137" s="46">
        <f>VLOOKUP($A137,'Dados ClubeFII'!$A:$AU,column(Z137)-$A$5,0)</f>
        <v>6024</v>
      </c>
      <c r="AA137" s="47">
        <f t="shared" si="2"/>
        <v>3865719</v>
      </c>
      <c r="AB137" s="48">
        <f t="shared" si="3"/>
        <v>60.44624043</v>
      </c>
      <c r="AC137" s="48"/>
      <c r="AD137" s="48"/>
      <c r="AE137" s="48"/>
    </row>
    <row r="138">
      <c r="A138" s="49" t="s">
        <v>161</v>
      </c>
      <c r="B138" s="38">
        <f>IFERROR(__xludf.DUMMYFUNCTION("GOOGLEFINANCE(A138)"),246.0)</f>
        <v>246</v>
      </c>
      <c r="C138" s="38">
        <f>IFERROR(__xludf.DUMMYFUNCTION("GOOGLEFINANCE($A138,""high52"")"),263.21)</f>
        <v>263.21</v>
      </c>
      <c r="D138" s="39">
        <f t="shared" si="4"/>
        <v>-0.06538505376</v>
      </c>
      <c r="E138" s="40" t="str">
        <f>VLOOKUP($A138,'Dados ClubeFII'!$A:$AU,column(E138)-$A$5,0)</f>
        <v>CSHG Prime Offices</v>
      </c>
      <c r="F138" s="40" t="str">
        <f>VLOOKUP($A138,'Dados ClubeFII'!$A:$AU,column(F138)-$A$5,0)</f>
        <v>CREDIT SUISSE</v>
      </c>
      <c r="G138" s="40" t="str">
        <f>VLOOKUP($A138,'Dados ClubeFII'!$A:$AU,column(G138)-$A$5,0)</f>
        <v>Lajes Comerciais</v>
      </c>
      <c r="H138" s="41">
        <f>MID(VLOOKUP($A138,'Dados ClubeFII'!$A:$AU,COLUMN(H138)-$A$5,0),3,100)/MID(VLOOKUP($A138,'Dados ClubeFII'!$A:$AU,2,0),3,SEARCH(",",VLOOKUP($A138,'Dados ClubeFII'!$A:$AU,2,0)))*B138</f>
        <v>429244266.6</v>
      </c>
      <c r="I138" s="41">
        <f>MID(VLOOKUP($A138,'Dados ClubeFII'!$A:$AU,column(I138)-$A$5,0),3,100)/1</f>
        <v>524799753.5</v>
      </c>
      <c r="J138" s="42">
        <f>VLOOKUP($A138,'Dados ClubeFII'!$A:$AU,column(J138)-$A$5,0)/mid(VLOOKUP($A138,'Dados ClubeFII'!$A:$AU,2,0),3,SEARCH(",",VLOOKUP($A138,'Dados ClubeFII'!$A:$AU,2,0)))*B138</f>
        <v>0.8194734307</v>
      </c>
      <c r="K138" s="41">
        <f>if(VLOOKUP($A138,'Dados ClubeFII'!$A:$AU,column(K138)-$A$5,0)="N/D",0,MID(VLOOKUP($A138,'Dados ClubeFII'!$A:$AU,column(K138)-$A$5,0),3,100)/1)/mid(VLOOKUP($A138,'Dados ClubeFII'!$A:$AU,2,0),3,SEARCH(",",VLOOKUP($A138,'Dados ClubeFII'!$A:$AU,2,0)))*B138</f>
        <v>34031.89236</v>
      </c>
      <c r="L138" s="41">
        <f>if(VLOOKUP($A138,'Dados ClubeFII'!$A:$AU,column(L138)-$A$5,0)="N/D",0,MID(VLOOKUP($A138,'Dados ClubeFII'!$A:$AU,column(L138)-$A$5,0),3,100)/1)</f>
        <v>41607.85</v>
      </c>
      <c r="M138" s="41">
        <f>MID(VLOOKUP($A138,'Dados ClubeFII'!$A:$AU,column(M138)-$A$5,0),3,100)/1</f>
        <v>1.6</v>
      </c>
      <c r="N138" s="41">
        <f>MID(VLOOKUP($A138,'Dados ClubeFII'!$A:$AU,column(N138)-$A$5,0),3,100)/1</f>
        <v>222.38</v>
      </c>
      <c r="O138" s="41">
        <f>LEFT(VLOOKUP($A138,'Dados ClubeFII'!$A:$AU,column(O138)-$A$5,0),len(VLOOKUP($A138,'Dados ClubeFII'!$A:$AU,column(O138)-$A$5,0))-2)/1</f>
        <v>12613</v>
      </c>
      <c r="P138" s="43">
        <f>VLOOKUP($A138,'Dados ClubeFII'!$A:$AU,column(P138)-$A$5,0)</f>
        <v>44971</v>
      </c>
      <c r="Q138" s="44">
        <f>VLOOKUP($A138,'Dados ClubeFII'!$A:$AU,column(Q138)-$A$5,0)/mid(VLOOKUP($A138,'Dados ClubeFII'!$A:$AU,2,0),3,SEARCH(",",VLOOKUP($A138,'Dados ClubeFII'!$A:$AU,2,0)))*B138</f>
        <v>0.07918285439</v>
      </c>
      <c r="R138" s="44">
        <f>VLOOKUP($A138,'Dados ClubeFII'!$A:$AU,column(R138)-$A$5,0)/mid(VLOOKUP($A138,'Dados ClubeFII'!$A:$AU,2,0),3,SEARCH(",",VLOOKUP($A138,'Dados ClubeFII'!$A:$AU,2,0)))*B138</f>
        <v>0.07108685182</v>
      </c>
      <c r="S138" s="43">
        <f>VLOOKUP($A138,'Dados ClubeFII'!$A:$AU,column(S138)-$A$5,0)</f>
        <v>40128</v>
      </c>
      <c r="T138" s="41">
        <f>MID(VLOOKUP($A138,'Dados ClubeFII'!$A:$AU,column(T138)-$A$5,0),3,100)/1</f>
        <v>100</v>
      </c>
      <c r="U138" s="45">
        <f>VLOOKUP($A138,'Dados ClubeFII'!$A:$AU,column(U138)-$A$5,0)/mid(VLOOKUP($A138,'Dados ClubeFII'!$A:$AU,2,0),4,SEARCH(",",VLOOKUP($A138,'Dados ClubeFII'!$A:$AU,2,0))-1)*B138</f>
        <v>-0.2892351505</v>
      </c>
      <c r="V138" s="42">
        <f>VLOOKUP($A138,'Dados ClubeFII'!$A:$AU,column(V138)-$A$5,0)</f>
        <v>0</v>
      </c>
      <c r="W138" s="43">
        <f>VLOOKUP($A138,'Dados ClubeFII'!$A:$AU,column(W138)-$A$5,0)</f>
        <v>44957</v>
      </c>
      <c r="X138" s="45">
        <f>VLOOKUP($A138,'Dados ClubeFII'!$A:$AU,column(X138)-$A$5,0)</f>
        <v>0</v>
      </c>
      <c r="Y138" s="41">
        <f>MID(VLOOKUP($A138,'Dados ClubeFII'!$A:$AU,column(Y138)-$A$5,0),3,100)/1</f>
        <v>602832.24</v>
      </c>
      <c r="Z138" s="46">
        <f>VLOOKUP($A138,'Dados ClubeFII'!$A:$AU,column(Z138)-$A$5,0)</f>
        <v>9042</v>
      </c>
      <c r="AA138" s="47">
        <f t="shared" si="2"/>
        <v>1744895</v>
      </c>
      <c r="AB138" s="48">
        <f t="shared" si="3"/>
        <v>300.7629419</v>
      </c>
      <c r="AC138" s="48"/>
      <c r="AD138" s="48"/>
      <c r="AE138" s="48"/>
    </row>
    <row r="139">
      <c r="A139" s="50" t="s">
        <v>162</v>
      </c>
      <c r="B139" s="38">
        <f>IFERROR(__xludf.DUMMYFUNCTION("GOOGLEFINANCE(A139)"),158.64)</f>
        <v>158.64</v>
      </c>
      <c r="C139" s="38">
        <f>IFERROR(__xludf.DUMMYFUNCTION("GOOGLEFINANCE($A139,""high52"")"),166.03)</f>
        <v>166.03</v>
      </c>
      <c r="D139" s="39">
        <f t="shared" si="4"/>
        <v>-0.04451002831</v>
      </c>
      <c r="E139" s="40" t="str">
        <f>VLOOKUP($A139,'Dados ClubeFII'!$A:$AU,column(E139)-$A$5,0)</f>
        <v>CSHG Logística</v>
      </c>
      <c r="F139" s="40" t="str">
        <f>VLOOKUP($A139,'Dados ClubeFII'!$A:$AU,column(F139)-$A$5,0)</f>
        <v>CREDIT SUISSE</v>
      </c>
      <c r="G139" s="40" t="str">
        <f>VLOOKUP($A139,'Dados ClubeFII'!$A:$AU,column(G139)-$A$5,0)</f>
        <v>Logisticos</v>
      </c>
      <c r="H139" s="41">
        <f>MID(VLOOKUP($A139,'Dados ClubeFII'!$A:$AU,COLUMN(H139)-$A$5,0),3,100)/MID(VLOOKUP($A139,'Dados ClubeFII'!$A:$AU,2,0),3,SEARCH(",",VLOOKUP($A139,'Dados ClubeFII'!$A:$AU,2,0)))*B139</f>
        <v>3761892639</v>
      </c>
      <c r="I139" s="41">
        <f>MID(VLOOKUP($A139,'Dados ClubeFII'!$A:$AU,column(I139)-$A$5,0),3,100)/1</f>
        <v>3593946728</v>
      </c>
      <c r="J139" s="42">
        <f>VLOOKUP($A139,'Dados ClubeFII'!$A:$AU,column(J139)-$A$5,0)/mid(VLOOKUP($A139,'Dados ClubeFII'!$A:$AU,2,0),3,SEARCH(",",VLOOKUP($A139,'Dados ClubeFII'!$A:$AU,2,0)))*B139</f>
        <v>1.05164728</v>
      </c>
      <c r="K139" s="41">
        <f>if(VLOOKUP($A139,'Dados ClubeFII'!$A:$AU,column(K139)-$A$5,0)="N/D",0,MID(VLOOKUP($A139,'Dados ClubeFII'!$A:$AU,column(K139)-$A$5,0),3,100)/1)/mid(VLOOKUP($A139,'Dados ClubeFII'!$A:$AU,2,0),3,SEARCH(",",VLOOKUP($A139,'Dados ClubeFII'!$A:$AU,2,0)))*B139</f>
        <v>3761.891137</v>
      </c>
      <c r="L139" s="41">
        <f>if(VLOOKUP($A139,'Dados ClubeFII'!$A:$AU,column(L139)-$A$5,0)="N/D",0,MID(VLOOKUP($A139,'Dados ClubeFII'!$A:$AU,column(L139)-$A$5,0),3,100)/1)</f>
        <v>3593.95</v>
      </c>
      <c r="M139" s="41">
        <f>MID(VLOOKUP($A139,'Dados ClubeFII'!$A:$AU,column(M139)-$A$5,0),3,100)/1</f>
        <v>1.1</v>
      </c>
      <c r="N139" s="41">
        <f>MID(VLOOKUP($A139,'Dados ClubeFII'!$A:$AU,column(N139)-$A$5,0),3,100)/1</f>
        <v>25.8</v>
      </c>
      <c r="O139" s="41">
        <f>LEFT(VLOOKUP($A139,'Dados ClubeFII'!$A:$AU,column(O139)-$A$5,0),len(VLOOKUP($A139,'Dados ClubeFII'!$A:$AU,column(O139)-$A$5,0))-2)/1</f>
        <v>1000000</v>
      </c>
      <c r="P139" s="43">
        <f>VLOOKUP($A139,'Dados ClubeFII'!$A:$AU,column(P139)-$A$5,0)</f>
        <v>44971</v>
      </c>
      <c r="Q139" s="44">
        <f>VLOOKUP($A139,'Dados ClubeFII'!$A:$AU,column(Q139)-$A$5,0)/mid(VLOOKUP($A139,'Dados ClubeFII'!$A:$AU,2,0),3,SEARCH(",",VLOOKUP($A139,'Dados ClubeFII'!$A:$AU,2,0)))*B139</f>
        <v>0.08413178236</v>
      </c>
      <c r="R139" s="44">
        <f>VLOOKUP($A139,'Dados ClubeFII'!$A:$AU,column(R139)-$A$5,0)/mid(VLOOKUP($A139,'Dados ClubeFII'!$A:$AU,2,0),3,SEARCH(",",VLOOKUP($A139,'Dados ClubeFII'!$A:$AU,2,0)))*B139</f>
        <v>0.1012954597</v>
      </c>
      <c r="S139" s="43">
        <f>VLOOKUP($A139,'Dados ClubeFII'!$A:$AU,column(S139)-$A$5,0)</f>
        <v>40354</v>
      </c>
      <c r="T139" s="41">
        <f>MID(VLOOKUP($A139,'Dados ClubeFII'!$A:$AU,column(T139)-$A$5,0),3,100)/1</f>
        <v>100</v>
      </c>
      <c r="U139" s="45">
        <f>VLOOKUP($A139,'Dados ClubeFII'!$A:$AU,column(U139)-$A$5,0)/mid(VLOOKUP($A139,'Dados ClubeFII'!$A:$AU,2,0),4,SEARCH(",",VLOOKUP($A139,'Dados ClubeFII'!$A:$AU,2,0))-1)*B139</f>
        <v>-0.0458175626</v>
      </c>
      <c r="V139" s="42">
        <f>VLOOKUP($A139,'Dados ClubeFII'!$A:$AU,column(V139)-$A$5,0)</f>
        <v>0.138</v>
      </c>
      <c r="W139" s="43">
        <f>VLOOKUP($A139,'Dados ClubeFII'!$A:$AU,column(W139)-$A$5,0)</f>
        <v>44957</v>
      </c>
      <c r="X139" s="45">
        <f>VLOOKUP($A139,'Dados ClubeFII'!$A:$AU,column(X139)-$A$5,0)</f>
        <v>0.035</v>
      </c>
      <c r="Y139" s="41">
        <f>MID(VLOOKUP($A139,'Dados ClubeFII'!$A:$AU,column(Y139)-$A$5,0),3,100)/1</f>
        <v>4900320.09</v>
      </c>
      <c r="Z139" s="46">
        <f>VLOOKUP($A139,'Dados ClubeFII'!$A:$AU,column(Z139)-$A$5,0)</f>
        <v>338853</v>
      </c>
      <c r="AA139" s="47">
        <f t="shared" si="2"/>
        <v>23713392</v>
      </c>
      <c r="AB139" s="48">
        <f t="shared" si="3"/>
        <v>151.5576822</v>
      </c>
      <c r="AC139" s="48"/>
      <c r="AD139" s="48"/>
      <c r="AE139" s="48"/>
    </row>
    <row r="140">
      <c r="A140" s="37" t="s">
        <v>163</v>
      </c>
      <c r="B140" s="38">
        <f>IFERROR(__xludf.DUMMYFUNCTION("GOOGLEFINANCE(A140)"),135.7)</f>
        <v>135.7</v>
      </c>
      <c r="C140" s="38">
        <f>IFERROR(__xludf.DUMMYFUNCTION("GOOGLEFINANCE($A140,""high52"")"),148.81)</f>
        <v>148.81</v>
      </c>
      <c r="D140" s="39">
        <f t="shared" si="4"/>
        <v>-0.08809891808</v>
      </c>
      <c r="E140" s="40" t="str">
        <f>VLOOKUP($A140,'Dados ClubeFII'!$A:$AU,column(E140)-$A$5,0)</f>
        <v>Kinea Renda Imobiliária</v>
      </c>
      <c r="F140" s="40" t="str">
        <f>VLOOKUP($A140,'Dados ClubeFII'!$A:$AU,column(F140)-$A$5,0)</f>
        <v>KINEA</v>
      </c>
      <c r="G140" s="40" t="str">
        <f>VLOOKUP($A140,'Dados ClubeFII'!$A:$AU,column(G140)-$A$5,0)</f>
        <v>Híbrido</v>
      </c>
      <c r="H140" s="41">
        <f>MID(VLOOKUP($A140,'Dados ClubeFII'!$A:$AU,column(H140)-$A$5,0),3,100)/mid(VLOOKUP($A140,'Dados ClubeFII'!$A:$AU,2,0),4,SEARCH(",",VLOOKUP($A140,'Dados ClubeFII'!$A:$AU,2,0))-1)*B140</f>
        <v>13089680957</v>
      </c>
      <c r="I140" s="41">
        <f>MID(VLOOKUP($A140,'Dados ClubeFII'!$A:$AU,column(I140)-$A$5,0),3,100)/1</f>
        <v>3862362440</v>
      </c>
      <c r="J140" s="42">
        <f>VLOOKUP($A140,'Dados ClubeFII'!$A:$AU,column(J140)-$A$5,0)/mid(VLOOKUP($A140,'Dados ClubeFII'!$A:$AU,2,0),3,SEARCH(",",VLOOKUP($A140,'Dados ClubeFII'!$A:$AU,2,0)))*B140</f>
        <v>0.8676728625</v>
      </c>
      <c r="K140" s="41">
        <f>if(VLOOKUP($A140,'Dados ClubeFII'!$A:$AU,column(K140)-$A$5,0)="N/D",0,MID(VLOOKUP($A140,'Dados ClubeFII'!$A:$AU,column(K140)-$A$5,0),3,100)/1)/mid(VLOOKUP($A140,'Dados ClubeFII'!$A:$AU,2,0),3,SEARCH(",",VLOOKUP($A140,'Dados ClubeFII'!$A:$AU,2,0)))*B140</f>
        <v>4385.803822</v>
      </c>
      <c r="L140" s="41">
        <f>if(VLOOKUP($A140,'Dados ClubeFII'!$A:$AU,column(L140)-$A$5,0)="N/D",0,MID(VLOOKUP($A140,'Dados ClubeFII'!$A:$AU,column(L140)-$A$5,0),3,100)/1)</f>
        <v>5045.17</v>
      </c>
      <c r="M140" s="41">
        <f>MID(VLOOKUP($A140,'Dados ClubeFII'!$A:$AU,column(M140)-$A$5,0),3,100)/1</f>
        <v>0.91</v>
      </c>
      <c r="N140" s="41">
        <f>MID(VLOOKUP($A140,'Dados ClubeFII'!$A:$AU,column(N140)-$A$5,0),3,100)/1</f>
        <v>28.72</v>
      </c>
      <c r="O140" s="41">
        <f>LEFT(VLOOKUP($A140,'Dados ClubeFII'!$A:$AU,column(O140)-$A$5,0),len(VLOOKUP($A140,'Dados ClubeFII'!$A:$AU,column(O140)-$A$5,0))-2)/1</f>
        <v>765556</v>
      </c>
      <c r="P140" s="43">
        <f>VLOOKUP($A140,'Dados ClubeFII'!$A:$AU,column(P140)-$A$5,0)</f>
        <v>44971</v>
      </c>
      <c r="Q140" s="44">
        <f>VLOOKUP($A140,'Dados ClubeFII'!$A:$AU,column(Q140)-$A$5,0)/mid(VLOOKUP($A140,'Dados ClubeFII'!$A:$AU,2,0),3,SEARCH(",",VLOOKUP($A140,'Dados ClubeFII'!$A:$AU,2,0)))*B140</f>
        <v>0.0829333829</v>
      </c>
      <c r="R140" s="44">
        <f>VLOOKUP($A140,'Dados ClubeFII'!$A:$AU,column(R140)-$A$5,0)/mid(VLOOKUP($A140,'Dados ClubeFII'!$A:$AU,2,0),3,SEARCH(",",VLOOKUP($A140,'Dados ClubeFII'!$A:$AU,2,0)))*B140</f>
        <v>0.07758609665</v>
      </c>
      <c r="S140" s="43">
        <f>VLOOKUP($A140,'Dados ClubeFII'!$A:$AU,column(S140)-$A$5,0)</f>
        <v>40513</v>
      </c>
      <c r="T140" s="41">
        <f>MID(VLOOKUP($A140,'Dados ClubeFII'!$A:$AU,column(T140)-$A$5,0),3,100)/1</f>
        <v>100</v>
      </c>
      <c r="U140" s="45">
        <f>VLOOKUP($A140,'Dados ClubeFII'!$A:$AU,column(U140)-$A$5,0)/mid(VLOOKUP($A140,'Dados ClubeFII'!$A:$AU,2,0),4,SEARCH(",",VLOOKUP($A140,'Dados ClubeFII'!$A:$AU,2,0))-1)*B140</f>
        <v>-0.06844</v>
      </c>
      <c r="V140" s="42">
        <f>VLOOKUP($A140,'Dados ClubeFII'!$A:$AU,column(V140)-$A$5,0)</f>
        <v>0.0235</v>
      </c>
      <c r="W140" s="43">
        <f>VLOOKUP($A140,'Dados ClubeFII'!$A:$AU,column(W140)-$A$5,0)</f>
        <v>44957</v>
      </c>
      <c r="X140" s="45">
        <f>VLOOKUP($A140,'Dados ClubeFII'!$A:$AU,column(X140)-$A$5,0)</f>
        <v>0.0309</v>
      </c>
      <c r="Y140" s="41">
        <f>MID(VLOOKUP($A140,'Dados ClubeFII'!$A:$AU,column(Y140)-$A$5,0),3,100)/1</f>
        <v>3147405.28</v>
      </c>
      <c r="Z140" s="46">
        <f>VLOOKUP($A140,'Dados ClubeFII'!$A:$AU,column(Z140)-$A$5,0)</f>
        <v>244779</v>
      </c>
      <c r="AA140" s="47">
        <f t="shared" si="2"/>
        <v>96460434</v>
      </c>
      <c r="AB140" s="48">
        <f t="shared" si="3"/>
        <v>40.04089842</v>
      </c>
      <c r="AC140" s="48"/>
      <c r="AD140" s="48"/>
      <c r="AE140" s="48"/>
    </row>
    <row r="141">
      <c r="A141" s="37" t="s">
        <v>164</v>
      </c>
      <c r="B141" s="38">
        <f>IFERROR(__xludf.DUMMYFUNCTION("GOOGLEFINANCE(A141)"),170.69)</f>
        <v>170.69</v>
      </c>
      <c r="C141" s="38">
        <f>IFERROR(__xludf.DUMMYFUNCTION("GOOGLEFINANCE($A141,""high52"")"),173.96)</f>
        <v>173.96</v>
      </c>
      <c r="D141" s="39">
        <f t="shared" si="4"/>
        <v>-0.0187974247</v>
      </c>
      <c r="E141" s="40" t="str">
        <f>VLOOKUP($A141,'Dados ClubeFII'!$A:$AU,column(E141)-$A$5,0)</f>
        <v>The One</v>
      </c>
      <c r="F141" s="40" t="str">
        <f>VLOOKUP($A141,'Dados ClubeFII'!$A:$AU,column(F141)-$A$5,0)</f>
        <v>RIO BRAVO</v>
      </c>
      <c r="G141" s="40" t="str">
        <f>VLOOKUP($A141,'Dados ClubeFII'!$A:$AU,column(G141)-$A$5,0)</f>
        <v>Lajes Comerciais</v>
      </c>
      <c r="H141" s="41">
        <f>MID(VLOOKUP($A141,'Dados ClubeFII'!$A:$AU,COLUMN(H141)-$A$5,0),3,100)/MID(VLOOKUP($A141,'Dados ClubeFII'!$A:$AU,2,0),3,SEARCH(",",VLOOKUP($A141,'Dados ClubeFII'!$A:$AU,2,0)))*B141</f>
        <v>155151891.8</v>
      </c>
      <c r="I141" s="41">
        <f>MID(VLOOKUP($A141,'Dados ClubeFII'!$A:$AU,column(I141)-$A$5,0),3,100)/1</f>
        <v>183555548.8</v>
      </c>
      <c r="J141" s="42">
        <f>VLOOKUP($A141,'Dados ClubeFII'!$A:$AU,column(J141)-$A$5,0)/mid(VLOOKUP($A141,'Dados ClubeFII'!$A:$AU,2,0),3,SEARCH(",",VLOOKUP($A141,'Dados ClubeFII'!$A:$AU,2,0)))*B141</f>
        <v>0.8489612394</v>
      </c>
      <c r="K141" s="41">
        <f>if(VLOOKUP($A141,'Dados ClubeFII'!$A:$AU,column(K141)-$A$5,0)="N/D",0,MID(VLOOKUP($A141,'Dados ClubeFII'!$A:$AU,column(K141)-$A$5,0),3,100)/1)/mid(VLOOKUP($A141,'Dados ClubeFII'!$A:$AU,2,0),3,SEARCH(",",VLOOKUP($A141,'Dados ClubeFII'!$A:$AU,2,0)))*B141</f>
        <v>25792.48658</v>
      </c>
      <c r="L141" s="41">
        <f>if(VLOOKUP($A141,'Dados ClubeFII'!$A:$AU,column(L141)-$A$5,0)="N/D",0,MID(VLOOKUP($A141,'Dados ClubeFII'!$A:$AU,column(L141)-$A$5,0),3,100)/1)</f>
        <v>30514.32</v>
      </c>
      <c r="M141" s="41">
        <f>MID(VLOOKUP($A141,'Dados ClubeFII'!$A:$AU,column(M141)-$A$5,0),3,100)/1</f>
        <v>0.98</v>
      </c>
      <c r="N141" s="41">
        <f>MID(VLOOKUP($A141,'Dados ClubeFII'!$A:$AU,column(N141)-$A$5,0),3,100)/1</f>
        <v>148.42</v>
      </c>
      <c r="O141" s="41">
        <f>LEFT(VLOOKUP($A141,'Dados ClubeFII'!$A:$AU,column(O141)-$A$5,0),len(VLOOKUP($A141,'Dados ClubeFII'!$A:$AU,column(O141)-$A$5,0))-2)/1</f>
        <v>6015.39</v>
      </c>
      <c r="P141" s="43">
        <f>VLOOKUP($A141,'Dados ClubeFII'!$A:$AU,column(P141)-$A$5,0)</f>
        <v>44972</v>
      </c>
      <c r="Q141" s="44">
        <f>VLOOKUP($A141,'Dados ClubeFII'!$A:$AU,column(Q141)-$A$5,0)/mid(VLOOKUP($A141,'Dados ClubeFII'!$A:$AU,2,0),3,SEARCH(",",VLOOKUP($A141,'Dados ClubeFII'!$A:$AU,2,0)))*B141</f>
        <v>0.0678193174</v>
      </c>
      <c r="R141" s="44">
        <f>VLOOKUP($A141,'Dados ClubeFII'!$A:$AU,column(R141)-$A$5,0)/mid(VLOOKUP($A141,'Dados ClubeFII'!$A:$AU,2,0),3,SEARCH(",",VLOOKUP($A141,'Dados ClubeFII'!$A:$AU,2,0)))*B141</f>
        <v>0.06215957581</v>
      </c>
      <c r="S141" s="43">
        <f>VLOOKUP($A141,'Dados ClubeFII'!$A:$AU,column(S141)-$A$5,0)</f>
        <v>40969</v>
      </c>
      <c r="T141" s="41">
        <f>MID(VLOOKUP($A141,'Dados ClubeFII'!$A:$AU,column(T141)-$A$5,0),3,100)/1</f>
        <v>100</v>
      </c>
      <c r="U141" s="45">
        <f>VLOOKUP($A141,'Dados ClubeFII'!$A:$AU,column(U141)-$A$5,0)/mid(VLOOKUP($A141,'Dados ClubeFII'!$A:$AU,2,0),4,SEARCH(",",VLOOKUP($A141,'Dados ClubeFII'!$A:$AU,2,0))-1)*B141</f>
        <v>-0.00546791244</v>
      </c>
      <c r="V141" s="42">
        <f>VLOOKUP($A141,'Dados ClubeFII'!$A:$AU,column(V141)-$A$5,0)</f>
        <v>0</v>
      </c>
      <c r="W141" s="43">
        <f>VLOOKUP($A141,'Dados ClubeFII'!$A:$AU,column(W141)-$A$5,0)</f>
        <v>42855</v>
      </c>
      <c r="X141" s="45">
        <f>VLOOKUP($A141,'Dados ClubeFII'!$A:$AU,column(X141)-$A$5,0)</f>
        <v>0</v>
      </c>
      <c r="Y141" s="41">
        <f>MID(VLOOKUP($A141,'Dados ClubeFII'!$A:$AU,column(Y141)-$A$5,0),3,100)/1</f>
        <v>67776.38</v>
      </c>
      <c r="Z141" s="46">
        <f>VLOOKUP($A141,'Dados ClubeFII'!$A:$AU,column(Z141)-$A$5,0)</f>
        <v>3331</v>
      </c>
      <c r="AA141" s="47">
        <f t="shared" si="2"/>
        <v>908968</v>
      </c>
      <c r="AB141" s="48">
        <f t="shared" si="3"/>
        <v>201.9384057</v>
      </c>
      <c r="AC141" s="48"/>
      <c r="AD141" s="48"/>
      <c r="AE141" s="48"/>
    </row>
    <row r="142">
      <c r="A142" s="49" t="s">
        <v>165</v>
      </c>
      <c r="B142" s="38">
        <f>IFERROR(__xludf.DUMMYFUNCTION("GOOGLEFINANCE(A142)"),94.44)</f>
        <v>94.44</v>
      </c>
      <c r="C142" s="38">
        <f>IFERROR(__xludf.DUMMYFUNCTION("GOOGLEFINANCE($A142,""high52"")"),115.61)</f>
        <v>115.61</v>
      </c>
      <c r="D142" s="39">
        <f t="shared" si="4"/>
        <v>-0.1831156474</v>
      </c>
      <c r="E142" s="40" t="str">
        <f>VLOOKUP($A142,'Dados ClubeFII'!$A:$AU,column(E142)-$A$5,0)</f>
        <v>VBI Logístico</v>
      </c>
      <c r="F142" s="40" t="str">
        <f>VLOOKUP($A142,'Dados ClubeFII'!$A:$AU,column(F142)-$A$5,0)</f>
        <v>VBI REAL ESTATE</v>
      </c>
      <c r="G142" s="40" t="str">
        <f>VLOOKUP($A142,'Dados ClubeFII'!$A:$AU,column(G142)-$A$5,0)</f>
        <v>Logisticos</v>
      </c>
      <c r="H142" s="41">
        <f>MID(VLOOKUP($A142,'Dados ClubeFII'!$A:$AU,COLUMN(H142)-$A$5,0),3,100)/MID(VLOOKUP($A142,'Dados ClubeFII'!$A:$AU,2,0),3,SEARCH(",",VLOOKUP($A142,'Dados ClubeFII'!$A:$AU,2,0)))*B142</f>
        <v>1108445747</v>
      </c>
      <c r="I142" s="41">
        <f>MID(VLOOKUP($A142,'Dados ClubeFII'!$A:$AU,column(I142)-$A$5,0),3,100)/1</f>
        <v>1359913038</v>
      </c>
      <c r="J142" s="42">
        <f>VLOOKUP($A142,'Dados ClubeFII'!$A:$AU,column(J142)-$A$5,0)/mid(VLOOKUP($A142,'Dados ClubeFII'!$A:$AU,2,0),3,SEARCH(",",VLOOKUP($A142,'Dados ClubeFII'!$A:$AU,2,0)))*B142</f>
        <v>0.8157201468</v>
      </c>
      <c r="K142" s="41">
        <f>if(VLOOKUP($A142,'Dados ClubeFII'!$A:$AU,column(K142)-$A$5,0)="N/D",0,MID(VLOOKUP($A142,'Dados ClubeFII'!$A:$AU,column(K142)-$A$5,0),3,100)/1)/mid(VLOOKUP($A142,'Dados ClubeFII'!$A:$AU,2,0),3,SEARCH(",",VLOOKUP($A142,'Dados ClubeFII'!$A:$AU,2,0)))*B142</f>
        <v>2315.421637</v>
      </c>
      <c r="L142" s="41">
        <f>if(VLOOKUP($A142,'Dados ClubeFII'!$A:$AU,column(L142)-$A$5,0)="N/D",0,MID(VLOOKUP($A142,'Dados ClubeFII'!$A:$AU,column(L142)-$A$5,0),3,100)/1)</f>
        <v>2840.71</v>
      </c>
      <c r="M142" s="41">
        <f>MID(VLOOKUP($A142,'Dados ClubeFII'!$A:$AU,column(M142)-$A$5,0),3,100)/1</f>
        <v>0.75</v>
      </c>
      <c r="N142" s="41">
        <f>MID(VLOOKUP($A142,'Dados ClubeFII'!$A:$AU,column(N142)-$A$5,0),3,100)/1</f>
        <v>18.45</v>
      </c>
      <c r="O142" s="41">
        <f>LEFT(VLOOKUP($A142,'Dados ClubeFII'!$A:$AU,column(O142)-$A$5,0),len(VLOOKUP($A142,'Dados ClubeFII'!$A:$AU,column(O142)-$A$5,0))-2)/1</f>
        <v>478723</v>
      </c>
      <c r="P142" s="43">
        <f>VLOOKUP($A142,'Dados ClubeFII'!$A:$AU,column(P142)-$A$5,0)</f>
        <v>44964</v>
      </c>
      <c r="Q142" s="44">
        <f>VLOOKUP($A142,'Dados ClubeFII'!$A:$AU,column(Q142)-$A$5,0)/mid(VLOOKUP($A142,'Dados ClubeFII'!$A:$AU,2,0),3,SEARCH(",",VLOOKUP($A142,'Dados ClubeFII'!$A:$AU,2,0)))*B142</f>
        <v>0.1040043187</v>
      </c>
      <c r="R142" s="44">
        <f>VLOOKUP($A142,'Dados ClubeFII'!$A:$AU,column(R142)-$A$5,0)/mid(VLOOKUP($A142,'Dados ClubeFII'!$A:$AU,2,0),3,SEARCH(",",VLOOKUP($A142,'Dados ClubeFII'!$A:$AU,2,0)))*B142</f>
        <v>0.09819231268</v>
      </c>
      <c r="S142" s="43">
        <f>VLOOKUP($A142,'Dados ClubeFII'!$A:$AU,column(S142)-$A$5,0)</f>
        <v>43420</v>
      </c>
      <c r="T142" s="41">
        <f>MID(VLOOKUP($A142,'Dados ClubeFII'!$A:$AU,column(T142)-$A$5,0),3,100)/1</f>
        <v>100</v>
      </c>
      <c r="U142" s="45">
        <f>VLOOKUP($A142,'Dados ClubeFII'!$A:$AU,column(U142)-$A$5,0)/mid(VLOOKUP($A142,'Dados ClubeFII'!$A:$AU,2,0),4,SEARCH(",",VLOOKUP($A142,'Dados ClubeFII'!$A:$AU,2,0))-1)*B142</f>
        <v>-3.748763359</v>
      </c>
      <c r="V142" s="42">
        <f>VLOOKUP($A142,'Dados ClubeFII'!$A:$AU,column(V142)-$A$5,0)</f>
        <v>0.024</v>
      </c>
      <c r="W142" s="43">
        <f>VLOOKUP($A142,'Dados ClubeFII'!$A:$AU,column(W142)-$A$5,0)</f>
        <v>44925</v>
      </c>
      <c r="X142" s="45">
        <f>VLOOKUP($A142,'Dados ClubeFII'!$A:$AU,column(X142)-$A$5,0)</f>
        <v>0.0111</v>
      </c>
      <c r="Y142" s="41">
        <f>MID(VLOOKUP($A142,'Dados ClubeFII'!$A:$AU,column(Y142)-$A$5,0),3,100)/1</f>
        <v>2496620.45</v>
      </c>
      <c r="Z142" s="46">
        <f>VLOOKUP($A142,'Dados ClubeFII'!$A:$AU,column(Z142)-$A$5,0)</f>
        <v>67265</v>
      </c>
      <c r="AA142" s="47">
        <f t="shared" si="2"/>
        <v>11737036</v>
      </c>
      <c r="AB142" s="48">
        <f t="shared" si="3"/>
        <v>115.865116</v>
      </c>
      <c r="AC142" s="48"/>
      <c r="AD142" s="48"/>
      <c r="AE142" s="48"/>
    </row>
    <row r="143">
      <c r="A143" s="49" t="s">
        <v>166</v>
      </c>
      <c r="B143" s="38">
        <f>IFERROR(__xludf.DUMMYFUNCTION("GOOGLEFINANCE(A143)"),0.3)</f>
        <v>0.3</v>
      </c>
      <c r="C143" s="38">
        <f>IFERROR(__xludf.DUMMYFUNCTION("GOOGLEFINANCE($A143,""high52"")"),74.14)</f>
        <v>74.14</v>
      </c>
      <c r="D143" s="39">
        <f t="shared" si="4"/>
        <v>-0.9959536013</v>
      </c>
      <c r="E143" s="40" t="str">
        <f>VLOOKUP($A143,'Dados ClubeFII'!$A:$AU,column(E143)-$A$5,0)</f>
        <v>Votorantim Securities</v>
      </c>
      <c r="F143" s="40" t="str">
        <f>VLOOKUP($A143,'Dados ClubeFII'!$A:$AU,column(F143)-$A$5,0)</f>
        <v>VOTORANTIM ASSET</v>
      </c>
      <c r="G143" s="40" t="str">
        <f>VLOOKUP($A143,'Dados ClubeFII'!$A:$AU,column(G143)-$A$5,0)</f>
        <v>Recebíveis Imobiliários</v>
      </c>
      <c r="H143" s="41">
        <f>MID(VLOOKUP($A143,'Dados ClubeFII'!$A:$AU,column(H143)-$A$5,0),3,100)/mid(VLOOKUP($A143,'Dados ClubeFII'!$A:$AU,2,0),4,SEARCH(",",VLOOKUP($A143,'Dados ClubeFII'!$A:$AU,2,0))-1)*B143</f>
        <v>207025.5</v>
      </c>
      <c r="I143" s="41">
        <f>MID(VLOOKUP($A143,'Dados ClubeFII'!$A:$AU,column(I143)-$A$5,0),3,100)/1</f>
        <v>6337679.19</v>
      </c>
      <c r="J143" s="42">
        <f>VLOOKUP($A143,'Dados ClubeFII'!$A:$AU,column(J143)-$A$5,0)/mid(VLOOKUP($A143,'Dados ClubeFII'!$A:$AU,2,0),3,SEARCH(",",VLOOKUP($A143,'Dados ClubeFII'!$A:$AU,2,0)))*B143</f>
        <v>0.003</v>
      </c>
      <c r="K143" s="41">
        <f>if(VLOOKUP($A143,'Dados ClubeFII'!$A:$AU,column(K143)-$A$5,0)="N/D",0,MID(VLOOKUP($A143,'Dados ClubeFII'!$A:$AU,column(K143)-$A$5,0),3,100)/1)/mid(VLOOKUP($A143,'Dados ClubeFII'!$A:$AU,2,0),3,SEARCH(",",VLOOKUP($A143,'Dados ClubeFII'!$A:$AU,2,0)))*B143</f>
        <v>0</v>
      </c>
      <c r="L143" s="41">
        <f>if(VLOOKUP($A143,'Dados ClubeFII'!$A:$AU,column(L143)-$A$5,0)="N/D",0,MID(VLOOKUP($A143,'Dados ClubeFII'!$A:$AU,column(L143)-$A$5,0),3,100)/1)</f>
        <v>0</v>
      </c>
      <c r="M143" s="41">
        <f>MID(VLOOKUP($A143,'Dados ClubeFII'!$A:$AU,column(M143)-$A$5,0),3,100)/1</f>
        <v>0.13</v>
      </c>
      <c r="N143" s="41">
        <f>MID(VLOOKUP($A143,'Dados ClubeFII'!$A:$AU,column(N143)-$A$5,0),3,100)/1</f>
        <v>0</v>
      </c>
      <c r="O143" s="41">
        <f>LEFT(VLOOKUP($A143,'Dados ClubeFII'!$A:$AU,column(O143)-$A$5,0),len(VLOOKUP($A143,'Dados ClubeFII'!$A:$AU,column(O143)-$A$5,0))-2)/1</f>
        <v>0</v>
      </c>
      <c r="P143" s="43">
        <f>VLOOKUP($A143,'Dados ClubeFII'!$A:$AU,column(P143)-$A$5,0)</f>
        <v>44987</v>
      </c>
      <c r="Q143" s="44">
        <f>VLOOKUP($A143,'Dados ClubeFII'!$A:$AU,column(Q143)-$A$5,0)/mid(VLOOKUP($A143,'Dados ClubeFII'!$A:$AU,2,0),3,SEARCH(",",VLOOKUP($A143,'Dados ClubeFII'!$A:$AU,2,0)))*B143</f>
        <v>0.0002454545455</v>
      </c>
      <c r="R143" s="44">
        <f>VLOOKUP($A143,'Dados ClubeFII'!$A:$AU,column(R143)-$A$5,0)/mid(VLOOKUP($A143,'Dados ClubeFII'!$A:$AU,2,0),3,SEARCH(",",VLOOKUP($A143,'Dados ClubeFII'!$A:$AU,2,0)))*B143</f>
        <v>0.0005795454545</v>
      </c>
      <c r="S143" s="43">
        <f>VLOOKUP($A143,'Dados ClubeFII'!$A:$AU,column(S143)-$A$5,0)</f>
        <v>44013</v>
      </c>
      <c r="T143" s="41">
        <f>MID(VLOOKUP($A143,'Dados ClubeFII'!$A:$AU,column(T143)-$A$5,0),3,100)/1</f>
        <v>100</v>
      </c>
      <c r="U143" s="45">
        <f>VLOOKUP($A143,'Dados ClubeFII'!$A:$AU,column(U143)-$A$5,0)/mid(VLOOKUP($A143,'Dados ClubeFII'!$A:$AU,2,0),4,SEARCH(",",VLOOKUP($A143,'Dados ClubeFII'!$A:$AU,2,0))-1)*B143</f>
        <v>-0.003645</v>
      </c>
      <c r="V143" s="42" t="str">
        <f>VLOOKUP($A143,'Dados ClubeFII'!$A:$AU,column(V143)-$A$5,0)</f>
        <v>N/D</v>
      </c>
      <c r="W143" s="43" t="str">
        <f>VLOOKUP($A143,'Dados ClubeFII'!$A:$AU,column(W143)-$A$5,0)</f>
        <v>N/D</v>
      </c>
      <c r="X143" s="45">
        <f>VLOOKUP($A143,'Dados ClubeFII'!$A:$AU,column(X143)-$A$5,0)</f>
        <v>0</v>
      </c>
      <c r="Y143" s="41">
        <f>MID(VLOOKUP($A143,'Dados ClubeFII'!$A:$AU,column(Y143)-$A$5,0),3,100)/1</f>
        <v>0</v>
      </c>
      <c r="Z143" s="46">
        <f>VLOOKUP($A143,'Dados ClubeFII'!$A:$AU,column(Z143)-$A$5,0)</f>
        <v>65</v>
      </c>
      <c r="AA143" s="47">
        <f t="shared" si="2"/>
        <v>690085</v>
      </c>
      <c r="AB143" s="48">
        <f t="shared" si="3"/>
        <v>9.183910953</v>
      </c>
      <c r="AC143" s="48"/>
      <c r="AD143" s="48"/>
      <c r="AE143" s="48"/>
    </row>
    <row r="144">
      <c r="A144" s="37" t="s">
        <v>167</v>
      </c>
      <c r="B144" s="38">
        <f>IFERROR(__xludf.DUMMYFUNCTION("GOOGLEFINANCE(A144)"),104.96)</f>
        <v>104.96</v>
      </c>
      <c r="C144" s="38">
        <f>IFERROR(__xludf.DUMMYFUNCTION("GOOGLEFINANCE($A144,""high52"")"),148.45)</f>
        <v>148.45</v>
      </c>
      <c r="D144" s="39">
        <f t="shared" si="4"/>
        <v>-0.2929605928</v>
      </c>
      <c r="E144" s="40" t="str">
        <f>VLOOKUP($A144,'Dados ClubeFII'!$A:$AU,column(E144)-$A$5,0)</f>
        <v>Torre Norte</v>
      </c>
      <c r="F144" s="40" t="str">
        <f>VLOOKUP($A144,'Dados ClubeFII'!$A:$AU,column(F144)-$A$5,0)</f>
        <v>BTG PACTUAL</v>
      </c>
      <c r="G144" s="40" t="str">
        <f>VLOOKUP($A144,'Dados ClubeFII'!$A:$AU,column(G144)-$A$5,0)</f>
        <v>Lajes Comerciais</v>
      </c>
      <c r="H144" s="41">
        <f>MID(VLOOKUP($A144,'Dados ClubeFII'!$A:$AU,COLUMN(H144)-$A$5,0),3,100)/MID(VLOOKUP($A144,'Dados ClubeFII'!$A:$AU,2,0),3,SEARCH(",",VLOOKUP($A144,'Dados ClubeFII'!$A:$AU,2,0)))*B144</f>
        <v>413076587.5</v>
      </c>
      <c r="I144" s="41">
        <f>MID(VLOOKUP($A144,'Dados ClubeFII'!$A:$AU,column(I144)-$A$5,0),3,100)/1</f>
        <v>773950568.6</v>
      </c>
      <c r="J144" s="42">
        <f>VLOOKUP($A144,'Dados ClubeFII'!$A:$AU,column(J144)-$A$5,0)/mid(VLOOKUP($A144,'Dados ClubeFII'!$A:$AU,2,0),3,SEARCH(",",VLOOKUP($A144,'Dados ClubeFII'!$A:$AU,2,0)))*B144</f>
        <v>0.5334032787</v>
      </c>
      <c r="K144" s="41">
        <f>if(VLOOKUP($A144,'Dados ClubeFII'!$A:$AU,column(K144)-$A$5,0)="N/D",0,MID(VLOOKUP($A144,'Dados ClubeFII'!$A:$AU,column(K144)-$A$5,0),3,100)/1)/mid(VLOOKUP($A144,'Dados ClubeFII'!$A:$AU,2,0),3,SEARCH(",",VLOOKUP($A144,'Dados ClubeFII'!$A:$AU,2,0)))*B144</f>
        <v>6603.412144</v>
      </c>
      <c r="L144" s="41">
        <f>if(VLOOKUP($A144,'Dados ClubeFII'!$A:$AU,column(L144)-$A$5,0)="N/D",0,MID(VLOOKUP($A144,'Dados ClubeFII'!$A:$AU,column(L144)-$A$5,0),3,100)/1)</f>
        <v>12372.32</v>
      </c>
      <c r="M144" s="41">
        <f>MID(VLOOKUP($A144,'Dados ClubeFII'!$A:$AU,column(M144)-$A$5,0),3,100)/1</f>
        <v>0.4</v>
      </c>
      <c r="N144" s="41">
        <f>MID(VLOOKUP($A144,'Dados ClubeFII'!$A:$AU,column(N144)-$A$5,0),3,100)/1</f>
        <v>25.17</v>
      </c>
      <c r="O144" s="41">
        <f>LEFT(VLOOKUP($A144,'Dados ClubeFII'!$A:$AU,column(O144)-$A$5,0),len(VLOOKUP($A144,'Dados ClubeFII'!$A:$AU,column(O144)-$A$5,0))-2)/1</f>
        <v>62555</v>
      </c>
      <c r="P144" s="43">
        <f>VLOOKUP($A144,'Dados ClubeFII'!$A:$AU,column(P144)-$A$5,0)</f>
        <v>44974</v>
      </c>
      <c r="Q144" s="44">
        <f>VLOOKUP($A144,'Dados ClubeFII'!$A:$AU,column(Q144)-$A$5,0)/mid(VLOOKUP($A144,'Dados ClubeFII'!$A:$AU,2,0),3,SEARCH(",",VLOOKUP($A144,'Dados ClubeFII'!$A:$AU,2,0)))*B144</f>
        <v>0.03449914754</v>
      </c>
      <c r="R144" s="44">
        <f>VLOOKUP($A144,'Dados ClubeFII'!$A:$AU,column(R144)-$A$5,0)/mid(VLOOKUP($A144,'Dados ClubeFII'!$A:$AU,2,0),3,SEARCH(",",VLOOKUP($A144,'Dados ClubeFII'!$A:$AU,2,0)))*B144</f>
        <v>0.03226229508</v>
      </c>
      <c r="S144" s="43">
        <f>VLOOKUP($A144,'Dados ClubeFII'!$A:$AU,column(S144)-$A$5,0)</f>
        <v>38139</v>
      </c>
      <c r="T144" s="41">
        <f>MID(VLOOKUP($A144,'Dados ClubeFII'!$A:$AU,column(T144)-$A$5,0),3,100)/1</f>
        <v>100</v>
      </c>
      <c r="U144" s="45">
        <f>VLOOKUP($A144,'Dados ClubeFII'!$A:$AU,column(U144)-$A$5,0)/mid(VLOOKUP($A144,'Dados ClubeFII'!$A:$AU,2,0),4,SEARCH(",",VLOOKUP($A144,'Dados ClubeFII'!$A:$AU,2,0))-1)*B144</f>
        <v>-0.1145018182</v>
      </c>
      <c r="V144" s="42">
        <f>VLOOKUP($A144,'Dados ClubeFII'!$A:$AU,column(V144)-$A$5,0)</f>
        <v>0.4163</v>
      </c>
      <c r="W144" s="43" t="str">
        <f>VLOOKUP($A144,'Dados ClubeFII'!$A:$AU,column(W144)-$A$5,0)</f>
        <v>N/D</v>
      </c>
      <c r="X144" s="45">
        <f>VLOOKUP($A144,'Dados ClubeFII'!$A:$AU,column(X144)-$A$5,0)</f>
        <v>0</v>
      </c>
      <c r="Y144" s="41">
        <f>MID(VLOOKUP($A144,'Dados ClubeFII'!$A:$AU,column(Y144)-$A$5,0),3,100)/1</f>
        <v>3396.41</v>
      </c>
      <c r="Z144" s="46">
        <f>VLOOKUP($A144,'Dados ClubeFII'!$A:$AU,column(Z144)-$A$5,0)</f>
        <v>716</v>
      </c>
      <c r="AA144" s="47">
        <f t="shared" si="2"/>
        <v>3935562</v>
      </c>
      <c r="AB144" s="48">
        <f t="shared" si="3"/>
        <v>196.6556666</v>
      </c>
      <c r="AC144" s="48"/>
      <c r="AD144" s="48"/>
      <c r="AE144" s="48"/>
    </row>
    <row r="145">
      <c r="A145" s="37" t="s">
        <v>168</v>
      </c>
      <c r="B145" s="38">
        <f>IFERROR(__xludf.DUMMYFUNCTION("GOOGLEFINANCE(A145)"),25.0)</f>
        <v>25</v>
      </c>
      <c r="C145" s="38">
        <f>IFERROR(__xludf.DUMMYFUNCTION("GOOGLEFINANCE($A145,""high52"")"),29.63)</f>
        <v>29.63</v>
      </c>
      <c r="D145" s="39">
        <f t="shared" si="4"/>
        <v>-0.1562605467</v>
      </c>
      <c r="E145" s="40" t="str">
        <f>VLOOKUP($A145,'Dados ClubeFII'!$A:$AU,column(E145)-$A$5,0)</f>
        <v>Fundo BB Renda de Papéis II</v>
      </c>
      <c r="F145" s="40" t="str">
        <f>VLOOKUP($A145,'Dados ClubeFII'!$A:$AU,column(F145)-$A$5,0)</f>
        <v>VOTORANTIM ASSET</v>
      </c>
      <c r="G145" s="40" t="str">
        <f>VLOOKUP($A145,'Dados ClubeFII'!$A:$AU,column(G145)-$A$5,0)</f>
        <v>Recebíveis Imobiliários</v>
      </c>
      <c r="H145" s="41">
        <f>MID(VLOOKUP($A145,'Dados ClubeFII'!$A:$AU,column(H145)-$A$5,0),3,100)/mid(VLOOKUP($A145,'Dados ClubeFII'!$A:$AU,2,0),4,SEARCH(",",VLOOKUP($A145,'Dados ClubeFII'!$A:$AU,2,0))-1)*B145</f>
        <v>107401945.5</v>
      </c>
      <c r="I145" s="41">
        <f>MID(VLOOKUP($A145,'Dados ClubeFII'!$A:$AU,column(I145)-$A$5,0),3,100)/1</f>
        <v>30458260.17</v>
      </c>
      <c r="J145" s="42">
        <f>VLOOKUP($A145,'Dados ClubeFII'!$A:$AU,column(J145)-$A$5,0)/mid(VLOOKUP($A145,'Dados ClubeFII'!$A:$AU,2,0),3,SEARCH(",",VLOOKUP($A145,'Dados ClubeFII'!$A:$AU,2,0)))*B145</f>
        <v>0.8895131086</v>
      </c>
      <c r="K145" s="41">
        <f>if(VLOOKUP($A145,'Dados ClubeFII'!$A:$AU,column(K145)-$A$5,0)="N/D",0,MID(VLOOKUP($A145,'Dados ClubeFII'!$A:$AU,column(K145)-$A$5,0),3,100)/1)/mid(VLOOKUP($A145,'Dados ClubeFII'!$A:$AU,2,0),3,SEARCH(",",VLOOKUP($A145,'Dados ClubeFII'!$A:$AU,2,0)))*B145</f>
        <v>0</v>
      </c>
      <c r="L145" s="41">
        <f>if(VLOOKUP($A145,'Dados ClubeFII'!$A:$AU,column(L145)-$A$5,0)="N/D",0,MID(VLOOKUP($A145,'Dados ClubeFII'!$A:$AU,column(L145)-$A$5,0),3,100)/1)</f>
        <v>0</v>
      </c>
      <c r="M145" s="41">
        <f>MID(VLOOKUP($A145,'Dados ClubeFII'!$A:$AU,column(M145)-$A$5,0),3,100)/1</f>
        <v>0.34</v>
      </c>
      <c r="N145" s="41">
        <f>MID(VLOOKUP($A145,'Dados ClubeFII'!$A:$AU,column(N145)-$A$5,0),3,100)/1</f>
        <v>0</v>
      </c>
      <c r="O145" s="41">
        <f>LEFT(VLOOKUP($A145,'Dados ClubeFII'!$A:$AU,column(O145)-$A$5,0),len(VLOOKUP($A145,'Dados ClubeFII'!$A:$AU,column(O145)-$A$5,0))-2)/1</f>
        <v>0</v>
      </c>
      <c r="P145" s="43">
        <f>VLOOKUP($A145,'Dados ClubeFII'!$A:$AU,column(P145)-$A$5,0)</f>
        <v>44971</v>
      </c>
      <c r="Q145" s="44">
        <f>VLOOKUP($A145,'Dados ClubeFII'!$A:$AU,column(Q145)-$A$5,0)/mid(VLOOKUP($A145,'Dados ClubeFII'!$A:$AU,2,0),3,SEARCH(",",VLOOKUP($A145,'Dados ClubeFII'!$A:$AU,2,0)))*B145</f>
        <v>0.1535580524</v>
      </c>
      <c r="R145" s="44">
        <f>VLOOKUP($A145,'Dados ClubeFII'!$A:$AU,column(R145)-$A$5,0)/mid(VLOOKUP($A145,'Dados ClubeFII'!$A:$AU,2,0),3,SEARCH(",",VLOOKUP($A145,'Dados ClubeFII'!$A:$AU,2,0)))*B145</f>
        <v>0.2220037453</v>
      </c>
      <c r="S145" s="43">
        <f>VLOOKUP($A145,'Dados ClubeFII'!$A:$AU,column(S145)-$A$5,0)</f>
        <v>43223</v>
      </c>
      <c r="T145" s="41">
        <f>MID(VLOOKUP($A145,'Dados ClubeFII'!$A:$AU,column(T145)-$A$5,0),3,100)/1</f>
        <v>100</v>
      </c>
      <c r="U145" s="45">
        <f>VLOOKUP($A145,'Dados ClubeFII'!$A:$AU,column(U145)-$A$5,0)/mid(VLOOKUP($A145,'Dados ClubeFII'!$A:$AU,2,0),4,SEARCH(",",VLOOKUP($A145,'Dados ClubeFII'!$A:$AU,2,0))-1)*B145</f>
        <v>-0.4585820896</v>
      </c>
      <c r="V145" s="42" t="str">
        <f>VLOOKUP($A145,'Dados ClubeFII'!$A:$AU,column(V145)-$A$5,0)</f>
        <v>N/D</v>
      </c>
      <c r="W145" s="43" t="str">
        <f>VLOOKUP($A145,'Dados ClubeFII'!$A:$AU,column(W145)-$A$5,0)</f>
        <v>N/D</v>
      </c>
      <c r="X145" s="45">
        <f>VLOOKUP($A145,'Dados ClubeFII'!$A:$AU,column(X145)-$A$5,0)</f>
        <v>0</v>
      </c>
      <c r="Y145" s="41">
        <f>MID(VLOOKUP($A145,'Dados ClubeFII'!$A:$AU,column(Y145)-$A$5,0),3,100)/1</f>
        <v>22343.49</v>
      </c>
      <c r="Z145" s="46">
        <f>VLOOKUP($A145,'Dados ClubeFII'!$A:$AU,column(Z145)-$A$5,0)</f>
        <v>1621</v>
      </c>
      <c r="AA145" s="47">
        <f t="shared" si="2"/>
        <v>4296077</v>
      </c>
      <c r="AB145" s="48">
        <f t="shared" si="3"/>
        <v>7.08978451</v>
      </c>
      <c r="AC145" s="48"/>
      <c r="AD145" s="48"/>
      <c r="AE145" s="48"/>
    </row>
    <row r="146">
      <c r="A146" s="37" t="s">
        <v>169</v>
      </c>
      <c r="B146" s="38" t="str">
        <f>IFERROR(__xludf.DUMMYFUNCTION("GOOGLEFINANCE(A146)"),"#N/A")</f>
        <v>#N/A</v>
      </c>
      <c r="C146" s="38" t="str">
        <f>IFERROR(__xludf.DUMMYFUNCTION("GOOGLEFINANCE($A146,""high52"")"),"#N/A")</f>
        <v>#N/A</v>
      </c>
      <c r="D146" s="39" t="str">
        <f t="shared" si="4"/>
        <v>#N/A</v>
      </c>
      <c r="E146" s="40" t="str">
        <f>VLOOKUP($A146,'Dados ClubeFII'!$A:$AU,column(E146)-$A$5,0)</f>
        <v>#N/A</v>
      </c>
      <c r="F146" s="40" t="str">
        <f>VLOOKUP($A146,'Dados ClubeFII'!$A:$AU,column(F146)-$A$5,0)</f>
        <v>#N/A</v>
      </c>
      <c r="G146" s="40" t="str">
        <f>VLOOKUP($A146,'Dados ClubeFII'!$A:$AU,column(G146)-$A$5,0)</f>
        <v>#N/A</v>
      </c>
      <c r="H146" s="41" t="str">
        <f>MID(VLOOKUP($A146,'Dados ClubeFII'!$A:$AU,COLUMN(H146)-$A$5,0),3,100)/MID(VLOOKUP($A146,'Dados ClubeFII'!$A:$AU,2,0),3,SEARCH(",",VLOOKUP($A146,'Dados ClubeFII'!$A:$AU,2,0)))*B146</f>
        <v>#N/A</v>
      </c>
      <c r="I146" s="41" t="str">
        <f>MID(VLOOKUP($A146,'Dados ClubeFII'!$A:$AU,column(I146)-$A$5,0),3,100)/1</f>
        <v>#N/A</v>
      </c>
      <c r="J146" s="42" t="str">
        <f>VLOOKUP($A146,'Dados ClubeFII'!$A:$AU,column(J146)-$A$5,0)/mid(VLOOKUP($A146,'Dados ClubeFII'!$A:$AU,2,0),3,SEARCH(",",VLOOKUP($A146,'Dados ClubeFII'!$A:$AU,2,0)))*B146</f>
        <v>#N/A</v>
      </c>
      <c r="K146" s="41" t="str">
        <f>if(VLOOKUP($A146,'Dados ClubeFII'!$A:$AU,column(K146)-$A$5,0)="N/D",0,MID(VLOOKUP($A146,'Dados ClubeFII'!$A:$AU,column(K146)-$A$5,0),3,100)/1)/mid(VLOOKUP($A146,'Dados ClubeFII'!$A:$AU,2,0),3,SEARCH(",",VLOOKUP($A146,'Dados ClubeFII'!$A:$AU,2,0)))*B146</f>
        <v>#N/A</v>
      </c>
      <c r="L146" s="41" t="str">
        <f>if(VLOOKUP($A146,'Dados ClubeFII'!$A:$AU,column(L146)-$A$5,0)="N/D",0,MID(VLOOKUP($A146,'Dados ClubeFII'!$A:$AU,column(L146)-$A$5,0),3,100)/1)</f>
        <v>#N/A</v>
      </c>
      <c r="M146" s="41" t="str">
        <f>MID(VLOOKUP($A146,'Dados ClubeFII'!$A:$AU,column(M146)-$A$5,0),3,100)/1</f>
        <v>#N/A</v>
      </c>
      <c r="N146" s="41" t="str">
        <f>MID(VLOOKUP($A146,'Dados ClubeFII'!$A:$AU,column(N146)-$A$5,0),3,100)/1</f>
        <v>#N/A</v>
      </c>
      <c r="O146" s="41" t="str">
        <f>LEFT(VLOOKUP($A146,'Dados ClubeFII'!$A:$AU,column(O146)-$A$5,0),len(VLOOKUP($A146,'Dados ClubeFII'!$A:$AU,column(O146)-$A$5,0))-2)/1</f>
        <v>#N/A</v>
      </c>
      <c r="P146" s="43" t="str">
        <f>VLOOKUP($A146,'Dados ClubeFII'!$A:$AU,column(P146)-$A$5,0)</f>
        <v>#N/A</v>
      </c>
      <c r="Q146" s="44" t="str">
        <f>VLOOKUP($A146,'Dados ClubeFII'!$A:$AU,column(Q146)-$A$5,0)/mid(VLOOKUP($A146,'Dados ClubeFII'!$A:$AU,2,0),3,SEARCH(",",VLOOKUP($A146,'Dados ClubeFII'!$A:$AU,2,0)))*B146</f>
        <v>#N/A</v>
      </c>
      <c r="R146" s="44" t="str">
        <f>VLOOKUP($A146,'Dados ClubeFII'!$A:$AU,column(R146)-$A$5,0)/mid(VLOOKUP($A146,'Dados ClubeFII'!$A:$AU,2,0),3,SEARCH(",",VLOOKUP($A146,'Dados ClubeFII'!$A:$AU,2,0)))*B146</f>
        <v>#N/A</v>
      </c>
      <c r="S146" s="43" t="str">
        <f>VLOOKUP($A146,'Dados ClubeFII'!$A:$AU,column(S146)-$A$5,0)</f>
        <v>#N/A</v>
      </c>
      <c r="T146" s="41" t="str">
        <f>MID(VLOOKUP($A146,'Dados ClubeFII'!$A:$AU,column(T146)-$A$5,0),3,100)/1</f>
        <v>#N/A</v>
      </c>
      <c r="U146" s="45" t="str">
        <f>VLOOKUP($A146,'Dados ClubeFII'!$A:$AU,column(U146)-$A$5,0)/mid(VLOOKUP($A146,'Dados ClubeFII'!$A:$AU,2,0),4,SEARCH(",",VLOOKUP($A146,'Dados ClubeFII'!$A:$AU,2,0))-1)*B146</f>
        <v>#N/A</v>
      </c>
      <c r="V146" s="42" t="str">
        <f>VLOOKUP($A146,'Dados ClubeFII'!$A:$AU,column(V146)-$A$5,0)</f>
        <v>#N/A</v>
      </c>
      <c r="W146" s="43" t="str">
        <f>VLOOKUP($A146,'Dados ClubeFII'!$A:$AU,column(W146)-$A$5,0)</f>
        <v>#N/A</v>
      </c>
      <c r="X146" s="45" t="str">
        <f>VLOOKUP($A146,'Dados ClubeFII'!$A:$AU,column(X146)-$A$5,0)</f>
        <v>#N/A</v>
      </c>
      <c r="Y146" s="41" t="str">
        <f>MID(VLOOKUP($A146,'Dados ClubeFII'!$A:$AU,column(Y146)-$A$5,0),3,100)/1</f>
        <v>#N/A</v>
      </c>
      <c r="Z146" s="40" t="str">
        <f>VLOOKUP($A146,'Dados ClubeFII'!$A:$AU,column(Z146)-$A$5,0)</f>
        <v>#N/A</v>
      </c>
      <c r="AA146" s="47" t="str">
        <f t="shared" si="2"/>
        <v>#N/A</v>
      </c>
      <c r="AB146" s="48" t="str">
        <f t="shared" si="3"/>
        <v>#N/A</v>
      </c>
      <c r="AC146" s="17"/>
      <c r="AD146" s="17"/>
      <c r="AE146" s="17"/>
    </row>
    <row r="147">
      <c r="A147" s="37" t="s">
        <v>170</v>
      </c>
      <c r="B147" s="38">
        <f>IFERROR(__xludf.DUMMYFUNCTION("GOOGLEFINANCE(A147)"),91.42)</f>
        <v>91.42</v>
      </c>
      <c r="C147" s="38">
        <f>IFERROR(__xludf.DUMMYFUNCTION("GOOGLEFINANCE($A147,""high52"")"),105.7)</f>
        <v>105.7</v>
      </c>
      <c r="D147" s="39">
        <f t="shared" si="4"/>
        <v>-0.1350993377</v>
      </c>
      <c r="E147" s="40" t="str">
        <f>VLOOKUP($A147,'Dados ClubeFII'!$A:$AU,column(E147)-$A$5,0)</f>
        <v>Vila Olímpia Corporate</v>
      </c>
      <c r="F147" s="40" t="str">
        <f>VLOOKUP($A147,'Dados ClubeFII'!$A:$AU,column(F147)-$A$5,0)</f>
        <v>RB CAPITAL</v>
      </c>
      <c r="G147" s="40" t="str">
        <f>VLOOKUP($A147,'Dados ClubeFII'!$A:$AU,column(G147)-$A$5,0)</f>
        <v>Lajes Comerciais</v>
      </c>
      <c r="H147" s="41">
        <f>MID(VLOOKUP($A147,'Dados ClubeFII'!$A:$AU,COLUMN(H147)-$A$5,0),3,100)/MID(VLOOKUP($A147,'Dados ClubeFII'!$A:$AU,2,0),3,SEARCH(",",VLOOKUP($A147,'Dados ClubeFII'!$A:$AU,2,0)))*B147</f>
        <v>161676680</v>
      </c>
      <c r="I147" s="41">
        <f>MID(VLOOKUP($A147,'Dados ClubeFII'!$A:$AU,column(I147)-$A$5,0),3,100)/1</f>
        <v>198706747.7</v>
      </c>
      <c r="J147" s="42">
        <f>VLOOKUP($A147,'Dados ClubeFII'!$A:$AU,column(J147)-$A$5,0)/mid(VLOOKUP($A147,'Dados ClubeFII'!$A:$AU,2,0),3,SEARCH(",",VLOOKUP($A147,'Dados ClubeFII'!$A:$AU,2,0)))*B147</f>
        <v>0.8170983164</v>
      </c>
      <c r="K147" s="41">
        <f>if(VLOOKUP($A147,'Dados ClubeFII'!$A:$AU,column(K147)-$A$5,0)="N/D",0,MID(VLOOKUP($A147,'Dados ClubeFII'!$A:$AU,column(K147)-$A$5,0),3,100)/1)/mid(VLOOKUP($A147,'Dados ClubeFII'!$A:$AU,2,0),3,SEARCH(",",VLOOKUP($A147,'Dados ClubeFII'!$A:$AU,2,0)))*B147</f>
        <v>15593.81781</v>
      </c>
      <c r="L147" s="41">
        <f>if(VLOOKUP($A147,'Dados ClubeFII'!$A:$AU,column(L147)-$A$5,0)="N/D",0,MID(VLOOKUP($A147,'Dados ClubeFII'!$A:$AU,column(L147)-$A$5,0),3,100)/1)</f>
        <v>19165.39</v>
      </c>
      <c r="M147" s="41">
        <f>MID(VLOOKUP($A147,'Dados ClubeFII'!$A:$AU,column(M147)-$A$5,0),3,100)/1</f>
        <v>0.61</v>
      </c>
      <c r="N147" s="41">
        <f>MID(VLOOKUP($A147,'Dados ClubeFII'!$A:$AU,column(N147)-$A$5,0),3,100)/1</f>
        <v>105.01</v>
      </c>
      <c r="O147" s="41">
        <f>LEFT(VLOOKUP($A147,'Dados ClubeFII'!$A:$AU,column(O147)-$A$5,0),len(VLOOKUP($A147,'Dados ClubeFII'!$A:$AU,column(O147)-$A$5,0))-2)/1</f>
        <v>10368</v>
      </c>
      <c r="P147" s="43">
        <f>VLOOKUP($A147,'Dados ClubeFII'!$A:$AU,column(P147)-$A$5,0)</f>
        <v>44971</v>
      </c>
      <c r="Q147" s="44">
        <f>VLOOKUP($A147,'Dados ClubeFII'!$A:$AU,column(Q147)-$A$5,0)/mid(VLOOKUP($A147,'Dados ClubeFII'!$A:$AU,2,0),3,SEARCH(",",VLOOKUP($A147,'Dados ClubeFII'!$A:$AU,2,0)))*B147</f>
        <v>0.07553408855</v>
      </c>
      <c r="R147" s="44">
        <f>VLOOKUP($A147,'Dados ClubeFII'!$A:$AU,column(R147)-$A$5,0)/mid(VLOOKUP($A147,'Dados ClubeFII'!$A:$AU,2,0),3,SEARCH(",",VLOOKUP($A147,'Dados ClubeFII'!$A:$AU,2,0)))*B147</f>
        <v>0.07021344835</v>
      </c>
      <c r="S147" s="43">
        <f>VLOOKUP($A147,'Dados ClubeFII'!$A:$AU,column(S147)-$A$5,0)</f>
        <v>41135</v>
      </c>
      <c r="T147" s="41">
        <f>MID(VLOOKUP($A147,'Dados ClubeFII'!$A:$AU,column(T147)-$A$5,0),3,100)/1</f>
        <v>100</v>
      </c>
      <c r="U147" s="45">
        <f>VLOOKUP($A147,'Dados ClubeFII'!$A:$AU,column(U147)-$A$5,0)/mid(VLOOKUP($A147,'Dados ClubeFII'!$A:$AU,2,0),4,SEARCH(",",VLOOKUP($A147,'Dados ClubeFII'!$A:$AU,2,0))-1)*B147</f>
        <v>-0.437992926</v>
      </c>
      <c r="V147" s="42">
        <f>VLOOKUP($A147,'Dados ClubeFII'!$A:$AU,column(V147)-$A$5,0)</f>
        <v>0</v>
      </c>
      <c r="W147" s="43" t="str">
        <f>VLOOKUP($A147,'Dados ClubeFII'!$A:$AU,column(W147)-$A$5,0)</f>
        <v>N/D</v>
      </c>
      <c r="X147" s="45">
        <f>VLOOKUP($A147,'Dados ClubeFII'!$A:$AU,column(X147)-$A$5,0)</f>
        <v>0</v>
      </c>
      <c r="Y147" s="41">
        <f>MID(VLOOKUP($A147,'Dados ClubeFII'!$A:$AU,column(Y147)-$A$5,0),3,100)/1</f>
        <v>79961.11</v>
      </c>
      <c r="Z147" s="46">
        <f>VLOOKUP($A147,'Dados ClubeFII'!$A:$AU,column(Z147)-$A$5,0)</f>
        <v>3167</v>
      </c>
      <c r="AA147" s="47">
        <f t="shared" si="2"/>
        <v>1768504</v>
      </c>
      <c r="AB147" s="48">
        <f t="shared" si="3"/>
        <v>112.3586645</v>
      </c>
      <c r="AC147" s="48"/>
      <c r="AD147" s="48"/>
      <c r="AE147" s="48"/>
    </row>
    <row r="148">
      <c r="A148" s="49" t="s">
        <v>171</v>
      </c>
      <c r="B148" s="38">
        <f>IFERROR(__xludf.DUMMYFUNCTION("GOOGLEFINANCE(A148)"),139.0)</f>
        <v>139</v>
      </c>
      <c r="C148" s="38">
        <f>IFERROR(__xludf.DUMMYFUNCTION("GOOGLEFINANCE($A148,""high52"")"),214.75)</f>
        <v>214.75</v>
      </c>
      <c r="D148" s="39">
        <f t="shared" si="4"/>
        <v>-0.3527357392</v>
      </c>
      <c r="E148" s="40" t="str">
        <f>VLOOKUP($A148,'Dados ClubeFII'!$A:$AU,column(E148)-$A$5,0)</f>
        <v>Projeto Água Branca</v>
      </c>
      <c r="F148" s="40" t="str">
        <f>VLOOKUP($A148,'Dados ClubeFII'!$A:$AU,column(F148)-$A$5,0)</f>
        <v>COINVALORES</v>
      </c>
      <c r="G148" s="40" t="str">
        <f>VLOOKUP($A148,'Dados ClubeFII'!$A:$AU,column(G148)-$A$5,0)</f>
        <v>Lajes Comerciais</v>
      </c>
      <c r="H148" s="41">
        <f>MID(VLOOKUP($A148,'Dados ClubeFII'!$A:$AU,COLUMN(H148)-$A$5,0),3,100)/MID(VLOOKUP($A148,'Dados ClubeFII'!$A:$AU,2,0),3,SEARCH(",",VLOOKUP($A148,'Dados ClubeFII'!$A:$AU,2,0)))*B148</f>
        <v>102015113.6</v>
      </c>
      <c r="I148" s="41">
        <f>MID(VLOOKUP($A148,'Dados ClubeFII'!$A:$AU,column(I148)-$A$5,0),3,100)/1</f>
        <v>281400133.1</v>
      </c>
      <c r="J148" s="42">
        <f>VLOOKUP($A148,'Dados ClubeFII'!$A:$AU,column(J148)-$A$5,0)/mid(VLOOKUP($A148,'Dados ClubeFII'!$A:$AU,2,0),3,SEARCH(",",VLOOKUP($A148,'Dados ClubeFII'!$A:$AU,2,0)))*B148</f>
        <v>0.3575818208</v>
      </c>
      <c r="K148" s="41">
        <f>if(VLOOKUP($A148,'Dados ClubeFII'!$A:$AU,column(K148)-$A$5,0)="N/D",0,MID(VLOOKUP($A148,'Dados ClubeFII'!$A:$AU,column(K148)-$A$5,0),3,100)/1)/mid(VLOOKUP($A148,'Dados ClubeFII'!$A:$AU,2,0),3,SEARCH(",",VLOOKUP($A148,'Dados ClubeFII'!$A:$AU,2,0)))*B148</f>
        <v>2848.784836</v>
      </c>
      <c r="L148" s="41">
        <f>if(VLOOKUP($A148,'Dados ClubeFII'!$A:$AU,column(L148)-$A$5,0)="N/D",0,MID(VLOOKUP($A148,'Dados ClubeFII'!$A:$AU,column(L148)-$A$5,0),3,100)/1)</f>
        <v>7858.14</v>
      </c>
      <c r="M148" s="41">
        <f>MID(VLOOKUP($A148,'Dados ClubeFII'!$A:$AU,column(M148)-$A$5,0),3,100)/1</f>
        <v>1.65</v>
      </c>
      <c r="N148" s="41">
        <f>MID(VLOOKUP($A148,'Dados ClubeFII'!$A:$AU,column(N148)-$A$5,0),3,100)/1</f>
        <v>34.56</v>
      </c>
      <c r="O148" s="41">
        <f>LEFT(VLOOKUP($A148,'Dados ClubeFII'!$A:$AU,column(O148)-$A$5,0),len(VLOOKUP($A148,'Dados ClubeFII'!$A:$AU,column(O148)-$A$5,0))-2)/1</f>
        <v>35810</v>
      </c>
      <c r="P148" s="43">
        <f>VLOOKUP($A148,'Dados ClubeFII'!$A:$AU,column(P148)-$A$5,0)</f>
        <v>44971</v>
      </c>
      <c r="Q148" s="44">
        <f>VLOOKUP($A148,'Dados ClubeFII'!$A:$AU,column(Q148)-$A$5,0)/mid(VLOOKUP($A148,'Dados ClubeFII'!$A:$AU,2,0),3,SEARCH(",",VLOOKUP($A148,'Dados ClubeFII'!$A:$AU,2,0)))*B148</f>
        <v>0.1535615264</v>
      </c>
      <c r="R148" s="44">
        <f>VLOOKUP($A148,'Dados ClubeFII'!$A:$AU,column(R148)-$A$5,0)/mid(VLOOKUP($A148,'Dados ClubeFII'!$A:$AU,2,0),3,SEARCH(",",VLOOKUP($A148,'Dados ClubeFII'!$A:$AU,2,0)))*B148</f>
        <v>0.1394569101</v>
      </c>
      <c r="S148" s="43">
        <f>VLOOKUP($A148,'Dados ClubeFII'!$A:$AU,column(S148)-$A$5,0)</f>
        <v>38944</v>
      </c>
      <c r="T148" s="41">
        <f>MID(VLOOKUP($A148,'Dados ClubeFII'!$A:$AU,column(T148)-$A$5,0),3,100)/1</f>
        <v>160</v>
      </c>
      <c r="U148" s="45">
        <f>VLOOKUP($A148,'Dados ClubeFII'!$A:$AU,column(U148)-$A$5,0)/mid(VLOOKUP($A148,'Dados ClubeFII'!$A:$AU,2,0),4,SEARCH(",",VLOOKUP($A148,'Dados ClubeFII'!$A:$AU,2,0))-1)*B148</f>
        <v>-0.0006960440661</v>
      </c>
      <c r="V148" s="42">
        <f>VLOOKUP($A148,'Dados ClubeFII'!$A:$AU,column(V148)-$A$5,0)</f>
        <v>0.6817</v>
      </c>
      <c r="W148" s="43" t="str">
        <f>VLOOKUP($A148,'Dados ClubeFII'!$A:$AU,column(W148)-$A$5,0)</f>
        <v>N/D</v>
      </c>
      <c r="X148" s="45">
        <f>VLOOKUP($A148,'Dados ClubeFII'!$A:$AU,column(X148)-$A$5,0)</f>
        <v>0</v>
      </c>
      <c r="Y148" s="41">
        <f>MID(VLOOKUP($A148,'Dados ClubeFII'!$A:$AU,column(Y148)-$A$5,0),3,100)/1</f>
        <v>14166.78</v>
      </c>
      <c r="Z148" s="46">
        <f>VLOOKUP($A148,'Dados ClubeFII'!$A:$AU,column(Z148)-$A$5,0)</f>
        <v>963</v>
      </c>
      <c r="AA148" s="47">
        <f t="shared" si="2"/>
        <v>733921</v>
      </c>
      <c r="AB148" s="48">
        <f t="shared" si="3"/>
        <v>383.4201953</v>
      </c>
      <c r="AC148" s="48"/>
      <c r="AD148" s="48"/>
      <c r="AE148" s="48"/>
    </row>
    <row r="149">
      <c r="A149" s="49" t="s">
        <v>172</v>
      </c>
      <c r="B149" s="38">
        <f>IFERROR(__xludf.DUMMYFUNCTION("GOOGLEFINANCE(A149)"),177.73)</f>
        <v>177.73</v>
      </c>
      <c r="C149" s="38">
        <f>IFERROR(__xludf.DUMMYFUNCTION("GOOGLEFINANCE($A149,""high52"")"),208.12)</f>
        <v>208.12</v>
      </c>
      <c r="D149" s="39">
        <f t="shared" si="4"/>
        <v>-0.146021526</v>
      </c>
      <c r="E149" s="40" t="str">
        <f>VLOOKUP($A149,'Dados ClubeFII'!$A:$AU,column(E149)-$A$5,0)</f>
        <v>Hedge Brasil Shopping</v>
      </c>
      <c r="F149" s="40" t="str">
        <f>VLOOKUP($A149,'Dados ClubeFII'!$A:$AU,column(F149)-$A$5,0)</f>
        <v>HEDGE INVESTMENTS</v>
      </c>
      <c r="G149" s="40" t="str">
        <f>VLOOKUP($A149,'Dados ClubeFII'!$A:$AU,column(G149)-$A$5,0)</f>
        <v>Shopping/Varejo</v>
      </c>
      <c r="H149" s="41">
        <f>MID(VLOOKUP($A149,'Dados ClubeFII'!$A:$AU,COLUMN(H149)-$A$5,0),3,100)/MID(VLOOKUP($A149,'Dados ClubeFII'!$A:$AU,2,0),3,SEARCH(",",VLOOKUP($A149,'Dados ClubeFII'!$A:$AU,2,0)))*B149</f>
        <v>1785429105</v>
      </c>
      <c r="I149" s="41">
        <f>MID(VLOOKUP($A149,'Dados ClubeFII'!$A:$AU,column(I149)-$A$5,0),3,100)/1</f>
        <v>2213923649</v>
      </c>
      <c r="J149" s="42">
        <f>VLOOKUP($A149,'Dados ClubeFII'!$A:$AU,column(J149)-$A$5,0)/mid(VLOOKUP($A149,'Dados ClubeFII'!$A:$AU,2,0),3,SEARCH(",",VLOOKUP($A149,'Dados ClubeFII'!$A:$AU,2,0)))*B149</f>
        <v>0.802996988</v>
      </c>
      <c r="K149" s="41">
        <f>if(VLOOKUP($A149,'Dados ClubeFII'!$A:$AU,column(K149)-$A$5,0)="N/D",0,MID(VLOOKUP($A149,'Dados ClubeFII'!$A:$AU,column(K149)-$A$5,0),3,100)/1)/mid(VLOOKUP($A149,'Dados ClubeFII'!$A:$AU,2,0),3,SEARCH(",",VLOOKUP($A149,'Dados ClubeFII'!$A:$AU,2,0)))*B149</f>
        <v>9777.816743</v>
      </c>
      <c r="L149" s="41">
        <f>if(VLOOKUP($A149,'Dados ClubeFII'!$A:$AU,column(L149)-$A$5,0)="N/D",0,MID(VLOOKUP($A149,'Dados ClubeFII'!$A:$AU,column(L149)-$A$5,0),3,100)/1)</f>
        <v>12124.44</v>
      </c>
      <c r="M149" s="41">
        <f>MID(VLOOKUP($A149,'Dados ClubeFII'!$A:$AU,column(M149)-$A$5,0),3,100)/1</f>
        <v>1.4</v>
      </c>
      <c r="N149" s="41">
        <f>MID(VLOOKUP($A149,'Dados ClubeFII'!$A:$AU,column(N149)-$A$5,0),3,100)/1</f>
        <v>76.67</v>
      </c>
      <c r="O149" s="41">
        <f>LEFT(VLOOKUP($A149,'Dados ClubeFII'!$A:$AU,column(O149)-$A$5,0),len(VLOOKUP($A149,'Dados ClubeFII'!$A:$AU,column(O149)-$A$5,0))-2)/1</f>
        <v>182600</v>
      </c>
      <c r="P149" s="43">
        <f>VLOOKUP($A149,'Dados ClubeFII'!$A:$AU,column(P149)-$A$5,0)</f>
        <v>44971</v>
      </c>
      <c r="Q149" s="44">
        <f>VLOOKUP($A149,'Dados ClubeFII'!$A:$AU,column(Q149)-$A$5,0)/mid(VLOOKUP($A149,'Dados ClubeFII'!$A:$AU,2,0),3,SEARCH(",",VLOOKUP($A149,'Dados ClubeFII'!$A:$AU,2,0)))*B149</f>
        <v>0.09655790942</v>
      </c>
      <c r="R149" s="44">
        <f>VLOOKUP($A149,'Dados ClubeFII'!$A:$AU,column(R149)-$A$5,0)/mid(VLOOKUP($A149,'Dados ClubeFII'!$A:$AU,2,0),3,SEARCH(",",VLOOKUP($A149,'Dados ClubeFII'!$A:$AU,2,0)))*B149</f>
        <v>0.0861486892</v>
      </c>
      <c r="S149" s="43">
        <f>VLOOKUP($A149,'Dados ClubeFII'!$A:$AU,column(S149)-$A$5,0)</f>
        <v>39427</v>
      </c>
      <c r="T149" s="41">
        <f>MID(VLOOKUP($A149,'Dados ClubeFII'!$A:$AU,column(T149)-$A$5,0),3,100)/1</f>
        <v>100</v>
      </c>
      <c r="U149" s="45">
        <f>VLOOKUP($A149,'Dados ClubeFII'!$A:$AU,column(U149)-$A$5,0)/mid(VLOOKUP($A149,'Dados ClubeFII'!$A:$AU,2,0),4,SEARCH(",",VLOOKUP($A149,'Dados ClubeFII'!$A:$AU,2,0))-1)*B149</f>
        <v>-0.1183671039</v>
      </c>
      <c r="V149" s="42">
        <f>VLOOKUP($A149,'Dados ClubeFII'!$A:$AU,column(V149)-$A$5,0)</f>
        <v>0.062</v>
      </c>
      <c r="W149" s="43" t="str">
        <f>VLOOKUP($A149,'Dados ClubeFII'!$A:$AU,column(W149)-$A$5,0)</f>
        <v>N/D</v>
      </c>
      <c r="X149" s="45">
        <f>VLOOKUP($A149,'Dados ClubeFII'!$A:$AU,column(X149)-$A$5,0)</f>
        <v>0.0173</v>
      </c>
      <c r="Y149" s="41">
        <f>MID(VLOOKUP($A149,'Dados ClubeFII'!$A:$AU,column(Y149)-$A$5,0),3,100)/1</f>
        <v>1531722.07</v>
      </c>
      <c r="Z149" s="46">
        <f>VLOOKUP($A149,'Dados ClubeFII'!$A:$AU,column(Z149)-$A$5,0)</f>
        <v>91264</v>
      </c>
      <c r="AA149" s="47">
        <f t="shared" si="2"/>
        <v>10045738</v>
      </c>
      <c r="AB149" s="48">
        <f t="shared" si="3"/>
        <v>220.3843709</v>
      </c>
      <c r="AC149" s="48"/>
      <c r="AD149" s="48"/>
      <c r="AE149" s="48"/>
    </row>
    <row r="150">
      <c r="A150" s="37" t="s">
        <v>173</v>
      </c>
      <c r="B150" s="38">
        <f>IFERROR(__xludf.DUMMYFUNCTION("GOOGLEFINANCE(A150)"),84.08)</f>
        <v>84.08</v>
      </c>
      <c r="C150" s="38">
        <f>IFERROR(__xludf.DUMMYFUNCTION("GOOGLEFINANCE($A150,""high52"")"),85.85)</f>
        <v>85.85</v>
      </c>
      <c r="D150" s="39">
        <f t="shared" si="4"/>
        <v>-0.02061735585</v>
      </c>
      <c r="E150" s="40" t="str">
        <f>VLOOKUP($A150,'Dados ClubeFII'!$A:$AU,column(E150)-$A$5,0)</f>
        <v>Votorantim Securities Master</v>
      </c>
      <c r="F150" s="40" t="str">
        <f>VLOOKUP($A150,'Dados ClubeFII'!$A:$AU,column(F150)-$A$5,0)</f>
        <v>BV DTVM</v>
      </c>
      <c r="G150" s="40" t="str">
        <f>VLOOKUP($A150,'Dados ClubeFII'!$A:$AU,column(G150)-$A$5,0)</f>
        <v>Recebíveis Imobiliários</v>
      </c>
      <c r="H150" s="41">
        <f>MID(VLOOKUP($A150,'Dados ClubeFII'!$A:$AU,column(H150)-$A$5,0),3,100)/mid(VLOOKUP($A150,'Dados ClubeFII'!$A:$AU,2,0),4,SEARCH(",",VLOOKUP($A150,'Dados ClubeFII'!$A:$AU,2,0))-1)*B150</f>
        <v>1181993507</v>
      </c>
      <c r="I150" s="41">
        <f>MID(VLOOKUP($A150,'Dados ClubeFII'!$A:$AU,column(I150)-$A$5,0),3,100)/1</f>
        <v>77081125.01</v>
      </c>
      <c r="J150" s="42">
        <f>VLOOKUP($A150,'Dados ClubeFII'!$A:$AU,column(J150)-$A$5,0)/mid(VLOOKUP($A150,'Dados ClubeFII'!$A:$AU,2,0),3,SEARCH(",",VLOOKUP($A150,'Dados ClubeFII'!$A:$AU,2,0)))*B150</f>
        <v>0.9001505882</v>
      </c>
      <c r="K150" s="41">
        <f>if(VLOOKUP($A150,'Dados ClubeFII'!$A:$AU,column(K150)-$A$5,0)="N/D",0,MID(VLOOKUP($A150,'Dados ClubeFII'!$A:$AU,column(K150)-$A$5,0),3,100)/1)/mid(VLOOKUP($A150,'Dados ClubeFII'!$A:$AU,2,0),3,SEARCH(",",VLOOKUP($A150,'Dados ClubeFII'!$A:$AU,2,0)))*B150</f>
        <v>0</v>
      </c>
      <c r="L150" s="41">
        <f>if(VLOOKUP($A150,'Dados ClubeFII'!$A:$AU,column(L150)-$A$5,0)="N/D",0,MID(VLOOKUP($A150,'Dados ClubeFII'!$A:$AU,column(L150)-$A$5,0),3,100)/1)</f>
        <v>0</v>
      </c>
      <c r="M150" s="41">
        <f>MID(VLOOKUP($A150,'Dados ClubeFII'!$A:$AU,column(M150)-$A$5,0),3,100)/1</f>
        <v>1.08</v>
      </c>
      <c r="N150" s="41">
        <f>MID(VLOOKUP($A150,'Dados ClubeFII'!$A:$AU,column(N150)-$A$5,0),3,100)/1</f>
        <v>0</v>
      </c>
      <c r="O150" s="41">
        <f>LEFT(VLOOKUP($A150,'Dados ClubeFII'!$A:$AU,column(O150)-$A$5,0),len(VLOOKUP($A150,'Dados ClubeFII'!$A:$AU,column(O150)-$A$5,0))-2)/1</f>
        <v>0</v>
      </c>
      <c r="P150" s="43">
        <f>VLOOKUP($A150,'Dados ClubeFII'!$A:$AU,column(P150)-$A$5,0)</f>
        <v>44971</v>
      </c>
      <c r="Q150" s="44">
        <f>VLOOKUP($A150,'Dados ClubeFII'!$A:$AU,column(Q150)-$A$5,0)/mid(VLOOKUP($A150,'Dados ClubeFII'!$A:$AU,2,0),3,SEARCH(",",VLOOKUP($A150,'Dados ClubeFII'!$A:$AU,2,0)))*B150</f>
        <v>0.1620271059</v>
      </c>
      <c r="R150" s="44">
        <f>VLOOKUP($A150,'Dados ClubeFII'!$A:$AU,column(R150)-$A$5,0)/mid(VLOOKUP($A150,'Dados ClubeFII'!$A:$AU,2,0),3,SEARCH(",",VLOOKUP($A150,'Dados ClubeFII'!$A:$AU,2,0)))*B150</f>
        <v>0.1510472471</v>
      </c>
      <c r="S150" s="43">
        <f>VLOOKUP($A150,'Dados ClubeFII'!$A:$AU,column(S150)-$A$5,0)</f>
        <v>43300</v>
      </c>
      <c r="T150" s="41">
        <f>MID(VLOOKUP($A150,'Dados ClubeFII'!$A:$AU,column(T150)-$A$5,0),3,100)/1</f>
        <v>100</v>
      </c>
      <c r="U150" s="45">
        <f>VLOOKUP($A150,'Dados ClubeFII'!$A:$AU,column(U150)-$A$5,0)/mid(VLOOKUP($A150,'Dados ClubeFII'!$A:$AU,2,0),4,SEARCH(",",VLOOKUP($A150,'Dados ClubeFII'!$A:$AU,2,0))-1)*B150</f>
        <v>0.4052656</v>
      </c>
      <c r="V150" s="42" t="str">
        <f>VLOOKUP($A150,'Dados ClubeFII'!$A:$AU,column(V150)-$A$5,0)</f>
        <v>N/D</v>
      </c>
      <c r="W150" s="43" t="str">
        <f>VLOOKUP($A150,'Dados ClubeFII'!$A:$AU,column(W150)-$A$5,0)</f>
        <v>N/D</v>
      </c>
      <c r="X150" s="45">
        <f>VLOOKUP($A150,'Dados ClubeFII'!$A:$AU,column(X150)-$A$5,0)</f>
        <v>0</v>
      </c>
      <c r="Y150" s="41">
        <f>MID(VLOOKUP($A150,'Dados ClubeFII'!$A:$AU,column(Y150)-$A$5,0),3,100)/1</f>
        <v>5129.79</v>
      </c>
      <c r="Z150" s="46">
        <f>VLOOKUP($A150,'Dados ClubeFII'!$A:$AU,column(Z150)-$A$5,0)</f>
        <v>567</v>
      </c>
      <c r="AA150" s="47">
        <f t="shared" si="2"/>
        <v>14057962</v>
      </c>
      <c r="AB150" s="48">
        <f t="shared" si="3"/>
        <v>5.483093852</v>
      </c>
      <c r="AC150" s="48"/>
      <c r="AD150" s="48"/>
      <c r="AE150" s="48"/>
    </row>
    <row r="151">
      <c r="A151" s="37" t="s">
        <v>174</v>
      </c>
      <c r="B151" s="38">
        <f>IFERROR(__xludf.DUMMYFUNCTION("GOOGLEFINANCE(A151)"),113.61)</f>
        <v>113.61</v>
      </c>
      <c r="C151" s="38">
        <f>IFERROR(__xludf.DUMMYFUNCTION("GOOGLEFINANCE($A151,""high52"")"),116.89)</f>
        <v>116.89</v>
      </c>
      <c r="D151" s="39">
        <f t="shared" si="4"/>
        <v>-0.02806056977</v>
      </c>
      <c r="E151" s="40" t="str">
        <f>VLOOKUP($A151,'Dados ClubeFII'!$A:$AU,column(E151)-$A$5,0)</f>
        <v>Alianza Trust Renda Imobiliária</v>
      </c>
      <c r="F151" s="40" t="str">
        <f>VLOOKUP($A151,'Dados ClubeFII'!$A:$AU,column(F151)-$A$5,0)</f>
        <v>ALIANZA GESTÃO</v>
      </c>
      <c r="G151" s="40" t="str">
        <f>VLOOKUP($A151,'Dados ClubeFII'!$A:$AU,column(G151)-$A$5,0)</f>
        <v>Híbrido</v>
      </c>
      <c r="H151" s="41">
        <f>MID(VLOOKUP($A151,'Dados ClubeFII'!$A:$AU,column(H151)-$A$5,0),3,100)/mid(VLOOKUP($A151,'Dados ClubeFII'!$A:$AU,2,0),4,SEARCH(",",VLOOKUP($A151,'Dados ClubeFII'!$A:$AU,2,0))-1)*B151</f>
        <v>8041662513</v>
      </c>
      <c r="I151" s="41">
        <f>MID(VLOOKUP($A151,'Dados ClubeFII'!$A:$AU,column(I151)-$A$5,0),3,100)/1</f>
        <v>733923761.3</v>
      </c>
      <c r="J151" s="42">
        <f>VLOOKUP($A151,'Dados ClubeFII'!$A:$AU,column(J151)-$A$5,0)/mid(VLOOKUP($A151,'Dados ClubeFII'!$A:$AU,2,0),3,SEARCH(",",VLOOKUP($A151,'Dados ClubeFII'!$A:$AU,2,0)))*B151</f>
        <v>1.07594931</v>
      </c>
      <c r="K151" s="41">
        <f>if(VLOOKUP($A151,'Dados ClubeFII'!$A:$AU,column(K151)-$A$5,0)="N/D",0,MID(VLOOKUP($A151,'Dados ClubeFII'!$A:$AU,column(K151)-$A$5,0),3,100)/1)/mid(VLOOKUP($A151,'Dados ClubeFII'!$A:$AU,2,0),3,SEARCH(",",VLOOKUP($A151,'Dados ClubeFII'!$A:$AU,2,0)))*B151</f>
        <v>6546.54697</v>
      </c>
      <c r="L151" s="41">
        <f>if(VLOOKUP($A151,'Dados ClubeFII'!$A:$AU,column(L151)-$A$5,0)="N/D",0,MID(VLOOKUP($A151,'Dados ClubeFII'!$A:$AU,column(L151)-$A$5,0),3,100)/1)</f>
        <v>6093.99</v>
      </c>
      <c r="M151" s="41">
        <f>MID(VLOOKUP($A151,'Dados ClubeFII'!$A:$AU,column(M151)-$A$5,0),3,100)/1</f>
        <v>0.81</v>
      </c>
      <c r="N151" s="41">
        <f>MID(VLOOKUP($A151,'Dados ClubeFII'!$A:$AU,column(N151)-$A$5,0),3,100)/1</f>
        <v>46.31</v>
      </c>
      <c r="O151" s="41">
        <f>LEFT(VLOOKUP($A151,'Dados ClubeFII'!$A:$AU,column(O151)-$A$5,0),len(VLOOKUP($A151,'Dados ClubeFII'!$A:$AU,column(O151)-$A$5,0))-2)/1</f>
        <v>120434</v>
      </c>
      <c r="P151" s="43">
        <f>VLOOKUP($A151,'Dados ClubeFII'!$A:$AU,column(P151)-$A$5,0)</f>
        <v>44981</v>
      </c>
      <c r="Q151" s="44">
        <f>VLOOKUP($A151,'Dados ClubeFII'!$A:$AU,column(Q151)-$A$5,0)/mid(VLOOKUP($A151,'Dados ClubeFII'!$A:$AU,2,0),3,SEARCH(",",VLOOKUP($A151,'Dados ClubeFII'!$A:$AU,2,0)))*B151</f>
        <v>0.09273658339</v>
      </c>
      <c r="R151" s="44">
        <f>VLOOKUP($A151,'Dados ClubeFII'!$A:$AU,column(R151)-$A$5,0)/mid(VLOOKUP($A151,'Dados ClubeFII'!$A:$AU,2,0),3,SEARCH(",",VLOOKUP($A151,'Dados ClubeFII'!$A:$AU,2,0)))*B151</f>
        <v>0.1308559304</v>
      </c>
      <c r="S151" s="43">
        <f>VLOOKUP($A151,'Dados ClubeFII'!$A:$AU,column(S151)-$A$5,0)</f>
        <v>43104</v>
      </c>
      <c r="T151" s="41">
        <f>MID(VLOOKUP($A151,'Dados ClubeFII'!$A:$AU,column(T151)-$A$5,0),3,100)/1</f>
        <v>100</v>
      </c>
      <c r="U151" s="45">
        <f>VLOOKUP($A151,'Dados ClubeFII'!$A:$AU,column(U151)-$A$5,0)/mid(VLOOKUP($A151,'Dados ClubeFII'!$A:$AU,2,0),4,SEARCH(",",VLOOKUP($A151,'Dados ClubeFII'!$A:$AU,2,0))-1)*B151</f>
        <v>0.01254204232</v>
      </c>
      <c r="V151" s="42">
        <f>VLOOKUP($A151,'Dados ClubeFII'!$A:$AU,column(V151)-$A$5,0)</f>
        <v>0</v>
      </c>
      <c r="W151" s="43" t="str">
        <f>VLOOKUP($A151,'Dados ClubeFII'!$A:$AU,column(W151)-$A$5,0)</f>
        <v>N/D</v>
      </c>
      <c r="X151" s="45">
        <f>VLOOKUP($A151,'Dados ClubeFII'!$A:$AU,column(X151)-$A$5,0)</f>
        <v>0.0075</v>
      </c>
      <c r="Y151" s="41">
        <f>MID(VLOOKUP($A151,'Dados ClubeFII'!$A:$AU,column(Y151)-$A$5,0),3,100)/1</f>
        <v>1064026.35</v>
      </c>
      <c r="Z151" s="46">
        <f>VLOOKUP($A151,'Dados ClubeFII'!$A:$AU,column(Z151)-$A$5,0)</f>
        <v>119345</v>
      </c>
      <c r="AA151" s="47">
        <f t="shared" si="2"/>
        <v>70783051</v>
      </c>
      <c r="AB151" s="48">
        <f t="shared" si="3"/>
        <v>10.368637</v>
      </c>
      <c r="AC151" s="48"/>
      <c r="AD151" s="48"/>
      <c r="AE151" s="48"/>
    </row>
    <row r="152">
      <c r="A152" s="37" t="s">
        <v>175</v>
      </c>
      <c r="B152" s="38">
        <f>IFERROR(__xludf.DUMMYFUNCTION("GOOGLEFINANCE(A152)"),63.1)</f>
        <v>63.1</v>
      </c>
      <c r="C152" s="38">
        <f>IFERROR(__xludf.DUMMYFUNCTION("GOOGLEFINANCE($A152,""high52"")"),70.02)</f>
        <v>70.02</v>
      </c>
      <c r="D152" s="39">
        <f t="shared" si="4"/>
        <v>-0.09882890603</v>
      </c>
      <c r="E152" s="40" t="str">
        <f>VLOOKUP($A152,'Dados ClubeFII'!$A:$AU,column(E152)-$A$5,0)</f>
        <v>Pátria Edifícios Corporativos</v>
      </c>
      <c r="F152" s="40" t="str">
        <f>VLOOKUP($A152,'Dados ClubeFII'!$A:$AU,column(F152)-$A$5,0)</f>
        <v>VBI REAL ESTATE</v>
      </c>
      <c r="G152" s="40" t="str">
        <f>VLOOKUP($A152,'Dados ClubeFII'!$A:$AU,column(G152)-$A$5,0)</f>
        <v>Lajes Comerciais</v>
      </c>
      <c r="H152" s="41">
        <f>MID(VLOOKUP($A152,'Dados ClubeFII'!$A:$AU,COLUMN(H152)-$A$5,0),3,100)/MID(VLOOKUP($A152,'Dados ClubeFII'!$A:$AU,2,0),3,SEARCH(",",VLOOKUP($A152,'Dados ClubeFII'!$A:$AU,2,0)))*B152</f>
        <v>219426085.4</v>
      </c>
      <c r="I152" s="41">
        <f>MID(VLOOKUP($A152,'Dados ClubeFII'!$A:$AU,column(I152)-$A$5,0),3,100)/1</f>
        <v>266018976.9</v>
      </c>
      <c r="J152" s="42">
        <f>VLOOKUP($A152,'Dados ClubeFII'!$A:$AU,column(J152)-$A$5,0)/mid(VLOOKUP($A152,'Dados ClubeFII'!$A:$AU,2,0),3,SEARCH(",",VLOOKUP($A152,'Dados ClubeFII'!$A:$AU,2,0)))*B152</f>
        <v>0.8287761194</v>
      </c>
      <c r="K152" s="41">
        <f>if(VLOOKUP($A152,'Dados ClubeFII'!$A:$AU,column(K152)-$A$5,0)="N/D",0,MID(VLOOKUP($A152,'Dados ClubeFII'!$A:$AU,column(K152)-$A$5,0),3,100)/1)/mid(VLOOKUP($A152,'Dados ClubeFII'!$A:$AU,2,0),3,SEARCH(",",VLOOKUP($A152,'Dados ClubeFII'!$A:$AU,2,0)))*B152</f>
        <v>18527.91173</v>
      </c>
      <c r="L152" s="41">
        <f>if(VLOOKUP($A152,'Dados ClubeFII'!$A:$AU,column(L152)-$A$5,0)="N/D",0,MID(VLOOKUP($A152,'Dados ClubeFII'!$A:$AU,column(L152)-$A$5,0),3,100)/1)</f>
        <v>22462.13</v>
      </c>
      <c r="M152" s="41">
        <f>MID(VLOOKUP($A152,'Dados ClubeFII'!$A:$AU,column(M152)-$A$5,0),3,100)/1</f>
        <v>0.22</v>
      </c>
      <c r="N152" s="41">
        <f>MID(VLOOKUP($A152,'Dados ClubeFII'!$A:$AU,column(N152)-$A$5,0),3,100)/1</f>
        <v>64.6</v>
      </c>
      <c r="O152" s="41">
        <f>LEFT(VLOOKUP($A152,'Dados ClubeFII'!$A:$AU,column(O152)-$A$5,0),len(VLOOKUP($A152,'Dados ClubeFII'!$A:$AU,column(O152)-$A$5,0))-2)/1</f>
        <v>11843</v>
      </c>
      <c r="P152" s="43">
        <f>VLOOKUP($A152,'Dados ClubeFII'!$A:$AU,column(P152)-$A$5,0)</f>
        <v>44965</v>
      </c>
      <c r="Q152" s="44">
        <f>VLOOKUP($A152,'Dados ClubeFII'!$A:$AU,column(Q152)-$A$5,0)/mid(VLOOKUP($A152,'Dados ClubeFII'!$A:$AU,2,0),3,SEARCH(",",VLOOKUP($A152,'Dados ClubeFII'!$A:$AU,2,0)))*B152</f>
        <v>0.0377658209</v>
      </c>
      <c r="R152" s="44">
        <f>VLOOKUP($A152,'Dados ClubeFII'!$A:$AU,column(R152)-$A$5,0)/mid(VLOOKUP($A152,'Dados ClubeFII'!$A:$AU,2,0),3,SEARCH(",",VLOOKUP($A152,'Dados ClubeFII'!$A:$AU,2,0)))*B152</f>
        <v>0.0630058209</v>
      </c>
      <c r="S152" s="43">
        <f>VLOOKUP($A152,'Dados ClubeFII'!$A:$AU,column(S152)-$A$5,0)</f>
        <v>43557</v>
      </c>
      <c r="T152" s="41">
        <f>MID(VLOOKUP($A152,'Dados ClubeFII'!$A:$AU,column(T152)-$A$5,0),3,100)/1</f>
        <v>100</v>
      </c>
      <c r="U152" s="45">
        <f>VLOOKUP($A152,'Dados ClubeFII'!$A:$AU,column(U152)-$A$5,0)/mid(VLOOKUP($A152,'Dados ClubeFII'!$A:$AU,2,0),4,SEARCH(",",VLOOKUP($A152,'Dados ClubeFII'!$A:$AU,2,0))-1)*B152</f>
        <v>-0.13251</v>
      </c>
      <c r="V152" s="42">
        <f>VLOOKUP($A152,'Dados ClubeFII'!$A:$AU,column(V152)-$A$5,0)</f>
        <v>0.176</v>
      </c>
      <c r="W152" s="43">
        <f>VLOOKUP($A152,'Dados ClubeFII'!$A:$AU,column(W152)-$A$5,0)</f>
        <v>44712</v>
      </c>
      <c r="X152" s="45">
        <f>VLOOKUP($A152,'Dados ClubeFII'!$A:$AU,column(X152)-$A$5,0)</f>
        <v>0</v>
      </c>
      <c r="Y152" s="41">
        <f>MID(VLOOKUP($A152,'Dados ClubeFII'!$A:$AU,column(Y152)-$A$5,0),3,100)/1</f>
        <v>251825.77</v>
      </c>
      <c r="Z152" s="46">
        <f>VLOOKUP($A152,'Dados ClubeFII'!$A:$AU,column(Z152)-$A$5,0)</f>
        <v>8307</v>
      </c>
      <c r="AA152" s="47">
        <f t="shared" si="2"/>
        <v>3477434</v>
      </c>
      <c r="AB152" s="48">
        <f t="shared" si="3"/>
        <v>76.49864149</v>
      </c>
      <c r="AC152" s="48"/>
      <c r="AD152" s="48"/>
      <c r="AE152" s="48"/>
    </row>
    <row r="153">
      <c r="A153" s="49" t="s">
        <v>176</v>
      </c>
      <c r="B153" s="38">
        <f>IFERROR(__xludf.DUMMYFUNCTION("GOOGLEFINANCE(A153)"),121.41)</f>
        <v>121.41</v>
      </c>
      <c r="C153" s="38">
        <f>IFERROR(__xludf.DUMMYFUNCTION("GOOGLEFINANCE($A153,""high52"")"),136.41)</f>
        <v>136.41</v>
      </c>
      <c r="D153" s="39">
        <f t="shared" si="4"/>
        <v>-0.1099626127</v>
      </c>
      <c r="E153" s="40" t="str">
        <f>VLOOKUP($A153,'Dados ClubeFII'!$A:$AU,column(E153)-$A$5,0)</f>
        <v>Continental Square Faria Lima</v>
      </c>
      <c r="F153" s="40" t="str">
        <f>VLOOKUP($A153,'Dados ClubeFII'!$A:$AU,column(F153)-$A$5,0)</f>
        <v>BR-CAPITAL</v>
      </c>
      <c r="G153" s="40" t="str">
        <f>VLOOKUP($A153,'Dados ClubeFII'!$A:$AU,column(G153)-$A$5,0)</f>
        <v>Lajes Comerciais</v>
      </c>
      <c r="H153" s="41">
        <f>MID(VLOOKUP($A153,'Dados ClubeFII'!$A:$AU,COLUMN(H153)-$A$5,0),3,100)/MID(VLOOKUP($A153,'Dados ClubeFII'!$A:$AU,2,0),3,SEARCH(",",VLOOKUP($A153,'Dados ClubeFII'!$A:$AU,2,0)))*B153</f>
        <v>167815701.7</v>
      </c>
      <c r="I153" s="41">
        <f>MID(VLOOKUP($A153,'Dados ClubeFII'!$A:$AU,column(I153)-$A$5,0),3,100)/1</f>
        <v>221279915.8</v>
      </c>
      <c r="J153" s="42">
        <f>VLOOKUP($A153,'Dados ClubeFII'!$A:$AU,column(J153)-$A$5,0)/mid(VLOOKUP($A153,'Dados ClubeFII'!$A:$AU,2,0),3,SEARCH(",",VLOOKUP($A153,'Dados ClubeFII'!$A:$AU,2,0)))*B153</f>
        <v>0.760885425</v>
      </c>
      <c r="K153" s="41">
        <f>if(VLOOKUP($A153,'Dados ClubeFII'!$A:$AU,column(K153)-$A$5,0)="N/D",0,MID(VLOOKUP($A153,'Dados ClubeFII'!$A:$AU,column(K153)-$A$5,0),3,100)/1)/mid(VLOOKUP($A153,'Dados ClubeFII'!$A:$AU,2,0),3,SEARCH(",",VLOOKUP($A153,'Dados ClubeFII'!$A:$AU,2,0)))*B153</f>
        <v>8707.299666</v>
      </c>
      <c r="L153" s="41">
        <f>if(VLOOKUP($A153,'Dados ClubeFII'!$A:$AU,column(L153)-$A$5,0)="N/D",0,MID(VLOOKUP($A153,'Dados ClubeFII'!$A:$AU,column(L153)-$A$5,0),3,100)/1)</f>
        <v>11481.34</v>
      </c>
      <c r="M153" s="41">
        <f>MID(VLOOKUP($A153,'Dados ClubeFII'!$A:$AU,column(M153)-$A$5,0),3,100)/1</f>
        <v>0.8</v>
      </c>
      <c r="N153" s="41">
        <f>MID(VLOOKUP($A153,'Dados ClubeFII'!$A:$AU,column(N153)-$A$5,0),3,100)/1</f>
        <v>57.31</v>
      </c>
      <c r="O153" s="41">
        <f>LEFT(VLOOKUP($A153,'Dados ClubeFII'!$A:$AU,column(O153)-$A$5,0),len(VLOOKUP($A153,'Dados ClubeFII'!$A:$AU,column(O153)-$A$5,0))-2)/1</f>
        <v>19273</v>
      </c>
      <c r="P153" s="43">
        <f>VLOOKUP($A153,'Dados ClubeFII'!$A:$AU,column(P153)-$A$5,0)</f>
        <v>44971</v>
      </c>
      <c r="Q153" s="44">
        <f>VLOOKUP($A153,'Dados ClubeFII'!$A:$AU,column(Q153)-$A$5,0)/mid(VLOOKUP($A153,'Dados ClubeFII'!$A:$AU,2,0),3,SEARCH(",",VLOOKUP($A153,'Dados ClubeFII'!$A:$AU,2,0)))*B153</f>
        <v>0.07784443195</v>
      </c>
      <c r="R153" s="44">
        <f>VLOOKUP($A153,'Dados ClubeFII'!$A:$AU,column(R153)-$A$5,0)/mid(VLOOKUP($A153,'Dados ClubeFII'!$A:$AU,2,0),3,SEARCH(",",VLOOKUP($A153,'Dados ClubeFII'!$A:$AU,2,0)))*B153</f>
        <v>0.08057581552</v>
      </c>
      <c r="S153" s="43">
        <f>VLOOKUP($A153,'Dados ClubeFII'!$A:$AU,column(S153)-$A$5,0)</f>
        <v>36839</v>
      </c>
      <c r="T153" s="41">
        <f>MID(VLOOKUP($A153,'Dados ClubeFII'!$A:$AU,column(T153)-$A$5,0),3,100)/1</f>
        <v>50</v>
      </c>
      <c r="U153" s="45">
        <f>VLOOKUP($A153,'Dados ClubeFII'!$A:$AU,column(U153)-$A$5,0)/mid(VLOOKUP($A153,'Dados ClubeFII'!$A:$AU,2,0),4,SEARCH(",",VLOOKUP($A153,'Dados ClubeFII'!$A:$AU,2,0))-1)*B153</f>
        <v>-0.5216758381</v>
      </c>
      <c r="V153" s="42">
        <f>VLOOKUP($A153,'Dados ClubeFII'!$A:$AU,column(V153)-$A$5,0)</f>
        <v>0.2821</v>
      </c>
      <c r="W153" s="43" t="str">
        <f>VLOOKUP($A153,'Dados ClubeFII'!$A:$AU,column(W153)-$A$5,0)</f>
        <v>N/D</v>
      </c>
      <c r="X153" s="45">
        <f>VLOOKUP($A153,'Dados ClubeFII'!$A:$AU,column(X153)-$A$5,0)</f>
        <v>0</v>
      </c>
      <c r="Y153" s="41">
        <f>MID(VLOOKUP($A153,'Dados ClubeFII'!$A:$AU,column(Y153)-$A$5,0),3,100)/1</f>
        <v>54319.81</v>
      </c>
      <c r="Z153" s="46">
        <f>VLOOKUP($A153,'Dados ClubeFII'!$A:$AU,column(Z153)-$A$5,0)</f>
        <v>16968</v>
      </c>
      <c r="AA153" s="47">
        <f t="shared" si="2"/>
        <v>1382223</v>
      </c>
      <c r="AB153" s="48">
        <f t="shared" si="3"/>
        <v>160.0898812</v>
      </c>
      <c r="AC153" s="48"/>
      <c r="AD153" s="48"/>
      <c r="AE153" s="48"/>
    </row>
    <row r="154">
      <c r="A154" s="49" t="s">
        <v>177</v>
      </c>
      <c r="B154" s="38">
        <f>IFERROR(__xludf.DUMMYFUNCTION("GOOGLEFINANCE(A154)"),78.0)</f>
        <v>78</v>
      </c>
      <c r="C154" s="38">
        <f>IFERROR(__xludf.DUMMYFUNCTION("GOOGLEFINANCE($A154,""high52"")"),85.44)</f>
        <v>85.44</v>
      </c>
      <c r="D154" s="39">
        <f t="shared" si="4"/>
        <v>-0.08707865169</v>
      </c>
      <c r="E154" s="40" t="str">
        <f>VLOOKUP($A154,'Dados ClubeFII'!$A:$AU,column(E154)-$A$5,0)</f>
        <v>Shopping Jardim Sul</v>
      </c>
      <c r="F154" s="40" t="str">
        <f>VLOOKUP($A154,'Dados ClubeFII'!$A:$AU,column(F154)-$A$5,0)</f>
        <v>BTG PACTUAL</v>
      </c>
      <c r="G154" s="40" t="str">
        <f>VLOOKUP($A154,'Dados ClubeFII'!$A:$AU,column(G154)-$A$5,0)</f>
        <v>Shopping/Varejo</v>
      </c>
      <c r="H154" s="41">
        <f>MID(VLOOKUP($A154,'Dados ClubeFII'!$A:$AU,COLUMN(H154)-$A$5,0),3,100)/MID(VLOOKUP($A154,'Dados ClubeFII'!$A:$AU,2,0),3,SEARCH(",",VLOOKUP($A154,'Dados ClubeFII'!$A:$AU,2,0)))*B154</f>
        <v>201102819.6</v>
      </c>
      <c r="I154" s="41">
        <f>MID(VLOOKUP($A154,'Dados ClubeFII'!$A:$AU,column(I154)-$A$5,0),3,100)/1</f>
        <v>226756674.3</v>
      </c>
      <c r="J154" s="42">
        <f>VLOOKUP($A154,'Dados ClubeFII'!$A:$AU,column(J154)-$A$5,0)/mid(VLOOKUP($A154,'Dados ClubeFII'!$A:$AU,2,0),3,SEARCH(",",VLOOKUP($A154,'Dados ClubeFII'!$A:$AU,2,0)))*B154</f>
        <v>0.8842185709</v>
      </c>
      <c r="K154" s="41">
        <f>if(VLOOKUP($A154,'Dados ClubeFII'!$A:$AU,column(K154)-$A$5,0)="N/D",0,MID(VLOOKUP($A154,'Dados ClubeFII'!$A:$AU,column(K154)-$A$5,0),3,100)/1)/mid(VLOOKUP($A154,'Dados ClubeFII'!$A:$AU,2,0),3,SEARCH(",",VLOOKUP($A154,'Dados ClubeFII'!$A:$AU,2,0)))*B154</f>
        <v>17566.63126</v>
      </c>
      <c r="L154" s="41">
        <f>if(VLOOKUP($A154,'Dados ClubeFII'!$A:$AU,column(L154)-$A$5,0)="N/D",0,MID(VLOOKUP($A154,'Dados ClubeFII'!$A:$AU,column(L154)-$A$5,0),3,100)/1)</f>
        <v>19807.54</v>
      </c>
      <c r="M154" s="41">
        <f>MID(VLOOKUP($A154,'Dados ClubeFII'!$A:$AU,column(M154)-$A$5,0),3,100)/1</f>
        <v>0.52</v>
      </c>
      <c r="N154" s="41">
        <f>MID(VLOOKUP($A154,'Dados ClubeFII'!$A:$AU,column(N154)-$A$5,0),3,100)/1</f>
        <v>114.81</v>
      </c>
      <c r="O154" s="41">
        <f>LEFT(VLOOKUP($A154,'Dados ClubeFII'!$A:$AU,column(O154)-$A$5,0),len(VLOOKUP($A154,'Dados ClubeFII'!$A:$AU,column(O154)-$A$5,0))-2)/1</f>
        <v>11448</v>
      </c>
      <c r="P154" s="43">
        <f>VLOOKUP($A154,'Dados ClubeFII'!$A:$AU,column(P154)-$A$5,0)</f>
        <v>44957</v>
      </c>
      <c r="Q154" s="44">
        <f>VLOOKUP($A154,'Dados ClubeFII'!$A:$AU,column(Q154)-$A$5,0)/mid(VLOOKUP($A154,'Dados ClubeFII'!$A:$AU,2,0),3,SEARCH(",",VLOOKUP($A154,'Dados ClubeFII'!$A:$AU,2,0)))*B154</f>
        <v>0.08027512419</v>
      </c>
      <c r="R154" s="44">
        <f>VLOOKUP($A154,'Dados ClubeFII'!$A:$AU,column(R154)-$A$5,0)/mid(VLOOKUP($A154,'Dados ClubeFII'!$A:$AU,2,0),3,SEARCH(",",VLOOKUP($A154,'Dados ClubeFII'!$A:$AU,2,0)))*B154</f>
        <v>0.08027512419</v>
      </c>
      <c r="S154" s="43">
        <f>VLOOKUP($A154,'Dados ClubeFII'!$A:$AU,column(S154)-$A$5,0)</f>
        <v>41163</v>
      </c>
      <c r="T154" s="41">
        <f>MID(VLOOKUP($A154,'Dados ClubeFII'!$A:$AU,column(T154)-$A$5,0),3,100)/1</f>
        <v>100</v>
      </c>
      <c r="U154" s="45">
        <f>VLOOKUP($A154,'Dados ClubeFII'!$A:$AU,column(U154)-$A$5,0)/mid(VLOOKUP($A154,'Dados ClubeFII'!$A:$AU,2,0),4,SEARCH(",",VLOOKUP($A154,'Dados ClubeFII'!$A:$AU,2,0))-1)*B154</f>
        <v>-0.08707403055</v>
      </c>
      <c r="V154" s="42">
        <f>VLOOKUP($A154,'Dados ClubeFII'!$A:$AU,column(V154)-$A$5,0)</f>
        <v>0.012</v>
      </c>
      <c r="W154" s="43" t="str">
        <f>VLOOKUP($A154,'Dados ClubeFII'!$A:$AU,column(W154)-$A$5,0)</f>
        <v>N/D</v>
      </c>
      <c r="X154" s="45">
        <f>VLOOKUP($A154,'Dados ClubeFII'!$A:$AU,column(X154)-$A$5,0)</f>
        <v>0</v>
      </c>
      <c r="Y154" s="41">
        <f>MID(VLOOKUP($A154,'Dados ClubeFII'!$A:$AU,column(Y154)-$A$5,0),3,100)/1</f>
        <v>25533.99</v>
      </c>
      <c r="Z154" s="46">
        <f>VLOOKUP($A154,'Dados ClubeFII'!$A:$AU,column(Z154)-$A$5,0)</f>
        <v>4272</v>
      </c>
      <c r="AA154" s="47">
        <f t="shared" si="2"/>
        <v>2578241</v>
      </c>
      <c r="AB154" s="48">
        <f t="shared" si="3"/>
        <v>87.95014674</v>
      </c>
      <c r="AC154" s="48"/>
      <c r="AD154" s="48"/>
      <c r="AE154" s="48"/>
    </row>
    <row r="155">
      <c r="A155" s="37" t="s">
        <v>178</v>
      </c>
      <c r="B155" s="38">
        <f>IFERROR(__xludf.DUMMYFUNCTION("GOOGLEFINANCE(A155)"),97.3)</f>
        <v>97.3</v>
      </c>
      <c r="C155" s="38">
        <f>IFERROR(__xludf.DUMMYFUNCTION("GOOGLEFINANCE($A155,""high52"")"),98.94)</f>
        <v>98.94</v>
      </c>
      <c r="D155" s="39">
        <f t="shared" si="4"/>
        <v>-0.01657570245</v>
      </c>
      <c r="E155" s="40" t="str">
        <f>VLOOKUP($A155,'Dados ClubeFII'!$A:$AU,column(E155)-$A$5,0)</f>
        <v>Kinea Rendimentos Imobiliários FII</v>
      </c>
      <c r="F155" s="40" t="str">
        <f>VLOOKUP($A155,'Dados ClubeFII'!$A:$AU,column(F155)-$A$5,0)</f>
        <v>KINEA</v>
      </c>
      <c r="G155" s="40" t="str">
        <f>VLOOKUP($A155,'Dados ClubeFII'!$A:$AU,column(G155)-$A$5,0)</f>
        <v>Recebíveis Imobiliários</v>
      </c>
      <c r="H155" s="41">
        <f>MID(VLOOKUP($A155,'Dados ClubeFII'!$A:$AU,column(H155)-$A$5,0),3,100)/mid(VLOOKUP($A155,'Dados ClubeFII'!$A:$AU,2,0),4,SEARCH(",",VLOOKUP($A155,'Dados ClubeFII'!$A:$AU,2,0))-1)*B155</f>
        <v>60773382314</v>
      </c>
      <c r="I155" s="41">
        <f>MID(VLOOKUP($A155,'Dados ClubeFII'!$A:$AU,column(I155)-$A$5,0),3,100)/1</f>
        <v>5752156652</v>
      </c>
      <c r="J155" s="42">
        <f>VLOOKUP($A155,'Dados ClubeFII'!$A:$AU,column(J155)-$A$5,0)/mid(VLOOKUP($A155,'Dados ClubeFII'!$A:$AU,2,0),3,SEARCH(",",VLOOKUP($A155,'Dados ClubeFII'!$A:$AU,2,0)))*B155</f>
        <v>0.9626855124</v>
      </c>
      <c r="K155" s="41">
        <f>if(VLOOKUP($A155,'Dados ClubeFII'!$A:$AU,column(K155)-$A$5,0)="N/D",0,MID(VLOOKUP($A155,'Dados ClubeFII'!$A:$AU,column(K155)-$A$5,0),3,100)/1)/mid(VLOOKUP($A155,'Dados ClubeFII'!$A:$AU,2,0),3,SEARCH(",",VLOOKUP($A155,'Dados ClubeFII'!$A:$AU,2,0)))*B155</f>
        <v>0</v>
      </c>
      <c r="L155" s="41">
        <f>if(VLOOKUP($A155,'Dados ClubeFII'!$A:$AU,column(L155)-$A$5,0)="N/D",0,MID(VLOOKUP($A155,'Dados ClubeFII'!$A:$AU,column(L155)-$A$5,0),3,100)/1)</f>
        <v>0</v>
      </c>
      <c r="M155" s="41">
        <f>MID(VLOOKUP($A155,'Dados ClubeFII'!$A:$AU,column(M155)-$A$5,0),3,100)/1</f>
        <v>1.2</v>
      </c>
      <c r="N155" s="41">
        <f>MID(VLOOKUP($A155,'Dados ClubeFII'!$A:$AU,column(N155)-$A$5,0),3,100)/1</f>
        <v>0</v>
      </c>
      <c r="O155" s="41">
        <f>LEFT(VLOOKUP($A155,'Dados ClubeFII'!$A:$AU,column(O155)-$A$5,0),len(VLOOKUP($A155,'Dados ClubeFII'!$A:$AU,column(O155)-$A$5,0))-2)/1</f>
        <v>0</v>
      </c>
      <c r="P155" s="43">
        <f>VLOOKUP($A155,'Dados ClubeFII'!$A:$AU,column(P155)-$A$5,0)</f>
        <v>44970</v>
      </c>
      <c r="Q155" s="44">
        <f>VLOOKUP($A155,'Dados ClubeFII'!$A:$AU,column(Q155)-$A$5,0)/mid(VLOOKUP($A155,'Dados ClubeFII'!$A:$AU,2,0),3,SEARCH(",",VLOOKUP($A155,'Dados ClubeFII'!$A:$AU,2,0)))*B155</f>
        <v>0.1528508834</v>
      </c>
      <c r="R155" s="44">
        <f>VLOOKUP($A155,'Dados ClubeFII'!$A:$AU,column(R155)-$A$5,0)/mid(VLOOKUP($A155,'Dados ClubeFII'!$A:$AU,2,0),3,SEARCH(",",VLOOKUP($A155,'Dados ClubeFII'!$A:$AU,2,0)))*B155</f>
        <v>0.1307484099</v>
      </c>
      <c r="S155" s="43">
        <f>VLOOKUP($A155,'Dados ClubeFII'!$A:$AU,column(S155)-$A$5,0)</f>
        <v>41215</v>
      </c>
      <c r="T155" s="41">
        <f>MID(VLOOKUP($A155,'Dados ClubeFII'!$A:$AU,column(T155)-$A$5,0),3,100)/1</f>
        <v>100</v>
      </c>
      <c r="U155" s="45">
        <f>VLOOKUP($A155,'Dados ClubeFII'!$A:$AU,column(U155)-$A$5,0)/mid(VLOOKUP($A155,'Dados ClubeFII'!$A:$AU,2,0),4,SEARCH(",",VLOOKUP($A155,'Dados ClubeFII'!$A:$AU,2,0))-1)*B155</f>
        <v>0.03332928177</v>
      </c>
      <c r="V155" s="42" t="str">
        <f>VLOOKUP($A155,'Dados ClubeFII'!$A:$AU,column(V155)-$A$5,0)</f>
        <v>N/D</v>
      </c>
      <c r="W155" s="43" t="str">
        <f>VLOOKUP($A155,'Dados ClubeFII'!$A:$AU,column(W155)-$A$5,0)</f>
        <v>N/D</v>
      </c>
      <c r="X155" s="45">
        <f>VLOOKUP($A155,'Dados ClubeFII'!$A:$AU,column(X155)-$A$5,0)</f>
        <v>0.0511</v>
      </c>
      <c r="Y155" s="41">
        <f>MID(VLOOKUP($A155,'Dados ClubeFII'!$A:$AU,column(Y155)-$A$5,0),3,100)/1</f>
        <v>11063586.71</v>
      </c>
      <c r="Z155" s="46">
        <f>VLOOKUP($A155,'Dados ClubeFII'!$A:$AU,column(Z155)-$A$5,0)</f>
        <v>199159</v>
      </c>
      <c r="AA155" s="47">
        <f t="shared" si="2"/>
        <v>624597968</v>
      </c>
      <c r="AB155" s="48">
        <f t="shared" si="3"/>
        <v>9.209374585</v>
      </c>
      <c r="AC155" s="48"/>
      <c r="AD155" s="48"/>
      <c r="AE155" s="48"/>
    </row>
    <row r="156">
      <c r="A156" s="37" t="s">
        <v>179</v>
      </c>
      <c r="B156" s="38">
        <f>IFERROR(__xludf.DUMMYFUNCTION("GOOGLEFINANCE(A156)"),97.6)</f>
        <v>97.6</v>
      </c>
      <c r="C156" s="38">
        <f>IFERROR(__xludf.DUMMYFUNCTION("GOOGLEFINANCE($A156,""high52"")"),102.26)</f>
        <v>102.26</v>
      </c>
      <c r="D156" s="39">
        <f t="shared" si="4"/>
        <v>-0.04557011539</v>
      </c>
      <c r="E156" s="40" t="str">
        <f>VLOOKUP($A156,'Dados ClubeFII'!$A:$AU,column(E156)-$A$5,0)</f>
        <v>XP Malls</v>
      </c>
      <c r="F156" s="40" t="str">
        <f>VLOOKUP($A156,'Dados ClubeFII'!$A:$AU,column(F156)-$A$5,0)</f>
        <v>XP VISTA</v>
      </c>
      <c r="G156" s="40" t="str">
        <f>VLOOKUP($A156,'Dados ClubeFII'!$A:$AU,column(G156)-$A$5,0)</f>
        <v>Shopping/Varejo</v>
      </c>
      <c r="H156" s="41">
        <f>MID(VLOOKUP($A156,'Dados ClubeFII'!$A:$AU,COLUMN(H156)-$A$5,0),3,100)/MID(VLOOKUP($A156,'Dados ClubeFII'!$A:$AU,2,0),3,SEARCH(",",VLOOKUP($A156,'Dados ClubeFII'!$A:$AU,2,0)))*B156</f>
        <v>2091586200</v>
      </c>
      <c r="I156" s="41">
        <f>MID(VLOOKUP($A156,'Dados ClubeFII'!$A:$AU,column(I156)-$A$5,0),3,100)/1</f>
        <v>2151430404</v>
      </c>
      <c r="J156" s="42">
        <f>VLOOKUP($A156,'Dados ClubeFII'!$A:$AU,column(J156)-$A$5,0)/mid(VLOOKUP($A156,'Dados ClubeFII'!$A:$AU,2,0),3,SEARCH(",",VLOOKUP($A156,'Dados ClubeFII'!$A:$AU,2,0)))*B156</f>
        <v>0.9728907615</v>
      </c>
      <c r="K156" s="41">
        <f>if(VLOOKUP($A156,'Dados ClubeFII'!$A:$AU,column(K156)-$A$5,0)="N/D",0,MID(VLOOKUP($A156,'Dados ClubeFII'!$A:$AU,column(K156)-$A$5,0),3,100)/1)/mid(VLOOKUP($A156,'Dados ClubeFII'!$A:$AU,2,0),3,SEARCH(",",VLOOKUP($A156,'Dados ClubeFII'!$A:$AU,2,0)))*B156</f>
        <v>13859.55104</v>
      </c>
      <c r="L156" s="41">
        <f>if(VLOOKUP($A156,'Dados ClubeFII'!$A:$AU,column(L156)-$A$5,0)="N/D",0,MID(VLOOKUP($A156,'Dados ClubeFII'!$A:$AU,column(L156)-$A$5,0),3,100)/1)</f>
        <v>14256.1</v>
      </c>
      <c r="M156" s="41">
        <f>MID(VLOOKUP($A156,'Dados ClubeFII'!$A:$AU,column(M156)-$A$5,0),3,100)/1</f>
        <v>0.77</v>
      </c>
      <c r="N156" s="41">
        <f>MID(VLOOKUP($A156,'Dados ClubeFII'!$A:$AU,column(N156)-$A$5,0),3,100)/1</f>
        <v>108.75</v>
      </c>
      <c r="O156" s="41">
        <f>LEFT(VLOOKUP($A156,'Dados ClubeFII'!$A:$AU,column(O156)-$A$5,0),len(VLOOKUP($A156,'Dados ClubeFII'!$A:$AU,column(O156)-$A$5,0))-2)/1</f>
        <v>150913</v>
      </c>
      <c r="P156" s="43">
        <f>VLOOKUP($A156,'Dados ClubeFII'!$A:$AU,column(P156)-$A$5,0)</f>
        <v>44981</v>
      </c>
      <c r="Q156" s="44">
        <f>VLOOKUP($A156,'Dados ClubeFII'!$A:$AU,column(Q156)-$A$5,0)/mid(VLOOKUP($A156,'Dados ClubeFII'!$A:$AU,2,0),3,SEARCH(",",VLOOKUP($A156,'Dados ClubeFII'!$A:$AU,2,0)))*B156</f>
        <v>0.09889384441</v>
      </c>
      <c r="R156" s="44">
        <f>VLOOKUP($A156,'Dados ClubeFII'!$A:$AU,column(R156)-$A$5,0)/mid(VLOOKUP($A156,'Dados ClubeFII'!$A:$AU,2,0),3,SEARCH(",",VLOOKUP($A156,'Dados ClubeFII'!$A:$AU,2,0)))*B156</f>
        <v>0.08936553283</v>
      </c>
      <c r="S156" s="43">
        <f>VLOOKUP($A156,'Dados ClubeFII'!$A:$AU,column(S156)-$A$5,0)</f>
        <v>43097</v>
      </c>
      <c r="T156" s="41">
        <f>MID(VLOOKUP($A156,'Dados ClubeFII'!$A:$AU,column(T156)-$A$5,0),3,100)/1</f>
        <v>100</v>
      </c>
      <c r="U156" s="45">
        <f>VLOOKUP($A156,'Dados ClubeFII'!$A:$AU,column(U156)-$A$5,0)/mid(VLOOKUP($A156,'Dados ClubeFII'!$A:$AU,2,0),4,SEARCH(",",VLOOKUP($A156,'Dados ClubeFII'!$A:$AU,2,0))-1)*B156</f>
        <v>0.301745554</v>
      </c>
      <c r="V156" s="42">
        <f>VLOOKUP($A156,'Dados ClubeFII'!$A:$AU,column(V156)-$A$5,0)</f>
        <v>0.032</v>
      </c>
      <c r="W156" s="43" t="str">
        <f>VLOOKUP($A156,'Dados ClubeFII'!$A:$AU,column(W156)-$A$5,0)</f>
        <v>N/D</v>
      </c>
      <c r="X156" s="45">
        <f>VLOOKUP($A156,'Dados ClubeFII'!$A:$AU,column(X156)-$A$5,0)</f>
        <v>0.0179</v>
      </c>
      <c r="Y156" s="41">
        <f>MID(VLOOKUP($A156,'Dados ClubeFII'!$A:$AU,column(Y156)-$A$5,0),3,100)/1</f>
        <v>4220057.77</v>
      </c>
      <c r="Z156" s="46">
        <f>VLOOKUP($A156,'Dados ClubeFII'!$A:$AU,column(Z156)-$A$5,0)</f>
        <v>300598</v>
      </c>
      <c r="AA156" s="47">
        <f t="shared" si="2"/>
        <v>21430186</v>
      </c>
      <c r="AB156" s="48">
        <f t="shared" si="3"/>
        <v>100.3925213</v>
      </c>
      <c r="AC156" s="48"/>
      <c r="AD156" s="48"/>
      <c r="AE156" s="48"/>
    </row>
    <row r="157">
      <c r="A157" s="37" t="s">
        <v>180</v>
      </c>
      <c r="B157" s="38">
        <f>IFERROR(__xludf.DUMMYFUNCTION("GOOGLEFINANCE(A157)"),29.75)</f>
        <v>29.75</v>
      </c>
      <c r="C157" s="38">
        <f>IFERROR(__xludf.DUMMYFUNCTION("GOOGLEFINANCE($A157,""high52"")"),40.03)</f>
        <v>40.03</v>
      </c>
      <c r="D157" s="39">
        <f t="shared" si="4"/>
        <v>-0.2568073945</v>
      </c>
      <c r="E157" s="40" t="str">
        <f>VLOOKUP($A157,'Dados ClubeFII'!$A:$AU,column(E157)-$A$5,0)</f>
        <v>Cenesp</v>
      </c>
      <c r="F157" s="40" t="str">
        <f>VLOOKUP($A157,'Dados ClubeFII'!$A:$AU,column(F157)-$A$5,0)</f>
        <v>BTG PACTUAL</v>
      </c>
      <c r="G157" s="40" t="str">
        <f>VLOOKUP($A157,'Dados ClubeFII'!$A:$AU,column(G157)-$A$5,0)</f>
        <v>Lajes Comerciais</v>
      </c>
      <c r="H157" s="41">
        <f>MID(VLOOKUP($A157,'Dados ClubeFII'!$A:$AU,COLUMN(H157)-$A$5,0),3,100)/MID(VLOOKUP($A157,'Dados ClubeFII'!$A:$AU,2,0),3,SEARCH(",",VLOOKUP($A157,'Dados ClubeFII'!$A:$AU,2,0)))*B157</f>
        <v>94185981.08</v>
      </c>
      <c r="I157" s="41">
        <f>MID(VLOOKUP($A157,'Dados ClubeFII'!$A:$AU,column(I157)-$A$5,0),3,100)/1</f>
        <v>263516534.3</v>
      </c>
      <c r="J157" s="42">
        <f>VLOOKUP($A157,'Dados ClubeFII'!$A:$AU,column(J157)-$A$5,0)/mid(VLOOKUP($A157,'Dados ClubeFII'!$A:$AU,2,0),3,SEARCH(",",VLOOKUP($A157,'Dados ClubeFII'!$A:$AU,2,0)))*B157</f>
        <v>0.3592754109</v>
      </c>
      <c r="K157" s="41">
        <f>if(VLOOKUP($A157,'Dados ClubeFII'!$A:$AU,column(K157)-$A$5,0)="N/D",0,MID(VLOOKUP($A157,'Dados ClubeFII'!$A:$AU,column(K157)-$A$5,0),3,100)/1)/mid(VLOOKUP($A157,'Dados ClubeFII'!$A:$AU,2,0),3,SEARCH(",",VLOOKUP($A157,'Dados ClubeFII'!$A:$AU,2,0)))*B157</f>
        <v>1460.704042</v>
      </c>
      <c r="L157" s="41">
        <f>if(VLOOKUP($A157,'Dados ClubeFII'!$A:$AU,column(L157)-$A$5,0)="N/D",0,MID(VLOOKUP($A157,'Dados ClubeFII'!$A:$AU,column(L157)-$A$5,0),3,100)/1)</f>
        <v>4086.79</v>
      </c>
      <c r="M157" s="41">
        <f>MID(VLOOKUP($A157,'Dados ClubeFII'!$A:$AU,column(M157)-$A$5,0),3,100)/1</f>
        <v>0.13</v>
      </c>
      <c r="N157" s="41">
        <f>MID(VLOOKUP($A157,'Dados ClubeFII'!$A:$AU,column(N157)-$A$5,0),3,100)/1</f>
        <v>5.93</v>
      </c>
      <c r="O157" s="41">
        <f>LEFT(VLOOKUP($A157,'Dados ClubeFII'!$A:$AU,column(O157)-$A$5,0),len(VLOOKUP($A157,'Dados ClubeFII'!$A:$AU,column(O157)-$A$5,0))-2)/1</f>
        <v>64480</v>
      </c>
      <c r="P157" s="43">
        <f>VLOOKUP($A157,'Dados ClubeFII'!$A:$AU,column(P157)-$A$5,0)</f>
        <v>44984</v>
      </c>
      <c r="Q157" s="44">
        <f>VLOOKUP($A157,'Dados ClubeFII'!$A:$AU,column(Q157)-$A$5,0)/mid(VLOOKUP($A157,'Dados ClubeFII'!$A:$AU,2,0),3,SEARCH(",",VLOOKUP($A157,'Dados ClubeFII'!$A:$AU,2,0)))*B157</f>
        <v>0.04969976518</v>
      </c>
      <c r="R157" s="44">
        <f>VLOOKUP($A157,'Dados ClubeFII'!$A:$AU,column(R157)-$A$5,0)/mid(VLOOKUP($A157,'Dados ClubeFII'!$A:$AU,2,0),3,SEARCH(",",VLOOKUP($A157,'Dados ClubeFII'!$A:$AU,2,0)))*B157</f>
        <v>0.03962009393</v>
      </c>
      <c r="S157" s="43">
        <f>VLOOKUP($A157,'Dados ClubeFII'!$A:$AU,column(S157)-$A$5,0)</f>
        <v>40759</v>
      </c>
      <c r="T157" s="41">
        <f>MID(VLOOKUP($A157,'Dados ClubeFII'!$A:$AU,column(T157)-$A$5,0),3,100)/1</f>
        <v>100</v>
      </c>
      <c r="U157" s="45">
        <f>VLOOKUP($A157,'Dados ClubeFII'!$A:$AU,column(U157)-$A$5,0)/mid(VLOOKUP($A157,'Dados ClubeFII'!$A:$AU,2,0),4,SEARCH(",",VLOOKUP($A157,'Dados ClubeFII'!$A:$AU,2,0))-1)*B157</f>
        <v>-0.03730122324</v>
      </c>
      <c r="V157" s="42">
        <f>VLOOKUP($A157,'Dados ClubeFII'!$A:$AU,column(V157)-$A$5,0)</f>
        <v>0.546</v>
      </c>
      <c r="W157" s="43" t="str">
        <f>VLOOKUP($A157,'Dados ClubeFII'!$A:$AU,column(W157)-$A$5,0)</f>
        <v>N/D</v>
      </c>
      <c r="X157" s="45">
        <f>VLOOKUP($A157,'Dados ClubeFII'!$A:$AU,column(X157)-$A$5,0)</f>
        <v>0</v>
      </c>
      <c r="Y157" s="41">
        <f>MID(VLOOKUP($A157,'Dados ClubeFII'!$A:$AU,column(Y157)-$A$5,0),3,100)/1</f>
        <v>2393.73</v>
      </c>
      <c r="Z157" s="46">
        <f>VLOOKUP($A157,'Dados ClubeFII'!$A:$AU,column(Z157)-$A$5,0)</f>
        <v>1851</v>
      </c>
      <c r="AA157" s="47">
        <f t="shared" si="2"/>
        <v>3165915</v>
      </c>
      <c r="AB157" s="48">
        <f t="shared" si="3"/>
        <v>83.23550514</v>
      </c>
      <c r="AC157" s="48"/>
      <c r="AD157" s="48"/>
      <c r="AE157" s="48"/>
    </row>
    <row r="158">
      <c r="A158" s="37" t="s">
        <v>181</v>
      </c>
      <c r="B158" s="38">
        <f>IFERROR(__xludf.DUMMYFUNCTION("GOOGLEFINANCE(A158)"),2001.55)</f>
        <v>2001.55</v>
      </c>
      <c r="C158" s="38">
        <f>IFERROR(__xludf.DUMMYFUNCTION("GOOGLEFINANCE($A158,""high52"")"),2297.08)</f>
        <v>2297.08</v>
      </c>
      <c r="D158" s="39">
        <f t="shared" si="4"/>
        <v>-0.1286546398</v>
      </c>
      <c r="E158" s="40" t="str">
        <f>VLOOKUP($A158,'Dados ClubeFII'!$A:$AU,column(E158)-$A$5,0)</f>
        <v>Parque Dom Pedro Shopping Center</v>
      </c>
      <c r="F158" s="40" t="str">
        <f>VLOOKUP($A158,'Dados ClubeFII'!$A:$AU,column(F158)-$A$5,0)</f>
        <v/>
      </c>
      <c r="G158" s="40" t="str">
        <f>VLOOKUP($A158,'Dados ClubeFII'!$A:$AU,column(G158)-$A$5,0)</f>
        <v>Shopping/Varejo</v>
      </c>
      <c r="H158" s="41">
        <f>MID(VLOOKUP($A158,'Dados ClubeFII'!$A:$AU,COLUMN(H158)-$A$5,0),3,100)/MID(VLOOKUP($A158,'Dados ClubeFII'!$A:$AU,2,0),3,SEARCH(",",VLOOKUP($A158,'Dados ClubeFII'!$A:$AU,2,0)))*B158</f>
        <v>493079362.5</v>
      </c>
      <c r="I158" s="41">
        <f>MID(VLOOKUP($A158,'Dados ClubeFII'!$A:$AU,column(I158)-$A$5,0),3,100)/1</f>
        <v>767323452.2</v>
      </c>
      <c r="J158" s="42">
        <f>VLOOKUP($A158,'Dados ClubeFII'!$A:$AU,column(J158)-$A$5,0)/mid(VLOOKUP($A158,'Dados ClubeFII'!$A:$AU,2,0),3,SEARCH(",",VLOOKUP($A158,'Dados ClubeFII'!$A:$AU,2,0)))*B158</f>
        <v>0.6446599079</v>
      </c>
      <c r="K158" s="41">
        <f>if(VLOOKUP($A158,'Dados ClubeFII'!$A:$AU,column(K158)-$A$5,0)="N/D",0,MID(VLOOKUP($A158,'Dados ClubeFII'!$A:$AU,column(K158)-$A$5,0),3,100)/1)/mid(VLOOKUP($A158,'Dados ClubeFII'!$A:$AU,2,0),3,SEARCH(",",VLOOKUP($A158,'Dados ClubeFII'!$A:$AU,2,0)))*B158</f>
        <v>12886.24575</v>
      </c>
      <c r="L158" s="41">
        <f>if(VLOOKUP($A158,'Dados ClubeFII'!$A:$AU,column(L158)-$A$5,0)="N/D",0,MID(VLOOKUP($A158,'Dados ClubeFII'!$A:$AU,column(L158)-$A$5,0),3,100)/1)</f>
        <v>20053.4</v>
      </c>
      <c r="M158" s="41">
        <f>MID(VLOOKUP($A158,'Dados ClubeFII'!$A:$AU,column(M158)-$A$5,0),3,100)/1</f>
        <v>10.38</v>
      </c>
      <c r="N158" s="41">
        <f>MID(VLOOKUP($A158,'Dados ClubeFII'!$A:$AU,column(N158)-$A$5,0),3,100)/1</f>
        <v>66.59</v>
      </c>
      <c r="O158" s="41">
        <f>LEFT(VLOOKUP($A158,'Dados ClubeFII'!$A:$AU,column(O158)-$A$5,0),len(VLOOKUP($A158,'Dados ClubeFII'!$A:$AU,column(O158)-$A$5,0))-2)/1</f>
        <v>38264</v>
      </c>
      <c r="P158" s="43">
        <f>VLOOKUP($A158,'Dados ClubeFII'!$A:$AU,column(P158)-$A$5,0)</f>
        <v>44974</v>
      </c>
      <c r="Q158" s="44">
        <f>VLOOKUP($A158,'Dados ClubeFII'!$A:$AU,column(Q158)-$A$5,0)/mid(VLOOKUP($A158,'Dados ClubeFII'!$A:$AU,2,0),3,SEARCH(",",VLOOKUP($A158,'Dados ClubeFII'!$A:$AU,2,0)))*B158</f>
        <v>0.06277995719</v>
      </c>
      <c r="R158" s="44">
        <f>VLOOKUP($A158,'Dados ClubeFII'!$A:$AU,column(R158)-$A$5,0)/mid(VLOOKUP($A158,'Dados ClubeFII'!$A:$AU,2,0),3,SEARCH(",",VLOOKUP($A158,'Dados ClubeFII'!$A:$AU,2,0)))*B158</f>
        <v>0.09005403022</v>
      </c>
      <c r="S158" s="43">
        <f>VLOOKUP($A158,'Dados ClubeFII'!$A:$AU,column(S158)-$A$5,0)</f>
        <v>40164</v>
      </c>
      <c r="T158" s="41">
        <f>MID(VLOOKUP($A158,'Dados ClubeFII'!$A:$AU,column(T158)-$A$5,0),3,100)/1</f>
        <v>1000</v>
      </c>
      <c r="U158" s="45">
        <f>VLOOKUP($A158,'Dados ClubeFII'!$A:$AU,column(U158)-$A$5,0)/mid(VLOOKUP($A158,'Dados ClubeFII'!$A:$AU,2,0),4,SEARCH(",",VLOOKUP($A158,'Dados ClubeFII'!$A:$AU,2,0))-1)*B158</f>
        <v>-6.657113348</v>
      </c>
      <c r="V158" s="42">
        <f>VLOOKUP($A158,'Dados ClubeFII'!$A:$AU,column(V158)-$A$5,0)</f>
        <v>0.01</v>
      </c>
      <c r="W158" s="43" t="str">
        <f>VLOOKUP($A158,'Dados ClubeFII'!$A:$AU,column(W158)-$A$5,0)</f>
        <v>N/D</v>
      </c>
      <c r="X158" s="45">
        <f>VLOOKUP($A158,'Dados ClubeFII'!$A:$AU,column(X158)-$A$5,0)</f>
        <v>0</v>
      </c>
      <c r="Y158" s="41">
        <f>MID(VLOOKUP($A158,'Dados ClubeFII'!$A:$AU,column(Y158)-$A$5,0),3,100)/1</f>
        <v>85390.68</v>
      </c>
      <c r="Z158" s="46">
        <f>VLOOKUP($A158,'Dados ClubeFII'!$A:$AU,column(Z158)-$A$5,0)</f>
        <v>4005</v>
      </c>
      <c r="AA158" s="47">
        <f t="shared" si="2"/>
        <v>246348</v>
      </c>
      <c r="AB158" s="48">
        <f t="shared" si="3"/>
        <v>3114.79473</v>
      </c>
      <c r="AC158" s="48"/>
      <c r="AD158" s="48"/>
      <c r="AE158" s="48"/>
    </row>
    <row r="159">
      <c r="A159" s="37" t="s">
        <v>182</v>
      </c>
      <c r="B159" s="38">
        <f>IFERROR(__xludf.DUMMYFUNCTION("GOOGLEFINANCE(A159)"),89.2)</f>
        <v>89.2</v>
      </c>
      <c r="C159" s="38">
        <f>IFERROR(__xludf.DUMMYFUNCTION("GOOGLEFINANCE($A159,""high52"")"),91.61)</f>
        <v>91.61</v>
      </c>
      <c r="D159" s="39">
        <f t="shared" si="4"/>
        <v>-0.02630717171</v>
      </c>
      <c r="E159" s="40" t="str">
        <f>VLOOKUP($A159,'Dados ClubeFII'!$A:$AU,column(E159)-$A$5,0)</f>
        <v>Santander Papéis Imobiliários CDI</v>
      </c>
      <c r="F159" s="40" t="str">
        <f>VLOOKUP($A159,'Dados ClubeFII'!$A:$AU,column(F159)-$A$5,0)</f>
        <v>Santander Brasil</v>
      </c>
      <c r="G159" s="40" t="str">
        <f>VLOOKUP($A159,'Dados ClubeFII'!$A:$AU,column(G159)-$A$5,0)</f>
        <v>Recebíveis Imobiliários</v>
      </c>
      <c r="H159" s="41">
        <f>MID(VLOOKUP($A159,'Dados ClubeFII'!$A:$AU,column(H159)-$A$5,0),3,100)/mid(VLOOKUP($A159,'Dados ClubeFII'!$A:$AU,2,0),4,SEARCH(",",VLOOKUP($A159,'Dados ClubeFII'!$A:$AU,2,0))-1)*B159</f>
        <v>2643786909</v>
      </c>
      <c r="I159" s="41">
        <f>MID(VLOOKUP($A159,'Dados ClubeFII'!$A:$AU,column(I159)-$A$5,0),3,100)/1</f>
        <v>313671106.7</v>
      </c>
      <c r="J159" s="42">
        <f>VLOOKUP($A159,'Dados ClubeFII'!$A:$AU,column(J159)-$A$5,0)/mid(VLOOKUP($A159,'Dados ClubeFII'!$A:$AU,2,0),3,SEARCH(",",VLOOKUP($A159,'Dados ClubeFII'!$A:$AU,2,0)))*B159</f>
        <v>0.9059375</v>
      </c>
      <c r="K159" s="41">
        <f>if(VLOOKUP($A159,'Dados ClubeFII'!$A:$AU,column(K159)-$A$5,0)="N/D",0,MID(VLOOKUP($A159,'Dados ClubeFII'!$A:$AU,column(K159)-$A$5,0),3,100)/1)/mid(VLOOKUP($A159,'Dados ClubeFII'!$A:$AU,2,0),3,SEARCH(",",VLOOKUP($A159,'Dados ClubeFII'!$A:$AU,2,0)))*B159</f>
        <v>0</v>
      </c>
      <c r="L159" s="41">
        <f>if(VLOOKUP($A159,'Dados ClubeFII'!$A:$AU,column(L159)-$A$5,0)="N/D",0,MID(VLOOKUP($A159,'Dados ClubeFII'!$A:$AU,column(L159)-$A$5,0),3,100)/1)</f>
        <v>0</v>
      </c>
      <c r="M159" s="41">
        <f>MID(VLOOKUP($A159,'Dados ClubeFII'!$A:$AU,column(M159)-$A$5,0),3,100)/1</f>
        <v>1.07</v>
      </c>
      <c r="N159" s="41">
        <f>MID(VLOOKUP($A159,'Dados ClubeFII'!$A:$AU,column(N159)-$A$5,0),3,100)/1</f>
        <v>0</v>
      </c>
      <c r="O159" s="41">
        <f>LEFT(VLOOKUP($A159,'Dados ClubeFII'!$A:$AU,column(O159)-$A$5,0),len(VLOOKUP($A159,'Dados ClubeFII'!$A:$AU,column(O159)-$A$5,0))-2)/1</f>
        <v>0</v>
      </c>
      <c r="P159" s="43">
        <f>VLOOKUP($A159,'Dados ClubeFII'!$A:$AU,column(P159)-$A$5,0)</f>
        <v>44971</v>
      </c>
      <c r="Q159" s="44">
        <f>VLOOKUP($A159,'Dados ClubeFII'!$A:$AU,column(Q159)-$A$5,0)/mid(VLOOKUP($A159,'Dados ClubeFII'!$A:$AU,2,0),3,SEARCH(",",VLOOKUP($A159,'Dados ClubeFII'!$A:$AU,2,0)))*B159</f>
        <v>0.152615625</v>
      </c>
      <c r="R159" s="44">
        <f>VLOOKUP($A159,'Dados ClubeFII'!$A:$AU,column(R159)-$A$5,0)/mid(VLOOKUP($A159,'Dados ClubeFII'!$A:$AU,2,0),3,SEARCH(",",VLOOKUP($A159,'Dados ClubeFII'!$A:$AU,2,0)))*B159</f>
        <v>0.1355919643</v>
      </c>
      <c r="S159" s="43">
        <f>VLOOKUP($A159,'Dados ClubeFII'!$A:$AU,column(S159)-$A$5,0)</f>
        <v>43685</v>
      </c>
      <c r="T159" s="41">
        <f>MID(VLOOKUP($A159,'Dados ClubeFII'!$A:$AU,column(T159)-$A$5,0),3,100)/1</f>
        <v>100</v>
      </c>
      <c r="U159" s="45">
        <f>VLOOKUP($A159,'Dados ClubeFII'!$A:$AU,column(U159)-$A$5,0)/mid(VLOOKUP($A159,'Dados ClubeFII'!$A:$AU,2,0),4,SEARCH(",",VLOOKUP($A159,'Dados ClubeFII'!$A:$AU,2,0))-1)*B159</f>
        <v>-0.2555208333</v>
      </c>
      <c r="V159" s="42" t="str">
        <f>VLOOKUP($A159,'Dados ClubeFII'!$A:$AU,column(V159)-$A$5,0)</f>
        <v>N/D</v>
      </c>
      <c r="W159" s="43" t="str">
        <f>VLOOKUP($A159,'Dados ClubeFII'!$A:$AU,column(W159)-$A$5,0)</f>
        <v>N/D</v>
      </c>
      <c r="X159" s="45">
        <f>VLOOKUP($A159,'Dados ClubeFII'!$A:$AU,column(X159)-$A$5,0)</f>
        <v>0.0027</v>
      </c>
      <c r="Y159" s="41">
        <f>MID(VLOOKUP($A159,'Dados ClubeFII'!$A:$AU,column(Y159)-$A$5,0),3,100)/1</f>
        <v>832448.31</v>
      </c>
      <c r="Z159" s="46">
        <f>VLOOKUP($A159,'Dados ClubeFII'!$A:$AU,column(Z159)-$A$5,0)</f>
        <v>9250</v>
      </c>
      <c r="AA159" s="47">
        <f t="shared" si="2"/>
        <v>29638866</v>
      </c>
      <c r="AB159" s="48">
        <f t="shared" si="3"/>
        <v>10.58310081</v>
      </c>
      <c r="AC159" s="17"/>
      <c r="AD159" s="17"/>
      <c r="AE159" s="17"/>
    </row>
    <row r="160">
      <c r="A160" s="37" t="s">
        <v>183</v>
      </c>
      <c r="B160" s="38">
        <f>IFERROR(__xludf.DUMMYFUNCTION("GOOGLEFINANCE(A160)"),69.5)</f>
        <v>69.5</v>
      </c>
      <c r="C160" s="38">
        <f>IFERROR(__xludf.DUMMYFUNCTION("GOOGLEFINANCE($A160,""high52"")"),90.66)</f>
        <v>90.66</v>
      </c>
      <c r="D160" s="39">
        <f t="shared" si="4"/>
        <v>-0.2333995147</v>
      </c>
      <c r="E160" s="40" t="str">
        <f>VLOOKUP($A160,'Dados ClubeFII'!$A:$AU,column(E160)-$A$5,0)</f>
        <v>Hedge Shopping Parque Dom Pedro</v>
      </c>
      <c r="F160" s="40" t="str">
        <f>VLOOKUP($A160,'Dados ClubeFII'!$A:$AU,column(F160)-$A$5,0)</f>
        <v>HEDGE INVESTMENTS</v>
      </c>
      <c r="G160" s="40" t="str">
        <f>VLOOKUP($A160,'Dados ClubeFII'!$A:$AU,column(G160)-$A$5,0)</f>
        <v>Shopping/Varejo</v>
      </c>
      <c r="H160" s="41">
        <f>MID(VLOOKUP($A160,'Dados ClubeFII'!$A:$AU,COLUMN(H160)-$A$5,0),3,100)/MID(VLOOKUP($A160,'Dados ClubeFII'!$A:$AU,2,0),3,SEARCH(",",VLOOKUP($A160,'Dados ClubeFII'!$A:$AU,2,0)))*B160</f>
        <v>202162503.5</v>
      </c>
      <c r="I160" s="41">
        <f>MID(VLOOKUP($A160,'Dados ClubeFII'!$A:$AU,column(I160)-$A$5,0),3,100)/1</f>
        <v>259220664.4</v>
      </c>
      <c r="J160" s="42">
        <f>VLOOKUP($A160,'Dados ClubeFII'!$A:$AU,column(J160)-$A$5,0)/mid(VLOOKUP($A160,'Dados ClubeFII'!$A:$AU,2,0),3,SEARCH(",",VLOOKUP($A160,'Dados ClubeFII'!$A:$AU,2,0)))*B160</f>
        <v>0.7795103269</v>
      </c>
      <c r="K160" s="41">
        <f>if(VLOOKUP($A160,'Dados ClubeFII'!$A:$AU,column(K160)-$A$5,0)="N/D",0,MID(VLOOKUP($A160,'Dados ClubeFII'!$A:$AU,column(K160)-$A$5,0),3,100)/1)/mid(VLOOKUP($A160,'Dados ClubeFII'!$A:$AU,2,0),3,SEARCH(",",VLOOKUP($A160,'Dados ClubeFII'!$A:$AU,2,0)))*B160</f>
        <v>15129.01211</v>
      </c>
      <c r="L160" s="41">
        <f>if(VLOOKUP($A160,'Dados ClubeFII'!$A:$AU,column(L160)-$A$5,0)="N/D",0,MID(VLOOKUP($A160,'Dados ClubeFII'!$A:$AU,column(L160)-$A$5,0),3,100)/1)</f>
        <v>19399.01</v>
      </c>
      <c r="M160" s="41">
        <f>MID(VLOOKUP($A160,'Dados ClubeFII'!$A:$AU,column(M160)-$A$5,0),3,100)/1</f>
        <v>0.45</v>
      </c>
      <c r="N160" s="41">
        <f>MID(VLOOKUP($A160,'Dados ClubeFII'!$A:$AU,column(N160)-$A$5,0),3,100)/1</f>
        <v>97.96</v>
      </c>
      <c r="O160" s="41">
        <f>LEFT(VLOOKUP($A160,'Dados ClubeFII'!$A:$AU,column(O160)-$A$5,0),len(VLOOKUP($A160,'Dados ClubeFII'!$A:$AU,column(O160)-$A$5,0))-2)/1</f>
        <v>13362.57</v>
      </c>
      <c r="P160" s="43">
        <f>VLOOKUP($A160,'Dados ClubeFII'!$A:$AU,column(P160)-$A$5,0)</f>
        <v>44971</v>
      </c>
      <c r="Q160" s="44">
        <f>VLOOKUP($A160,'Dados ClubeFII'!$A:$AU,column(Q160)-$A$5,0)/mid(VLOOKUP($A160,'Dados ClubeFII'!$A:$AU,2,0),3,SEARCH(",",VLOOKUP($A160,'Dados ClubeFII'!$A:$AU,2,0)))*B160</f>
        <v>0.07262754753</v>
      </c>
      <c r="R160" s="44">
        <f>VLOOKUP($A160,'Dados ClubeFII'!$A:$AU,column(R160)-$A$5,0)/mid(VLOOKUP($A160,'Dados ClubeFII'!$A:$AU,2,0),3,SEARCH(",",VLOOKUP($A160,'Dados ClubeFII'!$A:$AU,2,0)))*B160</f>
        <v>0.07110655177</v>
      </c>
      <c r="S160" s="43">
        <f>VLOOKUP($A160,'Dados ClubeFII'!$A:$AU,column(S160)-$A$5,0)</f>
        <v>43819</v>
      </c>
      <c r="T160" s="41">
        <f>MID(VLOOKUP($A160,'Dados ClubeFII'!$A:$AU,column(T160)-$A$5,0),3,100)/1</f>
        <v>100</v>
      </c>
      <c r="U160" s="45">
        <f>VLOOKUP($A160,'Dados ClubeFII'!$A:$AU,column(U160)-$A$5,0)/mid(VLOOKUP($A160,'Dados ClubeFII'!$A:$AU,2,0),4,SEARCH(",",VLOOKUP($A160,'Dados ClubeFII'!$A:$AU,2,0))-1)*B160</f>
        <v>-0.5698553055</v>
      </c>
      <c r="V160" s="42">
        <f>VLOOKUP($A160,'Dados ClubeFII'!$A:$AU,column(V160)-$A$5,0)</f>
        <v>0.009</v>
      </c>
      <c r="W160" s="43" t="str">
        <f>VLOOKUP($A160,'Dados ClubeFII'!$A:$AU,column(W160)-$A$5,0)</f>
        <v>N/D</v>
      </c>
      <c r="X160" s="45">
        <f>VLOOKUP($A160,'Dados ClubeFII'!$A:$AU,column(X160)-$A$5,0)</f>
        <v>0</v>
      </c>
      <c r="Y160" s="41">
        <f>MID(VLOOKUP($A160,'Dados ClubeFII'!$A:$AU,column(Y160)-$A$5,0),3,100)/1</f>
        <v>1701.21</v>
      </c>
      <c r="Z160" s="46">
        <f>VLOOKUP($A160,'Dados ClubeFII'!$A:$AU,column(Z160)-$A$5,0)</f>
        <v>387</v>
      </c>
      <c r="AA160" s="47">
        <f t="shared" si="2"/>
        <v>2908813</v>
      </c>
      <c r="AB160" s="48">
        <f t="shared" si="3"/>
        <v>89.1156167</v>
      </c>
      <c r="AC160" s="17"/>
      <c r="AD160" s="17"/>
      <c r="AE160" s="17"/>
    </row>
    <row r="161">
      <c r="A161" s="37" t="s">
        <v>184</v>
      </c>
      <c r="B161" s="38">
        <f>IFERROR(__xludf.DUMMYFUNCTION("GOOGLEFINANCE(A161)"),114.0)</f>
        <v>114</v>
      </c>
      <c r="C161" s="38">
        <f>IFERROR(__xludf.DUMMYFUNCTION("GOOGLEFINANCE($A161,""high52"")"),129.0)</f>
        <v>129</v>
      </c>
      <c r="D161" s="39">
        <f t="shared" si="4"/>
        <v>-0.1162790698</v>
      </c>
      <c r="E161" s="40" t="str">
        <f>VLOOKUP($A161,'Dados ClubeFII'!$A:$AU,column(E161)-$A$5,0)</f>
        <v>Brazil Real Estate Victory Fund I</v>
      </c>
      <c r="F161" s="40" t="str">
        <f>VLOOKUP($A161,'Dados ClubeFII'!$A:$AU,column(F161)-$A$5,0)</f>
        <v>BR-CAPITAL</v>
      </c>
      <c r="G161" s="40" t="str">
        <f>VLOOKUP($A161,'Dados ClubeFII'!$A:$AU,column(G161)-$A$5,0)</f>
        <v>Lajes Comerciais</v>
      </c>
      <c r="H161" s="41">
        <f>MID(VLOOKUP($A161,'Dados ClubeFII'!$A:$AU,COLUMN(H161)-$A$5,0),3,100)/MID(VLOOKUP($A161,'Dados ClubeFII'!$A:$AU,2,0),3,SEARCH(",",VLOOKUP($A161,'Dados ClubeFII'!$A:$AU,2,0)))*B161</f>
        <v>105454394.5</v>
      </c>
      <c r="I161" s="41">
        <f>MID(VLOOKUP($A161,'Dados ClubeFII'!$A:$AU,column(I161)-$A$5,0),3,100)/1</f>
        <v>117322323.2</v>
      </c>
      <c r="J161" s="42">
        <f>VLOOKUP($A161,'Dados ClubeFII'!$A:$AU,column(J161)-$A$5,0)/mid(VLOOKUP($A161,'Dados ClubeFII'!$A:$AU,2,0),3,SEARCH(",",VLOOKUP($A161,'Dados ClubeFII'!$A:$AU,2,0)))*B161</f>
        <v>0.8965048544</v>
      </c>
      <c r="K161" s="41">
        <f>if(VLOOKUP($A161,'Dados ClubeFII'!$A:$AU,column(K161)-$A$5,0)="N/D",0,MID(VLOOKUP($A161,'Dados ClubeFII'!$A:$AU,column(K161)-$A$5,0),3,100)/1)/mid(VLOOKUP($A161,'Dados ClubeFII'!$A:$AU,2,0),3,SEARCH(",",VLOOKUP($A161,'Dados ClubeFII'!$A:$AU,2,0)))*B161</f>
        <v>17907.00932</v>
      </c>
      <c r="L161" s="41">
        <f>if(VLOOKUP($A161,'Dados ClubeFII'!$A:$AU,column(L161)-$A$5,0)="N/D",0,MID(VLOOKUP($A161,'Dados ClubeFII'!$A:$AU,column(L161)-$A$5,0),3,100)/1)</f>
        <v>19922.28</v>
      </c>
      <c r="M161" s="41">
        <f>MID(VLOOKUP($A161,'Dados ClubeFII'!$A:$AU,column(M161)-$A$5,0),3,100)/1</f>
        <v>0.64</v>
      </c>
      <c r="N161" s="41">
        <f>MID(VLOOKUP($A161,'Dados ClubeFII'!$A:$AU,column(N161)-$A$5,0),3,100)/1</f>
        <v>105.11</v>
      </c>
      <c r="O161" s="41">
        <f>LEFT(VLOOKUP($A161,'Dados ClubeFII'!$A:$AU,column(O161)-$A$5,0),len(VLOOKUP($A161,'Dados ClubeFII'!$A:$AU,column(O161)-$A$5,0))-2)/1</f>
        <v>5889</v>
      </c>
      <c r="P161" s="43">
        <f>VLOOKUP($A161,'Dados ClubeFII'!$A:$AU,column(P161)-$A$5,0)</f>
        <v>44971</v>
      </c>
      <c r="Q161" s="44">
        <f>VLOOKUP($A161,'Dados ClubeFII'!$A:$AU,column(Q161)-$A$5,0)/mid(VLOOKUP($A161,'Dados ClubeFII'!$A:$AU,2,0),3,SEARCH(",",VLOOKUP($A161,'Dados ClubeFII'!$A:$AU,2,0)))*B161</f>
        <v>0.08942912621</v>
      </c>
      <c r="R161" s="44">
        <f>VLOOKUP($A161,'Dados ClubeFII'!$A:$AU,column(R161)-$A$5,0)/mid(VLOOKUP($A161,'Dados ClubeFII'!$A:$AU,2,0),3,SEARCH(",",VLOOKUP($A161,'Dados ClubeFII'!$A:$AU,2,0)))*B161</f>
        <v>0.0845592233</v>
      </c>
      <c r="S161" s="43">
        <f>VLOOKUP($A161,'Dados ClubeFII'!$A:$AU,column(S161)-$A$5,0)</f>
        <v>43851</v>
      </c>
      <c r="T161" s="41">
        <f>MID(VLOOKUP($A161,'Dados ClubeFII'!$A:$AU,column(T161)-$A$5,0),3,100)/1</f>
        <v>100</v>
      </c>
      <c r="U161" s="45">
        <f>VLOOKUP($A161,'Dados ClubeFII'!$A:$AU,column(U161)-$A$5,0)/mid(VLOOKUP($A161,'Dados ClubeFII'!$A:$AU,2,0),4,SEARCH(",",VLOOKUP($A161,'Dados ClubeFII'!$A:$AU,2,0))-1)*B161</f>
        <v>2.2496</v>
      </c>
      <c r="V161" s="42">
        <f>VLOOKUP($A161,'Dados ClubeFII'!$A:$AU,column(V161)-$A$5,0)</f>
        <v>0</v>
      </c>
      <c r="W161" s="43" t="str">
        <f>VLOOKUP($A161,'Dados ClubeFII'!$A:$AU,column(W161)-$A$5,0)</f>
        <v>N/D</v>
      </c>
      <c r="X161" s="45">
        <f>VLOOKUP($A161,'Dados ClubeFII'!$A:$AU,column(X161)-$A$5,0)</f>
        <v>0</v>
      </c>
      <c r="Y161" s="41">
        <f>MID(VLOOKUP($A161,'Dados ClubeFII'!$A:$AU,column(Y161)-$A$5,0),3,100)/1</f>
        <v>2368.27</v>
      </c>
      <c r="Z161" s="46">
        <f>VLOOKUP($A161,'Dados ClubeFII'!$A:$AU,column(Z161)-$A$5,0)</f>
        <v>188</v>
      </c>
      <c r="AA161" s="47">
        <f t="shared" si="2"/>
        <v>925038</v>
      </c>
      <c r="AB161" s="48">
        <f t="shared" si="3"/>
        <v>126.8297336</v>
      </c>
      <c r="AC161" s="48"/>
      <c r="AD161" s="48"/>
      <c r="AE161" s="48"/>
    </row>
    <row r="162">
      <c r="A162" s="49" t="s">
        <v>185</v>
      </c>
      <c r="B162" s="38">
        <f>IFERROR(__xludf.DUMMYFUNCTION("GOOGLEFINANCE(A162)"),42.51)</f>
        <v>42.51</v>
      </c>
      <c r="C162" s="38">
        <f>IFERROR(__xludf.DUMMYFUNCTION("GOOGLEFINANCE($A162,""high52"")"),46.87)</f>
        <v>46.87</v>
      </c>
      <c r="D162" s="39">
        <f t="shared" si="4"/>
        <v>-0.09302325581</v>
      </c>
      <c r="E162" s="40" t="str">
        <f>VLOOKUP($A162,'Dados ClubeFII'!$A:$AU,column(E162)-$A$5,0)</f>
        <v>Ourinvest RE I</v>
      </c>
      <c r="F162" s="40" t="str">
        <f>VLOOKUP($A162,'Dados ClubeFII'!$A:$AU,column(F162)-$A$5,0)</f>
        <v>FATOR ORE ASSET</v>
      </c>
      <c r="G162" s="40" t="str">
        <f>VLOOKUP($A162,'Dados ClubeFII'!$A:$AU,column(G162)-$A$5,0)</f>
        <v>Lajes Comerciais</v>
      </c>
      <c r="H162" s="41">
        <f>MID(VLOOKUP($A162,'Dados ClubeFII'!$A:$AU,COLUMN(H162)-$A$5,0),3,100)/MID(VLOOKUP($A162,'Dados ClubeFII'!$A:$AU,2,0),3,SEARCH(",",VLOOKUP($A162,'Dados ClubeFII'!$A:$AU,2,0)))*B162</f>
        <v>42193938.15</v>
      </c>
      <c r="I162" s="41">
        <f>MID(VLOOKUP($A162,'Dados ClubeFII'!$A:$AU,column(I162)-$A$5,0),3,100)/1</f>
        <v>71930941.49</v>
      </c>
      <c r="J162" s="42">
        <f>VLOOKUP($A162,'Dados ClubeFII'!$A:$AU,column(J162)-$A$5,0)/mid(VLOOKUP($A162,'Dados ClubeFII'!$A:$AU,2,0),3,SEARCH(",",VLOOKUP($A162,'Dados ClubeFII'!$A:$AU,2,0)))*B162</f>
        <v>0.5798103792</v>
      </c>
      <c r="K162" s="41">
        <f>if(VLOOKUP($A162,'Dados ClubeFII'!$A:$AU,column(K162)-$A$5,0)="N/D",0,MID(VLOOKUP($A162,'Dados ClubeFII'!$A:$AU,column(K162)-$A$5,0),3,100)/1)/mid(VLOOKUP($A162,'Dados ClubeFII'!$A:$AU,2,0),3,SEARCH(",",VLOOKUP($A162,'Dados ClubeFII'!$A:$AU,2,0)))*B162</f>
        <v>3435.15023</v>
      </c>
      <c r="L162" s="41">
        <f>if(VLOOKUP($A162,'Dados ClubeFII'!$A:$AU,column(L162)-$A$5,0)="N/D",0,MID(VLOOKUP($A162,'Dados ClubeFII'!$A:$AU,column(L162)-$A$5,0),3,100)/1)</f>
        <v>5856.14</v>
      </c>
      <c r="M162" s="41">
        <f>MID(VLOOKUP($A162,'Dados ClubeFII'!$A:$AU,column(M162)-$A$5,0),3,100)/1</f>
        <v>0.2</v>
      </c>
      <c r="N162" s="41">
        <f>MID(VLOOKUP($A162,'Dados ClubeFII'!$A:$AU,column(N162)-$A$5,0),3,100)/1</f>
        <v>16.16</v>
      </c>
      <c r="O162" s="41">
        <f>LEFT(VLOOKUP($A162,'Dados ClubeFII'!$A:$AU,column(O162)-$A$5,0),len(VLOOKUP($A162,'Dados ClubeFII'!$A:$AU,column(O162)-$A$5,0))-2)/1</f>
        <v>12283</v>
      </c>
      <c r="P162" s="43">
        <f>VLOOKUP($A162,'Dados ClubeFII'!$A:$AU,column(P162)-$A$5,0)</f>
        <v>44980</v>
      </c>
      <c r="Q162" s="44">
        <f>VLOOKUP($A162,'Dados ClubeFII'!$A:$AU,column(Q162)-$A$5,0)/mid(VLOOKUP($A162,'Dados ClubeFII'!$A:$AU,2,0),3,SEARCH(",",VLOOKUP($A162,'Dados ClubeFII'!$A:$AU,2,0)))*B162</f>
        <v>0.1170934132</v>
      </c>
      <c r="R162" s="44">
        <f>VLOOKUP($A162,'Dados ClubeFII'!$A:$AU,column(R162)-$A$5,0)/mid(VLOOKUP($A162,'Dados ClubeFII'!$A:$AU,2,0),3,SEARCH(",",VLOOKUP($A162,'Dados ClubeFII'!$A:$AU,2,0)))*B162</f>
        <v>0.06264780439</v>
      </c>
      <c r="S162" s="43">
        <f>VLOOKUP($A162,'Dados ClubeFII'!$A:$AU,column(S162)-$A$5,0)</f>
        <v>43276</v>
      </c>
      <c r="T162" s="41">
        <f>MID(VLOOKUP($A162,'Dados ClubeFII'!$A:$AU,column(T162)-$A$5,0),3,100)/1</f>
        <v>75</v>
      </c>
      <c r="U162" s="45">
        <f>VLOOKUP($A162,'Dados ClubeFII'!$A:$AU,column(U162)-$A$5,0)/mid(VLOOKUP($A162,'Dados ClubeFII'!$A:$AU,2,0),4,SEARCH(",",VLOOKUP($A162,'Dados ClubeFII'!$A:$AU,2,0))-1)*B162</f>
        <v>-148.9267</v>
      </c>
      <c r="V162" s="42" t="str">
        <f>VLOOKUP($A162,'Dados ClubeFII'!$A:$AU,column(V162)-$A$5,0)</f>
        <v>N/D</v>
      </c>
      <c r="W162" s="43" t="str">
        <f>VLOOKUP($A162,'Dados ClubeFII'!$A:$AU,column(W162)-$A$5,0)</f>
        <v>N/D</v>
      </c>
      <c r="X162" s="45">
        <f>VLOOKUP($A162,'Dados ClubeFII'!$A:$AU,column(X162)-$A$5,0)</f>
        <v>0</v>
      </c>
      <c r="Y162" s="41">
        <f>MID(VLOOKUP($A162,'Dados ClubeFII'!$A:$AU,column(Y162)-$A$5,0),3,100)/1</f>
        <v>84342.16</v>
      </c>
      <c r="Z162" s="46">
        <f>VLOOKUP($A162,'Dados ClubeFII'!$A:$AU,column(Z162)-$A$5,0)</f>
        <v>203</v>
      </c>
      <c r="AA162" s="47">
        <f t="shared" si="2"/>
        <v>992565</v>
      </c>
      <c r="AB162" s="48">
        <f t="shared" si="3"/>
        <v>72.46975411</v>
      </c>
      <c r="AC162" s="48"/>
      <c r="AD162" s="48"/>
      <c r="AE162" s="48"/>
    </row>
    <row r="163">
      <c r="A163" s="37" t="s">
        <v>186</v>
      </c>
      <c r="B163" s="38">
        <f>IFERROR(__xludf.DUMMYFUNCTION("GOOGLEFINANCE(A163)"),100.57)</f>
        <v>100.57</v>
      </c>
      <c r="C163" s="38">
        <f>IFERROR(__xludf.DUMMYFUNCTION("GOOGLEFINANCE($A163,""high52"")"),110.48)</f>
        <v>110.48</v>
      </c>
      <c r="D163" s="39">
        <f t="shared" si="4"/>
        <v>-0.08969949312</v>
      </c>
      <c r="E163" s="40" t="str">
        <f>VLOOKUP($A163,'Dados ClubeFII'!$A:$AU,column(E163)-$A$5,0)</f>
        <v>Inter Títulos Imobiliários</v>
      </c>
      <c r="F163" s="40" t="str">
        <f>VLOOKUP($A163,'Dados ClubeFII'!$A:$AU,column(F163)-$A$5,0)</f>
        <v>INTER</v>
      </c>
      <c r="G163" s="40" t="str">
        <f>VLOOKUP($A163,'Dados ClubeFII'!$A:$AU,column(G163)-$A$5,0)</f>
        <v>Recebíveis Imobiliários</v>
      </c>
      <c r="H163" s="41">
        <f>MID(VLOOKUP($A163,'Dados ClubeFII'!$A:$AU,column(H163)-$A$5,0),3,100)/mid(VLOOKUP($A163,'Dados ClubeFII'!$A:$AU,2,0),4,SEARCH(",",VLOOKUP($A163,'Dados ClubeFII'!$A:$AU,2,0))-1)*B163</f>
        <v>3442357914</v>
      </c>
      <c r="I163" s="41">
        <f>MID(VLOOKUP($A163,'Dados ClubeFII'!$A:$AU,column(I163)-$A$5,0),3,100)/1</f>
        <v>49690253.13</v>
      </c>
      <c r="J163" s="42">
        <f>VLOOKUP($A163,'Dados ClubeFII'!$A:$AU,column(J163)-$A$5,0)/mid(VLOOKUP($A163,'Dados ClubeFII'!$A:$AU,2,0),3,SEARCH(",",VLOOKUP($A163,'Dados ClubeFII'!$A:$AU,2,0)))*B163</f>
        <v>1.142965796</v>
      </c>
      <c r="K163" s="41">
        <f>if(VLOOKUP($A163,'Dados ClubeFII'!$A:$AU,column(K163)-$A$5,0)="N/D",0,MID(VLOOKUP($A163,'Dados ClubeFII'!$A:$AU,column(K163)-$A$5,0),3,100)/1)/mid(VLOOKUP($A163,'Dados ClubeFII'!$A:$AU,2,0),3,SEARCH(",",VLOOKUP($A163,'Dados ClubeFII'!$A:$AU,2,0)))*B163</f>
        <v>0</v>
      </c>
      <c r="L163" s="41">
        <f>if(VLOOKUP($A163,'Dados ClubeFII'!$A:$AU,column(L163)-$A$5,0)="N/D",0,MID(VLOOKUP($A163,'Dados ClubeFII'!$A:$AU,column(L163)-$A$5,0),3,100)/1)</f>
        <v>0</v>
      </c>
      <c r="M163" s="41">
        <f>MID(VLOOKUP($A163,'Dados ClubeFII'!$A:$AU,column(M163)-$A$5,0),3,100)/1</f>
        <v>0.8</v>
      </c>
      <c r="N163" s="41">
        <f>MID(VLOOKUP($A163,'Dados ClubeFII'!$A:$AU,column(N163)-$A$5,0),3,100)/1</f>
        <v>0</v>
      </c>
      <c r="O163" s="41">
        <f>LEFT(VLOOKUP($A163,'Dados ClubeFII'!$A:$AU,column(O163)-$A$5,0),len(VLOOKUP($A163,'Dados ClubeFII'!$A:$AU,column(O163)-$A$5,0))-2)/1</f>
        <v>0</v>
      </c>
      <c r="P163" s="43">
        <f>VLOOKUP($A163,'Dados ClubeFII'!$A:$AU,column(P163)-$A$5,0)</f>
        <v>44971</v>
      </c>
      <c r="Q163" s="44">
        <f>VLOOKUP($A163,'Dados ClubeFII'!$A:$AU,column(Q163)-$A$5,0)/mid(VLOOKUP($A163,'Dados ClubeFII'!$A:$AU,2,0),3,SEARCH(",",VLOOKUP($A163,'Dados ClubeFII'!$A:$AU,2,0)))*B163</f>
        <v>0.10649364</v>
      </c>
      <c r="R163" s="44">
        <f>VLOOKUP($A163,'Dados ClubeFII'!$A:$AU,column(R163)-$A$5,0)/mid(VLOOKUP($A163,'Dados ClubeFII'!$A:$AU,2,0),3,SEARCH(",",VLOOKUP($A163,'Dados ClubeFII'!$A:$AU,2,0)))*B163</f>
        <v>0.1038560267</v>
      </c>
      <c r="S163" s="43">
        <f>VLOOKUP($A163,'Dados ClubeFII'!$A:$AU,column(S163)-$A$5,0)</f>
        <v>43825</v>
      </c>
      <c r="T163" s="41">
        <f>MID(VLOOKUP($A163,'Dados ClubeFII'!$A:$AU,column(T163)-$A$5,0),3,100)/1</f>
        <v>100</v>
      </c>
      <c r="U163" s="45">
        <f>VLOOKUP($A163,'Dados ClubeFII'!$A:$AU,column(U163)-$A$5,0)/mid(VLOOKUP($A163,'Dados ClubeFII'!$A:$AU,2,0),4,SEARCH(",",VLOOKUP($A163,'Dados ClubeFII'!$A:$AU,2,0))-1)*B163</f>
        <v>-4.016139735</v>
      </c>
      <c r="V163" s="42" t="str">
        <f>VLOOKUP($A163,'Dados ClubeFII'!$A:$AU,column(V163)-$A$5,0)</f>
        <v>N/D</v>
      </c>
      <c r="W163" s="43" t="str">
        <f>VLOOKUP($A163,'Dados ClubeFII'!$A:$AU,column(W163)-$A$5,0)</f>
        <v>N/D</v>
      </c>
      <c r="X163" s="45">
        <f>VLOOKUP($A163,'Dados ClubeFII'!$A:$AU,column(X163)-$A$5,0)</f>
        <v>0</v>
      </c>
      <c r="Y163" s="41">
        <f>MID(VLOOKUP($A163,'Dados ClubeFII'!$A:$AU,column(Y163)-$A$5,0),3,100)/1</f>
        <v>725.98</v>
      </c>
      <c r="Z163" s="46">
        <f>VLOOKUP($A163,'Dados ClubeFII'!$A:$AU,column(Z163)-$A$5,0)</f>
        <v>528</v>
      </c>
      <c r="AA163" s="47">
        <f t="shared" si="2"/>
        <v>34228476</v>
      </c>
      <c r="AB163" s="48">
        <f t="shared" si="3"/>
        <v>1.451722628</v>
      </c>
      <c r="AC163" s="48"/>
      <c r="AD163" s="48"/>
      <c r="AE163" s="48"/>
    </row>
    <row r="164">
      <c r="A164" s="49" t="s">
        <v>187</v>
      </c>
      <c r="B164" s="38">
        <f>IFERROR(__xludf.DUMMYFUNCTION("GOOGLEFINANCE(A164)"),392.5)</f>
        <v>392.5</v>
      </c>
      <c r="C164" s="38">
        <f>IFERROR(__xludf.DUMMYFUNCTION("GOOGLEFINANCE($A164,""high52"")"),415.0)</f>
        <v>415</v>
      </c>
      <c r="D164" s="39">
        <f t="shared" si="4"/>
        <v>-0.05421686747</v>
      </c>
      <c r="E164" s="40" t="str">
        <f>VLOOKUP($A164,'Dados ClubeFII'!$A:$AU,column(E164)-$A$5,0)</f>
        <v>Caixa Seq Logística Renda</v>
      </c>
      <c r="F164" s="40" t="str">
        <f>VLOOKUP($A164,'Dados ClubeFII'!$A:$AU,column(F164)-$A$5,0)</f>
        <v>CAIXA ECONOMICA FEDERAL</v>
      </c>
      <c r="G164" s="40" t="str">
        <f>VLOOKUP($A164,'Dados ClubeFII'!$A:$AU,column(G164)-$A$5,0)</f>
        <v>Logisticos</v>
      </c>
      <c r="H164" s="41">
        <f>MID(VLOOKUP($A164,'Dados ClubeFII'!$A:$AU,COLUMN(H164)-$A$5,0),3,100)/MID(VLOOKUP($A164,'Dados ClubeFII'!$A:$AU,2,0),3,SEARCH(",",VLOOKUP($A164,'Dados ClubeFII'!$A:$AU,2,0)))*B164</f>
        <v>21190003.25</v>
      </c>
      <c r="I164" s="41">
        <f>MID(VLOOKUP($A164,'Dados ClubeFII'!$A:$AU,column(I164)-$A$5,0),3,100)/1</f>
        <v>25488675.98</v>
      </c>
      <c r="J164" s="42">
        <f>VLOOKUP($A164,'Dados ClubeFII'!$A:$AU,column(J164)-$A$5,0)/mid(VLOOKUP($A164,'Dados ClubeFII'!$A:$AU,2,0),3,SEARCH(",",VLOOKUP($A164,'Dados ClubeFII'!$A:$AU,2,0)))*B164</f>
        <v>0.8288228155</v>
      </c>
      <c r="K164" s="41">
        <f>if(VLOOKUP($A164,'Dados ClubeFII'!$A:$AU,column(K164)-$A$5,0)="N/D",0,MID(VLOOKUP($A164,'Dados ClubeFII'!$A:$AU,column(K164)-$A$5,0),3,100)/1)/mid(VLOOKUP($A164,'Dados ClubeFII'!$A:$AU,2,0),3,SEARCH(",",VLOOKUP($A164,'Dados ClubeFII'!$A:$AU,2,0)))*B164</f>
        <v>2751.948968</v>
      </c>
      <c r="L164" s="41">
        <f>if(VLOOKUP($A164,'Dados ClubeFII'!$A:$AU,column(L164)-$A$5,0)="N/D",0,MID(VLOOKUP($A164,'Dados ClubeFII'!$A:$AU,column(L164)-$A$5,0),3,100)/1)</f>
        <v>3310.22</v>
      </c>
      <c r="M164" s="41">
        <f>MID(VLOOKUP($A164,'Dados ClubeFII'!$A:$AU,column(M164)-$A$5,0),3,100)/1</f>
        <v>1.51</v>
      </c>
      <c r="N164" s="41">
        <f>MID(VLOOKUP($A164,'Dados ClubeFII'!$A:$AU,column(N164)-$A$5,0),3,100)/1</f>
        <v>10.53</v>
      </c>
      <c r="O164" s="41">
        <f>LEFT(VLOOKUP($A164,'Dados ClubeFII'!$A:$AU,column(O164)-$A$5,0),len(VLOOKUP($A164,'Dados ClubeFII'!$A:$AU,column(O164)-$A$5,0))-2)/1</f>
        <v>7700</v>
      </c>
      <c r="P164" s="43">
        <f>VLOOKUP($A164,'Dados ClubeFII'!$A:$AU,column(P164)-$A$5,0)</f>
        <v>44972</v>
      </c>
      <c r="Q164" s="44">
        <f>VLOOKUP($A164,'Dados ClubeFII'!$A:$AU,column(Q164)-$A$5,0)/mid(VLOOKUP($A164,'Dados ClubeFII'!$A:$AU,2,0),3,SEARCH(",",VLOOKUP($A164,'Dados ClubeFII'!$A:$AU,2,0)))*B164</f>
        <v>0.04248907767</v>
      </c>
      <c r="R164" s="44">
        <f>VLOOKUP($A164,'Dados ClubeFII'!$A:$AU,column(R164)-$A$5,0)/mid(VLOOKUP($A164,'Dados ClubeFII'!$A:$AU,2,0),3,SEARCH(",",VLOOKUP($A164,'Dados ClubeFII'!$A:$AU,2,0)))*B164</f>
        <v>0.0147663835</v>
      </c>
      <c r="S164" s="43">
        <f>VLOOKUP($A164,'Dados ClubeFII'!$A:$AU,column(S164)-$A$5,0)</f>
        <v>40925</v>
      </c>
      <c r="T164" s="41">
        <f>MID(VLOOKUP($A164,'Dados ClubeFII'!$A:$AU,column(T164)-$A$5,0),3,100)/1</f>
        <v>1000</v>
      </c>
      <c r="U164" s="45">
        <f>VLOOKUP($A164,'Dados ClubeFII'!$A:$AU,column(U164)-$A$5,0)/mid(VLOOKUP($A164,'Dados ClubeFII'!$A:$AU,2,0),4,SEARCH(",",VLOOKUP($A164,'Dados ClubeFII'!$A:$AU,2,0))-1)*B164</f>
        <v>-1.789145833</v>
      </c>
      <c r="V164" s="42">
        <f>VLOOKUP($A164,'Dados ClubeFII'!$A:$AU,column(V164)-$A$5,0)</f>
        <v>0</v>
      </c>
      <c r="W164" s="43">
        <f>VLOOKUP($A164,'Dados ClubeFII'!$A:$AU,column(W164)-$A$5,0)</f>
        <v>44347</v>
      </c>
      <c r="X164" s="45">
        <f>VLOOKUP($A164,'Dados ClubeFII'!$A:$AU,column(X164)-$A$5,0)</f>
        <v>0</v>
      </c>
      <c r="Y164" s="41">
        <f>MID(VLOOKUP($A164,'Dados ClubeFII'!$A:$AU,column(Y164)-$A$5,0),3,100)/1</f>
        <v>14543.45</v>
      </c>
      <c r="Z164" s="46">
        <f>VLOOKUP($A164,'Dados ClubeFII'!$A:$AU,column(Z164)-$A$5,0)</f>
        <v>609</v>
      </c>
      <c r="AA164" s="47">
        <f t="shared" si="2"/>
        <v>53987</v>
      </c>
      <c r="AB164" s="48">
        <f t="shared" si="3"/>
        <v>472.1261782</v>
      </c>
      <c r="AC164" s="48"/>
      <c r="AD164" s="48"/>
      <c r="AE164" s="48"/>
    </row>
    <row r="165">
      <c r="A165" s="37" t="s">
        <v>188</v>
      </c>
      <c r="B165" s="38">
        <f>IFERROR(__xludf.DUMMYFUNCTION("GOOGLEFINANCE(A165)"),63.8)</f>
        <v>63.8</v>
      </c>
      <c r="C165" s="38">
        <f>IFERROR(__xludf.DUMMYFUNCTION("GOOGLEFINANCE($A165,""high52"")"),81.46)</f>
        <v>81.46</v>
      </c>
      <c r="D165" s="39">
        <f t="shared" si="4"/>
        <v>-0.2167935183</v>
      </c>
      <c r="E165" s="40" t="str">
        <f>VLOOKUP($A165,'Dados ClubeFII'!$A:$AU,column(E165)-$A$5,0)</f>
        <v>Votorantim Shopping</v>
      </c>
      <c r="F165" s="40" t="str">
        <f>VLOOKUP($A165,'Dados ClubeFII'!$A:$AU,column(F165)-$A$5,0)</f>
        <v>VOTORANTIM ASSET</v>
      </c>
      <c r="G165" s="40" t="str">
        <f>VLOOKUP($A165,'Dados ClubeFII'!$A:$AU,column(G165)-$A$5,0)</f>
        <v>Shopping/Varejo</v>
      </c>
      <c r="H165" s="41">
        <f>MID(VLOOKUP($A165,'Dados ClubeFII'!$A:$AU,COLUMN(H165)-$A$5,0),3,100)/MID(VLOOKUP($A165,'Dados ClubeFII'!$A:$AU,2,0),3,SEARCH(",",VLOOKUP($A165,'Dados ClubeFII'!$A:$AU,2,0)))*B165</f>
        <v>134156565.6</v>
      </c>
      <c r="I165" s="41">
        <f>MID(VLOOKUP($A165,'Dados ClubeFII'!$A:$AU,column(I165)-$A$5,0),3,100)/1</f>
        <v>208675763.9</v>
      </c>
      <c r="J165" s="42">
        <f>VLOOKUP($A165,'Dados ClubeFII'!$A:$AU,column(J165)-$A$5,0)/mid(VLOOKUP($A165,'Dados ClubeFII'!$A:$AU,2,0),3,SEARCH(",",VLOOKUP($A165,'Dados ClubeFII'!$A:$AU,2,0)))*B165</f>
        <v>0.643226213</v>
      </c>
      <c r="K165" s="41">
        <f>if(VLOOKUP($A165,'Dados ClubeFII'!$A:$AU,column(K165)-$A$5,0)="N/D",0,MID(VLOOKUP($A165,'Dados ClubeFII'!$A:$AU,column(K165)-$A$5,0),3,100)/1)/mid(VLOOKUP($A165,'Dados ClubeFII'!$A:$AU,2,0),3,SEARCH(",",VLOOKUP($A165,'Dados ClubeFII'!$A:$AU,2,0)))*B165</f>
        <v>2926.116446</v>
      </c>
      <c r="L165" s="41">
        <f>if(VLOOKUP($A165,'Dados ClubeFII'!$A:$AU,column(L165)-$A$5,0)="N/D",0,MID(VLOOKUP($A165,'Dados ClubeFII'!$A:$AU,column(L165)-$A$5,0),3,100)/1)</f>
        <v>4551.47</v>
      </c>
      <c r="M165" s="41">
        <f>MID(VLOOKUP($A165,'Dados ClubeFII'!$A:$AU,column(M165)-$A$5,0),3,100)/1</f>
        <v>0.65</v>
      </c>
      <c r="N165" s="41">
        <f>MID(VLOOKUP($A165,'Dados ClubeFII'!$A:$AU,column(N165)-$A$5,0),3,100)/1</f>
        <v>29.76</v>
      </c>
      <c r="O165" s="41">
        <f>LEFT(VLOOKUP($A165,'Dados ClubeFII'!$A:$AU,column(O165)-$A$5,0),len(VLOOKUP($A165,'Dados ClubeFII'!$A:$AU,column(O165)-$A$5,0))-2)/1</f>
        <v>45848</v>
      </c>
      <c r="P165" s="43">
        <f>VLOOKUP($A165,'Dados ClubeFII'!$A:$AU,column(P165)-$A$5,0)</f>
        <v>44965</v>
      </c>
      <c r="Q165" s="44">
        <f>VLOOKUP($A165,'Dados ClubeFII'!$A:$AU,column(Q165)-$A$5,0)/mid(VLOOKUP($A165,'Dados ClubeFII'!$A:$AU,2,0),3,SEARCH(",",VLOOKUP($A165,'Dados ClubeFII'!$A:$AU,2,0)))*B165</f>
        <v>0.1304543163</v>
      </c>
      <c r="R165" s="44">
        <f>VLOOKUP($A165,'Dados ClubeFII'!$A:$AU,column(R165)-$A$5,0)/mid(VLOOKUP($A165,'Dados ClubeFII'!$A:$AU,2,0),3,SEARCH(",",VLOOKUP($A165,'Dados ClubeFII'!$A:$AU,2,0)))*B165</f>
        <v>0.1139716446</v>
      </c>
      <c r="S165" s="43">
        <f>VLOOKUP($A165,'Dados ClubeFII'!$A:$AU,column(S165)-$A$5,0)</f>
        <v>43437</v>
      </c>
      <c r="T165" s="41">
        <f>MID(VLOOKUP($A165,'Dados ClubeFII'!$A:$AU,column(T165)-$A$5,0),3,100)/1</f>
        <v>100</v>
      </c>
      <c r="U165" s="45">
        <f>VLOOKUP($A165,'Dados ClubeFII'!$A:$AU,column(U165)-$A$5,0)/mid(VLOOKUP($A165,'Dados ClubeFII'!$A:$AU,2,0),4,SEARCH(",",VLOOKUP($A165,'Dados ClubeFII'!$A:$AU,2,0))-1)*B165</f>
        <v>-1.265</v>
      </c>
      <c r="V165" s="42">
        <f>VLOOKUP($A165,'Dados ClubeFII'!$A:$AU,column(V165)-$A$5,0)</f>
        <v>0.116</v>
      </c>
      <c r="W165" s="43" t="str">
        <f>VLOOKUP($A165,'Dados ClubeFII'!$A:$AU,column(W165)-$A$5,0)</f>
        <v>N/D</v>
      </c>
      <c r="X165" s="45">
        <f>VLOOKUP($A165,'Dados ClubeFII'!$A:$AU,column(X165)-$A$5,0)</f>
        <v>0</v>
      </c>
      <c r="Y165" s="41">
        <f>MID(VLOOKUP($A165,'Dados ClubeFII'!$A:$AU,column(Y165)-$A$5,0),3,100)/1</f>
        <v>39458.79</v>
      </c>
      <c r="Z165" s="46">
        <f>VLOOKUP($A165,'Dados ClubeFII'!$A:$AU,column(Z165)-$A$5,0)</f>
        <v>2710</v>
      </c>
      <c r="AA165" s="47">
        <f t="shared" si="2"/>
        <v>2102767</v>
      </c>
      <c r="AB165" s="48">
        <f t="shared" si="3"/>
        <v>99.23865262</v>
      </c>
      <c r="AC165" s="48"/>
      <c r="AD165" s="48"/>
      <c r="AE165" s="48"/>
    </row>
    <row r="166">
      <c r="A166" s="37" t="s">
        <v>189</v>
      </c>
      <c r="B166" s="38">
        <f>IFERROR(__xludf.DUMMYFUNCTION("GOOGLEFINANCE(A166)"),9.26)</f>
        <v>9.26</v>
      </c>
      <c r="C166" s="38">
        <f>IFERROR(__xludf.DUMMYFUNCTION("GOOGLEFINANCE($A166,""high52"")"),11.57)</f>
        <v>11.57</v>
      </c>
      <c r="D166" s="39">
        <f t="shared" si="4"/>
        <v>-0.1996542783</v>
      </c>
      <c r="E166" s="40" t="str">
        <f>VLOOKUP($A166,'Dados ClubeFII'!$A:$AU,column(E166)-$A$5,0)</f>
        <v>Rio Bravo Crédito Imobiliário II</v>
      </c>
      <c r="F166" s="40" t="str">
        <f>VLOOKUP($A166,'Dados ClubeFII'!$A:$AU,column(F166)-$A$5,0)</f>
        <v>RIO BRAVO</v>
      </c>
      <c r="G166" s="40" t="str">
        <f>VLOOKUP($A166,'Dados ClubeFII'!$A:$AU,column(G166)-$A$5,0)</f>
        <v>Recebíveis Imobiliários</v>
      </c>
      <c r="H166" s="41">
        <f>MID(VLOOKUP($A166,'Dados ClubeFII'!$A:$AU,column(H166)-$A$5,0),3,100)/mid(VLOOKUP($A166,'Dados ClubeFII'!$A:$AU,2,0),4,SEARCH(",",VLOOKUP($A166,'Dados ClubeFII'!$A:$AU,2,0))-1)*B166</f>
        <v>69983405.18</v>
      </c>
      <c r="I166" s="41">
        <f>MID(VLOOKUP($A166,'Dados ClubeFII'!$A:$AU,column(I166)-$A$5,0),3,100)/1</f>
        <v>8828054.19</v>
      </c>
      <c r="J166" s="42">
        <f>VLOOKUP($A166,'Dados ClubeFII'!$A:$AU,column(J166)-$A$5,0)/mid(VLOOKUP($A166,'Dados ClubeFII'!$A:$AU,2,0),3,SEARCH(",",VLOOKUP($A166,'Dados ClubeFII'!$A:$AU,2,0)))*B166</f>
        <v>0.5463975155</v>
      </c>
      <c r="K166" s="41">
        <f>if(VLOOKUP($A166,'Dados ClubeFII'!$A:$AU,column(K166)-$A$5,0)="N/D",0,MID(VLOOKUP($A166,'Dados ClubeFII'!$A:$AU,column(K166)-$A$5,0),3,100)/1)/mid(VLOOKUP($A166,'Dados ClubeFII'!$A:$AU,2,0),3,SEARCH(",",VLOOKUP($A166,'Dados ClubeFII'!$A:$AU,2,0)))*B166</f>
        <v>0</v>
      </c>
      <c r="L166" s="41">
        <f>if(VLOOKUP($A166,'Dados ClubeFII'!$A:$AU,column(L166)-$A$5,0)="N/D",0,MID(VLOOKUP($A166,'Dados ClubeFII'!$A:$AU,column(L166)-$A$5,0),3,100)/1)</f>
        <v>0</v>
      </c>
      <c r="M166" s="41">
        <f>MID(VLOOKUP($A166,'Dados ClubeFII'!$A:$AU,column(M166)-$A$5,0),3,100)/1</f>
        <v>0.01</v>
      </c>
      <c r="N166" s="41">
        <f>MID(VLOOKUP($A166,'Dados ClubeFII'!$A:$AU,column(N166)-$A$5,0),3,100)/1</f>
        <v>0</v>
      </c>
      <c r="O166" s="41">
        <f>LEFT(VLOOKUP($A166,'Dados ClubeFII'!$A:$AU,column(O166)-$A$5,0),len(VLOOKUP($A166,'Dados ClubeFII'!$A:$AU,column(O166)-$A$5,0))-2)/1</f>
        <v>0</v>
      </c>
      <c r="P166" s="43">
        <f>VLOOKUP($A166,'Dados ClubeFII'!$A:$AU,column(P166)-$A$5,0)</f>
        <v>44965</v>
      </c>
      <c r="Q166" s="44">
        <f>VLOOKUP($A166,'Dados ClubeFII'!$A:$AU,column(Q166)-$A$5,0)/mid(VLOOKUP($A166,'Dados ClubeFII'!$A:$AU,2,0),3,SEARCH(",",VLOOKUP($A166,'Dados ClubeFII'!$A:$AU,2,0)))*B166</f>
        <v>0.01198240166</v>
      </c>
      <c r="R166" s="44">
        <f>VLOOKUP($A166,'Dados ClubeFII'!$A:$AU,column(R166)-$A$5,0)/mid(VLOOKUP($A166,'Dados ClubeFII'!$A:$AU,2,0),3,SEARCH(",",VLOOKUP($A166,'Dados ClubeFII'!$A:$AU,2,0)))*B166</f>
        <v>0.03345486542</v>
      </c>
      <c r="S166" s="43">
        <f>VLOOKUP($A166,'Dados ClubeFII'!$A:$AU,column(S166)-$A$5,0)</f>
        <v>41269</v>
      </c>
      <c r="T166" s="41">
        <f>MID(VLOOKUP($A166,'Dados ClubeFII'!$A:$AU,column(T166)-$A$5,0),3,100)/1</f>
        <v>100</v>
      </c>
      <c r="U166" s="45">
        <f>VLOOKUP($A166,'Dados ClubeFII'!$A:$AU,column(U166)-$A$5,0)/mid(VLOOKUP($A166,'Dados ClubeFII'!$A:$AU,2,0),4,SEARCH(",",VLOOKUP($A166,'Dados ClubeFII'!$A:$AU,2,0))-1)*B166</f>
        <v>-1.182754545</v>
      </c>
      <c r="V166" s="42" t="str">
        <f>VLOOKUP($A166,'Dados ClubeFII'!$A:$AU,column(V166)-$A$5,0)</f>
        <v>N/D</v>
      </c>
      <c r="W166" s="43" t="str">
        <f>VLOOKUP($A166,'Dados ClubeFII'!$A:$AU,column(W166)-$A$5,0)</f>
        <v>N/D</v>
      </c>
      <c r="X166" s="45">
        <f>VLOOKUP($A166,'Dados ClubeFII'!$A:$AU,column(X166)-$A$5,0)</f>
        <v>0</v>
      </c>
      <c r="Y166" s="41">
        <f>MID(VLOOKUP($A166,'Dados ClubeFII'!$A:$AU,column(Y166)-$A$5,0),3,100)/1</f>
        <v>3125.78</v>
      </c>
      <c r="Z166" s="46">
        <f>VLOOKUP($A166,'Dados ClubeFII'!$A:$AU,column(Z166)-$A$5,0)</f>
        <v>2804</v>
      </c>
      <c r="AA166" s="47">
        <f t="shared" si="2"/>
        <v>7557603</v>
      </c>
      <c r="AB166" s="48">
        <f t="shared" si="3"/>
        <v>1.168102398</v>
      </c>
      <c r="AC166" s="48"/>
      <c r="AD166" s="48"/>
      <c r="AE166" s="48"/>
    </row>
    <row r="167">
      <c r="A167" s="49" t="s">
        <v>190</v>
      </c>
      <c r="B167" s="38">
        <f>IFERROR(__xludf.DUMMYFUNCTION("GOOGLEFINANCE(A167)"),74.0)</f>
        <v>74</v>
      </c>
      <c r="C167" s="38">
        <f>IFERROR(__xludf.DUMMYFUNCTION("GOOGLEFINANCE($A167,""high52"")"),93.58)</f>
        <v>93.58</v>
      </c>
      <c r="D167" s="39">
        <f t="shared" si="4"/>
        <v>-0.209232742</v>
      </c>
      <c r="E167" s="40" t="str">
        <f>VLOOKUP($A167,'Dados ClubeFII'!$A:$AU,column(E167)-$A$5,0)</f>
        <v>Hedge Atrium Shopping Santo André</v>
      </c>
      <c r="F167" s="40" t="str">
        <f>VLOOKUP($A167,'Dados ClubeFII'!$A:$AU,column(F167)-$A$5,0)</f>
        <v>HEDGE INVESTMENTS</v>
      </c>
      <c r="G167" s="40" t="str">
        <f>VLOOKUP($A167,'Dados ClubeFII'!$A:$AU,column(G167)-$A$5,0)</f>
        <v>Shopping/Varejo</v>
      </c>
      <c r="H167" s="41">
        <f>MID(VLOOKUP($A167,'Dados ClubeFII'!$A:$AU,COLUMN(H167)-$A$5,0),3,100)/MID(VLOOKUP($A167,'Dados ClubeFII'!$A:$AU,2,0),3,SEARCH(",",VLOOKUP($A167,'Dados ClubeFII'!$A:$AU,2,0)))*B167</f>
        <v>129584434</v>
      </c>
      <c r="I167" s="41">
        <f>MID(VLOOKUP($A167,'Dados ClubeFII'!$A:$AU,column(I167)-$A$5,0),3,100)/1</f>
        <v>142803950.3</v>
      </c>
      <c r="J167" s="42">
        <f>VLOOKUP($A167,'Dados ClubeFII'!$A:$AU,column(J167)-$A$5,0)/mid(VLOOKUP($A167,'Dados ClubeFII'!$A:$AU,2,0),3,SEARCH(",",VLOOKUP($A167,'Dados ClubeFII'!$A:$AU,2,0)))*B167</f>
        <v>0.9095188285</v>
      </c>
      <c r="K167" s="41">
        <f>if(VLOOKUP($A167,'Dados ClubeFII'!$A:$AU,column(K167)-$A$5,0)="N/D",0,MID(VLOOKUP($A167,'Dados ClubeFII'!$A:$AU,column(K167)-$A$5,0),3,100)/1)/mid(VLOOKUP($A167,'Dados ClubeFII'!$A:$AU,2,0),3,SEARCH(",",VLOOKUP($A167,'Dados ClubeFII'!$A:$AU,2,0)))*B167</f>
        <v>3903.141998</v>
      </c>
      <c r="L167" s="41">
        <f>if(VLOOKUP($A167,'Dados ClubeFII'!$A:$AU,column(L167)-$A$5,0)="N/D",0,MID(VLOOKUP($A167,'Dados ClubeFII'!$A:$AU,column(L167)-$A$5,0),3,100)/1)</f>
        <v>4301.32</v>
      </c>
      <c r="M167" s="41">
        <f>MID(VLOOKUP($A167,'Dados ClubeFII'!$A:$AU,column(M167)-$A$5,0),3,100)/1</f>
        <v>0.05</v>
      </c>
      <c r="N167" s="41">
        <f>MID(VLOOKUP($A167,'Dados ClubeFII'!$A:$AU,column(N167)-$A$5,0),3,100)/1</f>
        <v>2.64</v>
      </c>
      <c r="O167" s="41">
        <f>LEFT(VLOOKUP($A167,'Dados ClubeFII'!$A:$AU,column(O167)-$A$5,0),len(VLOOKUP($A167,'Dados ClubeFII'!$A:$AU,column(O167)-$A$5,0))-2)/1</f>
        <v>33200</v>
      </c>
      <c r="P167" s="43">
        <f>VLOOKUP($A167,'Dados ClubeFII'!$A:$AU,column(P167)-$A$5,0)</f>
        <v>44971</v>
      </c>
      <c r="Q167" s="44">
        <f>VLOOKUP($A167,'Dados ClubeFII'!$A:$AU,column(Q167)-$A$5,0)/mid(VLOOKUP($A167,'Dados ClubeFII'!$A:$AU,2,0),3,SEARCH(",",VLOOKUP($A167,'Dados ClubeFII'!$A:$AU,2,0)))*B167</f>
        <v>0.007643828452</v>
      </c>
      <c r="R167" s="44">
        <f>VLOOKUP($A167,'Dados ClubeFII'!$A:$AU,column(R167)-$A$5,0)/mid(VLOOKUP($A167,'Dados ClubeFII'!$A:$AU,2,0),3,SEARCH(",",VLOOKUP($A167,'Dados ClubeFII'!$A:$AU,2,0)))*B167</f>
        <v>0.003773535565</v>
      </c>
      <c r="S167" s="43">
        <f>VLOOKUP($A167,'Dados ClubeFII'!$A:$AU,column(S167)-$A$5,0)</f>
        <v>40525</v>
      </c>
      <c r="T167" s="41">
        <f>MID(VLOOKUP($A167,'Dados ClubeFII'!$A:$AU,column(T167)-$A$5,0),3,100)/1</f>
        <v>1000</v>
      </c>
      <c r="U167" s="45">
        <f>VLOOKUP($A167,'Dados ClubeFII'!$A:$AU,column(U167)-$A$5,0)/mid(VLOOKUP($A167,'Dados ClubeFII'!$A:$AU,2,0),4,SEARCH(",",VLOOKUP($A167,'Dados ClubeFII'!$A:$AU,2,0))-1)*B167</f>
        <v>-0.3460185185</v>
      </c>
      <c r="V167" s="42">
        <f>VLOOKUP($A167,'Dados ClubeFII'!$A:$AU,column(V167)-$A$5,0)</f>
        <v>0.213</v>
      </c>
      <c r="W167" s="43">
        <f>VLOOKUP($A167,'Dados ClubeFII'!$A:$AU,column(W167)-$A$5,0)</f>
        <v>42947</v>
      </c>
      <c r="X167" s="45">
        <f>VLOOKUP($A167,'Dados ClubeFII'!$A:$AU,column(X167)-$A$5,0)</f>
        <v>0</v>
      </c>
      <c r="Y167" s="41">
        <f>MID(VLOOKUP($A167,'Dados ClubeFII'!$A:$AU,column(Y167)-$A$5,0),3,100)/1</f>
        <v>1126.1</v>
      </c>
      <c r="Z167" s="46">
        <f>VLOOKUP($A167,'Dados ClubeFII'!$A:$AU,column(Z167)-$A$5,0)</f>
        <v>281</v>
      </c>
      <c r="AA167" s="47">
        <f t="shared" si="2"/>
        <v>1751141</v>
      </c>
      <c r="AB167" s="48">
        <f t="shared" si="3"/>
        <v>81.54908732</v>
      </c>
      <c r="AC167" s="17"/>
      <c r="AD167" s="17"/>
      <c r="AE167" s="17"/>
    </row>
    <row r="168">
      <c r="A168" s="37" t="s">
        <v>191</v>
      </c>
      <c r="B168" s="38">
        <f>IFERROR(__xludf.DUMMYFUNCTION("GOOGLEFINANCE(A168)"),1030.22)</f>
        <v>1030.22</v>
      </c>
      <c r="C168" s="38">
        <f>IFERROR(__xludf.DUMMYFUNCTION("GOOGLEFINANCE($A168,""high52"")"),956.1)</f>
        <v>956.1</v>
      </c>
      <c r="D168" s="39">
        <f t="shared" si="4"/>
        <v>0.07752327162</v>
      </c>
      <c r="E168" s="40" t="str">
        <f>VLOOKUP($A168,'Dados ClubeFII'!$A:$AU,column(E168)-$A$5,0)</f>
        <v>Brio Real Estate II</v>
      </c>
      <c r="F168" s="40" t="str">
        <f>VLOOKUP($A168,'Dados ClubeFII'!$A:$AU,column(F168)-$A$5,0)</f>
        <v>BRIO</v>
      </c>
      <c r="G168" s="40" t="str">
        <f>VLOOKUP($A168,'Dados ClubeFII'!$A:$AU,column(G168)-$A$5,0)</f>
        <v>Incorporação Residencial</v>
      </c>
      <c r="H168" s="41">
        <f>MID(VLOOKUP($A168,'Dados ClubeFII'!$A:$AU,column(H168)-$A$5,0),3,100)/mid(VLOOKUP($A168,'Dados ClubeFII'!$A:$AU,2,0),4,SEARCH(",",VLOOKUP($A168,'Dados ClubeFII'!$A:$AU,2,0))-1)*B168</f>
        <v>4358870706</v>
      </c>
      <c r="I168" s="41">
        <f>MID(VLOOKUP($A168,'Dados ClubeFII'!$A:$AU,column(I168)-$A$5,0),3,100)/1</f>
        <v>136479584.9</v>
      </c>
      <c r="J168" s="42">
        <f>VLOOKUP($A168,'Dados ClubeFII'!$A:$AU,column(J168)-$A$5,0)/mid(VLOOKUP($A168,'Dados ClubeFII'!$A:$AU,2,0),3,SEARCH(",",VLOOKUP($A168,'Dados ClubeFII'!$A:$AU,2,0)))*B168</f>
        <v>0.94</v>
      </c>
      <c r="K168" s="41">
        <f>if(VLOOKUP($A168,'Dados ClubeFII'!$A:$AU,column(K168)-$A$5,0)="N/D",0,MID(VLOOKUP($A168,'Dados ClubeFII'!$A:$AU,column(K168)-$A$5,0),3,100)/1)/mid(VLOOKUP($A168,'Dados ClubeFII'!$A:$AU,2,0),3,SEARCH(",",VLOOKUP($A168,'Dados ClubeFII'!$A:$AU,2,0)))*B168</f>
        <v>0</v>
      </c>
      <c r="L168" s="41">
        <f>if(VLOOKUP($A168,'Dados ClubeFII'!$A:$AU,column(L168)-$A$5,0)="N/D",0,MID(VLOOKUP($A168,'Dados ClubeFII'!$A:$AU,column(L168)-$A$5,0),3,100)/1)</f>
        <v>0</v>
      </c>
      <c r="M168" s="41">
        <f>MID(VLOOKUP($A168,'Dados ClubeFII'!$A:$AU,column(M168)-$A$5,0),3,100)/1</f>
        <v>10.89</v>
      </c>
      <c r="N168" s="41">
        <f>MID(VLOOKUP($A168,'Dados ClubeFII'!$A:$AU,column(N168)-$A$5,0),3,100)/1</f>
        <v>0</v>
      </c>
      <c r="O168" s="41">
        <f>LEFT(VLOOKUP($A168,'Dados ClubeFII'!$A:$AU,column(O168)-$A$5,0),len(VLOOKUP($A168,'Dados ClubeFII'!$A:$AU,column(O168)-$A$5,0))-2)/1</f>
        <v>0</v>
      </c>
      <c r="P168" s="43">
        <f>VLOOKUP($A168,'Dados ClubeFII'!$A:$AU,column(P168)-$A$5,0)</f>
        <v>44971</v>
      </c>
      <c r="Q168" s="44">
        <f>VLOOKUP($A168,'Dados ClubeFII'!$A:$AU,column(Q168)-$A$5,0)/mid(VLOOKUP($A168,'Dados ClubeFII'!$A:$AU,2,0),3,SEARCH(",",VLOOKUP($A168,'Dados ClubeFII'!$A:$AU,2,0)))*B168</f>
        <v>0.1345</v>
      </c>
      <c r="R168" s="44">
        <f>VLOOKUP($A168,'Dados ClubeFII'!$A:$AU,column(R168)-$A$5,0)/mid(VLOOKUP($A168,'Dados ClubeFII'!$A:$AU,2,0),3,SEARCH(",",VLOOKUP($A168,'Dados ClubeFII'!$A:$AU,2,0)))*B168</f>
        <v>0.1324</v>
      </c>
      <c r="S168" s="43">
        <f>VLOOKUP($A168,'Dados ClubeFII'!$A:$AU,column(S168)-$A$5,0)</f>
        <v>44027</v>
      </c>
      <c r="T168" s="41">
        <f>MID(VLOOKUP($A168,'Dados ClubeFII'!$A:$AU,column(T168)-$A$5,0),3,100)/1</f>
        <v>1000</v>
      </c>
      <c r="U168" s="45">
        <f>VLOOKUP($A168,'Dados ClubeFII'!$A:$AU,column(U168)-$A$5,0)/mid(VLOOKUP($A168,'Dados ClubeFII'!$A:$AU,2,0),4,SEARCH(",",VLOOKUP($A168,'Dados ClubeFII'!$A:$AU,2,0))-1)*B168</f>
        <v>-0.006818133686</v>
      </c>
      <c r="V168" s="42" t="str">
        <f>VLOOKUP($A168,'Dados ClubeFII'!$A:$AU,column(V168)-$A$5,0)</f>
        <v>N/D</v>
      </c>
      <c r="W168" s="43" t="str">
        <f>VLOOKUP($A168,'Dados ClubeFII'!$A:$AU,column(W168)-$A$5,0)</f>
        <v>N/D</v>
      </c>
      <c r="X168" s="45">
        <f>VLOOKUP($A168,'Dados ClubeFII'!$A:$AU,column(X168)-$A$5,0)</f>
        <v>0</v>
      </c>
      <c r="Y168" s="41">
        <f>MID(VLOOKUP($A168,'Dados ClubeFII'!$A:$AU,column(Y168)-$A$5,0),3,100)/1</f>
        <v>0</v>
      </c>
      <c r="Z168" s="46">
        <f>VLOOKUP($A168,'Dados ClubeFII'!$A:$AU,column(Z168)-$A$5,0)</f>
        <v>209</v>
      </c>
      <c r="AA168" s="47">
        <f t="shared" si="2"/>
        <v>4231009</v>
      </c>
      <c r="AB168" s="48">
        <f t="shared" si="3"/>
        <v>32.25698288</v>
      </c>
      <c r="AC168" s="48"/>
      <c r="AD168" s="48"/>
      <c r="AE168" s="48"/>
    </row>
    <row r="169">
      <c r="A169" s="49" t="s">
        <v>192</v>
      </c>
      <c r="B169" s="38">
        <f>IFERROR(__xludf.DUMMYFUNCTION("GOOGLEFINANCE(A169)"),727.0)</f>
        <v>727</v>
      </c>
      <c r="C169" s="38">
        <f>IFERROR(__xludf.DUMMYFUNCTION("GOOGLEFINANCE($A169,""high52"")"),1269.67)</f>
        <v>1269.67</v>
      </c>
      <c r="D169" s="39">
        <f t="shared" si="4"/>
        <v>-0.427410272</v>
      </c>
      <c r="E169" s="40" t="str">
        <f>VLOOKUP($A169,'Dados ClubeFII'!$A:$AU,column(E169)-$A$5,0)</f>
        <v>Edifício Almirante Barroso</v>
      </c>
      <c r="F169" s="40" t="str">
        <f>VLOOKUP($A169,'Dados ClubeFII'!$A:$AU,column(F169)-$A$5,0)</f>
        <v>BTG PACTUAL</v>
      </c>
      <c r="G169" s="40" t="str">
        <f>VLOOKUP($A169,'Dados ClubeFII'!$A:$AU,column(G169)-$A$5,0)</f>
        <v>Lajes Comerciais</v>
      </c>
      <c r="H169" s="41">
        <f>MID(VLOOKUP($A169,'Dados ClubeFII'!$A:$AU,COLUMN(H169)-$A$5,0),3,100)/MID(VLOOKUP($A169,'Dados ClubeFII'!$A:$AU,2,0),3,SEARCH(",",VLOOKUP($A169,'Dados ClubeFII'!$A:$AU,2,0)))*B169</f>
        <v>74953253.35</v>
      </c>
      <c r="I169" s="41">
        <f>MID(VLOOKUP($A169,'Dados ClubeFII'!$A:$AU,column(I169)-$A$5,0),3,100)/1</f>
        <v>313538497.9</v>
      </c>
      <c r="J169" s="42">
        <f>VLOOKUP($A169,'Dados ClubeFII'!$A:$AU,column(J169)-$A$5,0)/mid(VLOOKUP($A169,'Dados ClubeFII'!$A:$AU,2,0),3,SEARCH(",",VLOOKUP($A169,'Dados ClubeFII'!$A:$AU,2,0)))*B169</f>
        <v>0.2403504422</v>
      </c>
      <c r="K169" s="41">
        <f>if(VLOOKUP($A169,'Dados ClubeFII'!$A:$AU,column(K169)-$A$5,0)="N/D",0,MID(VLOOKUP($A169,'Dados ClubeFII'!$A:$AU,column(K169)-$A$5,0),3,100)/1)/mid(VLOOKUP($A169,'Dados ClubeFII'!$A:$AU,2,0),3,SEARCH(",",VLOOKUP($A169,'Dados ClubeFII'!$A:$AU,2,0)))*B169</f>
        <v>1328.27669</v>
      </c>
      <c r="L169" s="41">
        <f>if(VLOOKUP($A169,'Dados ClubeFII'!$A:$AU,column(L169)-$A$5,0)="N/D",0,MID(VLOOKUP($A169,'Dados ClubeFII'!$A:$AU,column(L169)-$A$5,0),3,100)/1)</f>
        <v>5556.34</v>
      </c>
      <c r="M169" s="41">
        <f>MID(VLOOKUP($A169,'Dados ClubeFII'!$A:$AU,column(M169)-$A$5,0),3,100)/1</f>
        <v>0</v>
      </c>
      <c r="N169" s="41">
        <f>MID(VLOOKUP($A169,'Dados ClubeFII'!$A:$AU,column(N169)-$A$5,0),3,100)/1</f>
        <v>0</v>
      </c>
      <c r="O169" s="41">
        <f>LEFT(VLOOKUP($A169,'Dados ClubeFII'!$A:$AU,column(O169)-$A$5,0),len(VLOOKUP($A169,'Dados ClubeFII'!$A:$AU,column(O169)-$A$5,0))-2)/1</f>
        <v>56429</v>
      </c>
      <c r="P169" s="43">
        <f>VLOOKUP($A169,'Dados ClubeFII'!$A:$AU,column(P169)-$A$5,0)</f>
        <v>44957</v>
      </c>
      <c r="Q169" s="44">
        <f>VLOOKUP($A169,'Dados ClubeFII'!$A:$AU,column(Q169)-$A$5,0)/mid(VLOOKUP($A169,'Dados ClubeFII'!$A:$AU,2,0),3,SEARCH(",",VLOOKUP($A169,'Dados ClubeFII'!$A:$AU,2,0)))*B169</f>
        <v>0</v>
      </c>
      <c r="R169" s="44">
        <f>VLOOKUP($A169,'Dados ClubeFII'!$A:$AU,column(R169)-$A$5,0)/mid(VLOOKUP($A169,'Dados ClubeFII'!$A:$AU,2,0),3,SEARCH(",",VLOOKUP($A169,'Dados ClubeFII'!$A:$AU,2,0)))*B169</f>
        <v>0</v>
      </c>
      <c r="S169" s="43">
        <f>VLOOKUP($A169,'Dados ClubeFII'!$A:$AU,column(S169)-$A$5,0)</f>
        <v>37712</v>
      </c>
      <c r="T169" s="41">
        <f>MID(VLOOKUP($A169,'Dados ClubeFII'!$A:$AU,column(T169)-$A$5,0),3,100)/1</f>
        <v>1000</v>
      </c>
      <c r="U169" s="45">
        <f>VLOOKUP($A169,'Dados ClubeFII'!$A:$AU,column(U169)-$A$5,0)/mid(VLOOKUP($A169,'Dados ClubeFII'!$A:$AU,2,0),4,SEARCH(",",VLOOKUP($A169,'Dados ClubeFII'!$A:$AU,2,0))-1)*B169</f>
        <v>0.04484194295</v>
      </c>
      <c r="V169" s="42">
        <f>VLOOKUP($A169,'Dados ClubeFII'!$A:$AU,column(V169)-$A$5,0)</f>
        <v>0.931</v>
      </c>
      <c r="W169" s="43">
        <f>VLOOKUP($A169,'Dados ClubeFII'!$A:$AU,column(W169)-$A$5,0)</f>
        <v>42643</v>
      </c>
      <c r="X169" s="45">
        <f>VLOOKUP($A169,'Dados ClubeFII'!$A:$AU,column(X169)-$A$5,0)</f>
        <v>0</v>
      </c>
      <c r="Y169" s="41">
        <f>MID(VLOOKUP($A169,'Dados ClubeFII'!$A:$AU,column(Y169)-$A$5,0),3,100)/1</f>
        <v>11070.4</v>
      </c>
      <c r="Z169" s="46">
        <f>VLOOKUP($A169,'Dados ClubeFII'!$A:$AU,column(Z169)-$A$5,0)</f>
        <v>2781</v>
      </c>
      <c r="AA169" s="47">
        <f t="shared" si="2"/>
        <v>103099</v>
      </c>
      <c r="AB169" s="48">
        <f t="shared" si="3"/>
        <v>3041.140049</v>
      </c>
      <c r="AC169" s="48"/>
      <c r="AD169" s="48"/>
      <c r="AE169" s="48"/>
    </row>
    <row r="170">
      <c r="A170" s="37" t="s">
        <v>193</v>
      </c>
      <c r="B170" s="38">
        <f>IFERROR(__xludf.DUMMYFUNCTION("GOOGLEFINANCE(A170)"),68.69)</f>
        <v>68.69</v>
      </c>
      <c r="C170" s="38">
        <f>IFERROR(__xludf.DUMMYFUNCTION("GOOGLEFINANCE($A170,""high52"")"),80.17)</f>
        <v>80.17</v>
      </c>
      <c r="D170" s="39">
        <f t="shared" si="4"/>
        <v>-0.1431957091</v>
      </c>
      <c r="E170" s="40" t="str">
        <f>VLOOKUP($A170,'Dados ClubeFII'!$A:$AU,column(E170)-$A$5,0)</f>
        <v>Pedra Negra Renda Imobiliária</v>
      </c>
      <c r="F170" s="40" t="str">
        <f>VLOOKUP($A170,'Dados ClubeFII'!$A:$AU,column(F170)-$A$5,0)</f>
        <v>BR-CAPITAL</v>
      </c>
      <c r="G170" s="40" t="str">
        <f>VLOOKUP($A170,'Dados ClubeFII'!$A:$AU,column(G170)-$A$5,0)</f>
        <v>Lajes Comerciais</v>
      </c>
      <c r="H170" s="41">
        <f>MID(VLOOKUP($A170,'Dados ClubeFII'!$A:$AU,COLUMN(H170)-$A$5,0),3,100)/MID(VLOOKUP($A170,'Dados ClubeFII'!$A:$AU,2,0),3,SEARCH(",",VLOOKUP($A170,'Dados ClubeFII'!$A:$AU,2,0)))*B170</f>
        <v>70912324.98</v>
      </c>
      <c r="I170" s="41">
        <f>MID(VLOOKUP($A170,'Dados ClubeFII'!$A:$AU,column(I170)-$A$5,0),3,100)/1</f>
        <v>174442790.2</v>
      </c>
      <c r="J170" s="42">
        <f>VLOOKUP($A170,'Dados ClubeFII'!$A:$AU,column(J170)-$A$5,0)/mid(VLOOKUP($A170,'Dados ClubeFII'!$A:$AU,2,0),3,SEARCH(",",VLOOKUP($A170,'Dados ClubeFII'!$A:$AU,2,0)))*B170</f>
        <v>0.4056285936</v>
      </c>
      <c r="K170" s="41">
        <f>if(VLOOKUP($A170,'Dados ClubeFII'!$A:$AU,column(K170)-$A$5,0)="N/D",0,MID(VLOOKUP($A170,'Dados ClubeFII'!$A:$AU,column(K170)-$A$5,0),3,100)/1)/mid(VLOOKUP($A170,'Dados ClubeFII'!$A:$AU,2,0),3,SEARCH(",",VLOOKUP($A170,'Dados ClubeFII'!$A:$AU,2,0)))*B170</f>
        <v>4090.230645</v>
      </c>
      <c r="L170" s="41">
        <f>if(VLOOKUP($A170,'Dados ClubeFII'!$A:$AU,column(L170)-$A$5,0)="N/D",0,MID(VLOOKUP($A170,'Dados ClubeFII'!$A:$AU,column(L170)-$A$5,0),3,100)/1)</f>
        <v>10061.88</v>
      </c>
      <c r="M170" s="41">
        <f>MID(VLOOKUP($A170,'Dados ClubeFII'!$A:$AU,column(M170)-$A$5,0),3,100)/1</f>
        <v>0.65</v>
      </c>
      <c r="N170" s="41">
        <f>MID(VLOOKUP($A170,'Dados ClubeFII'!$A:$AU,column(N170)-$A$5,0),3,100)/1</f>
        <v>38.33</v>
      </c>
      <c r="O170" s="41">
        <f>LEFT(VLOOKUP($A170,'Dados ClubeFII'!$A:$AU,column(O170)-$A$5,0),len(VLOOKUP($A170,'Dados ClubeFII'!$A:$AU,column(O170)-$A$5,0))-2)/1</f>
        <v>17337</v>
      </c>
      <c r="P170" s="43">
        <f>VLOOKUP($A170,'Dados ClubeFII'!$A:$AU,column(P170)-$A$5,0)</f>
        <v>44971</v>
      </c>
      <c r="Q170" s="44">
        <f>VLOOKUP($A170,'Dados ClubeFII'!$A:$AU,column(Q170)-$A$5,0)/mid(VLOOKUP($A170,'Dados ClubeFII'!$A:$AU,2,0),3,SEARCH(",",VLOOKUP($A170,'Dados ClubeFII'!$A:$AU,2,0)))*B170</f>
        <v>0.1354586014</v>
      </c>
      <c r="R170" s="44">
        <f>VLOOKUP($A170,'Dados ClubeFII'!$A:$AU,column(R170)-$A$5,0)/mid(VLOOKUP($A170,'Dados ClubeFII'!$A:$AU,2,0),3,SEARCH(",",VLOOKUP($A170,'Dados ClubeFII'!$A:$AU,2,0)))*B170</f>
        <v>0.1332169697</v>
      </c>
      <c r="S170" s="43">
        <f>VLOOKUP($A170,'Dados ClubeFII'!$A:$AU,column(S170)-$A$5,0)</f>
        <v>42464</v>
      </c>
      <c r="T170" s="41">
        <f>MID(VLOOKUP($A170,'Dados ClubeFII'!$A:$AU,column(T170)-$A$5,0),3,100)/1</f>
        <v>100</v>
      </c>
      <c r="U170" s="45">
        <f>VLOOKUP($A170,'Dados ClubeFII'!$A:$AU,column(U170)-$A$5,0)/mid(VLOOKUP($A170,'Dados ClubeFII'!$A:$AU,2,0),4,SEARCH(",",VLOOKUP($A170,'Dados ClubeFII'!$A:$AU,2,0))-1)*B170</f>
        <v>0</v>
      </c>
      <c r="V170" s="42">
        <f>VLOOKUP($A170,'Dados ClubeFII'!$A:$AU,column(V170)-$A$5,0)</f>
        <v>0.1614</v>
      </c>
      <c r="W170" s="43" t="str">
        <f>VLOOKUP($A170,'Dados ClubeFII'!$A:$AU,column(W170)-$A$5,0)</f>
        <v>N/D</v>
      </c>
      <c r="X170" s="45">
        <f>VLOOKUP($A170,'Dados ClubeFII'!$A:$AU,column(X170)-$A$5,0)</f>
        <v>0</v>
      </c>
      <c r="Y170" s="41">
        <f>MID(VLOOKUP($A170,'Dados ClubeFII'!$A:$AU,column(Y170)-$A$5,0),3,100)/1</f>
        <v>0</v>
      </c>
      <c r="Z170" s="46">
        <f>VLOOKUP($A170,'Dados ClubeFII'!$A:$AU,column(Z170)-$A$5,0)</f>
        <v>67</v>
      </c>
      <c r="AA170" s="47">
        <f t="shared" si="2"/>
        <v>1032352</v>
      </c>
      <c r="AB170" s="48">
        <f t="shared" si="3"/>
        <v>168.9760762</v>
      </c>
      <c r="AC170" s="48"/>
      <c r="AD170" s="48"/>
      <c r="AE170" s="48"/>
    </row>
    <row r="171">
      <c r="A171" s="37" t="s">
        <v>194</v>
      </c>
      <c r="B171" s="38">
        <f>IFERROR(__xludf.DUMMYFUNCTION("GOOGLEFINANCE(A171)"),5.08)</f>
        <v>5.08</v>
      </c>
      <c r="C171" s="38">
        <f>IFERROR(__xludf.DUMMYFUNCTION("GOOGLEFINANCE($A171,""high52"")"),5.3)</f>
        <v>5.3</v>
      </c>
      <c r="D171" s="39">
        <f t="shared" si="4"/>
        <v>-0.04150943396</v>
      </c>
      <c r="E171" s="40" t="str">
        <f>VLOOKUP($A171,'Dados ClubeFII'!$A:$AU,column(E171)-$A$5,0)</f>
        <v>General Shopping e Outlets</v>
      </c>
      <c r="F171" s="40" t="str">
        <f>VLOOKUP($A171,'Dados ClubeFII'!$A:$AU,column(F171)-$A$5,0)</f>
        <v>CAPITANIA INVESTIMENTOS</v>
      </c>
      <c r="G171" s="40" t="str">
        <f>VLOOKUP($A171,'Dados ClubeFII'!$A:$AU,column(G171)-$A$5,0)</f>
        <v>Shopping/Varejo</v>
      </c>
      <c r="H171" s="41">
        <f>MID(VLOOKUP($A171,'Dados ClubeFII'!$A:$AU,COLUMN(H171)-$A$5,0),3,100)/MID(VLOOKUP($A171,'Dados ClubeFII'!$A:$AU,2,0),3,SEARCH(",",VLOOKUP($A171,'Dados ClubeFII'!$A:$AU,2,0)))*B171</f>
        <v>382006530.9</v>
      </c>
      <c r="I171" s="41">
        <f>MID(VLOOKUP($A171,'Dados ClubeFII'!$A:$AU,column(I171)-$A$5,0),3,100)/1</f>
        <v>1065034856</v>
      </c>
      <c r="J171" s="42">
        <f>VLOOKUP($A171,'Dados ClubeFII'!$A:$AU,column(J171)-$A$5,0)/mid(VLOOKUP($A171,'Dados ClubeFII'!$A:$AU,2,0),3,SEARCH(",",VLOOKUP($A171,'Dados ClubeFII'!$A:$AU,2,0)))*B171</f>
        <v>0.3592927308</v>
      </c>
      <c r="K171" s="41">
        <f>if(VLOOKUP($A171,'Dados ClubeFII'!$A:$AU,column(K171)-$A$5,0)="N/D",0,MID(VLOOKUP($A171,'Dados ClubeFII'!$A:$AU,column(K171)-$A$5,0),3,100)/1)/mid(VLOOKUP($A171,'Dados ClubeFII'!$A:$AU,2,0),3,SEARCH(",",VLOOKUP($A171,'Dados ClubeFII'!$A:$AU,2,0)))*B171</f>
        <v>3058.599136</v>
      </c>
      <c r="L171" s="41">
        <f>if(VLOOKUP($A171,'Dados ClubeFII'!$A:$AU,column(L171)-$A$5,0)="N/D",0,MID(VLOOKUP($A171,'Dados ClubeFII'!$A:$AU,column(L171)-$A$5,0),3,100)/1)</f>
        <v>8527.37</v>
      </c>
      <c r="M171" s="41">
        <f>MID(VLOOKUP($A171,'Dados ClubeFII'!$A:$AU,column(M171)-$A$5,0),3,100)/1</f>
        <v>0</v>
      </c>
      <c r="N171" s="41">
        <f>MID(VLOOKUP($A171,'Dados ClubeFII'!$A:$AU,column(N171)-$A$5,0),3,100)/1</f>
        <v>0</v>
      </c>
      <c r="O171" s="41">
        <f>LEFT(VLOOKUP($A171,'Dados ClubeFII'!$A:$AU,column(O171)-$A$5,0),len(VLOOKUP($A171,'Dados ClubeFII'!$A:$AU,column(O171)-$A$5,0))-2)/1</f>
        <v>124896</v>
      </c>
      <c r="P171" s="43">
        <f>VLOOKUP($A171,'Dados ClubeFII'!$A:$AU,column(P171)-$A$5,0)</f>
        <v>44957</v>
      </c>
      <c r="Q171" s="44">
        <f>VLOOKUP($A171,'Dados ClubeFII'!$A:$AU,column(Q171)-$A$5,0)/mid(VLOOKUP($A171,'Dados ClubeFII'!$A:$AU,2,0),3,SEARCH(",",VLOOKUP($A171,'Dados ClubeFII'!$A:$AU,2,0)))*B171</f>
        <v>0</v>
      </c>
      <c r="R171" s="44">
        <f>VLOOKUP($A171,'Dados ClubeFII'!$A:$AU,column(R171)-$A$5,0)/mid(VLOOKUP($A171,'Dados ClubeFII'!$A:$AU,2,0),3,SEARCH(",",VLOOKUP($A171,'Dados ClubeFII'!$A:$AU,2,0)))*B171</f>
        <v>0</v>
      </c>
      <c r="S171" s="43">
        <f>VLOOKUP($A171,'Dados ClubeFII'!$A:$AU,column(S171)-$A$5,0)</f>
        <v>43587</v>
      </c>
      <c r="T171" s="41">
        <f>MID(VLOOKUP($A171,'Dados ClubeFII'!$A:$AU,column(T171)-$A$5,0),3,100)/1</f>
        <v>10</v>
      </c>
      <c r="U171" s="45">
        <f>VLOOKUP($A171,'Dados ClubeFII'!$A:$AU,column(U171)-$A$5,0)/mid(VLOOKUP($A171,'Dados ClubeFII'!$A:$AU,2,0),4,SEARCH(",",VLOOKUP($A171,'Dados ClubeFII'!$A:$AU,2,0))-1)*B171</f>
        <v>1.016</v>
      </c>
      <c r="V171" s="42">
        <f>VLOOKUP($A171,'Dados ClubeFII'!$A:$AU,column(V171)-$A$5,0)</f>
        <v>0.102</v>
      </c>
      <c r="W171" s="43" t="str">
        <f>VLOOKUP($A171,'Dados ClubeFII'!$A:$AU,column(W171)-$A$5,0)</f>
        <v>N/D</v>
      </c>
      <c r="X171" s="45">
        <f>VLOOKUP($A171,'Dados ClubeFII'!$A:$AU,column(X171)-$A$5,0)</f>
        <v>0</v>
      </c>
      <c r="Y171" s="41">
        <f>MID(VLOOKUP($A171,'Dados ClubeFII'!$A:$AU,column(Y171)-$A$5,0),3,100)/1</f>
        <v>59666.23</v>
      </c>
      <c r="Z171" s="46">
        <f>VLOOKUP($A171,'Dados ClubeFII'!$A:$AU,column(Z171)-$A$5,0)</f>
        <v>7183</v>
      </c>
      <c r="AA171" s="47">
        <f t="shared" si="2"/>
        <v>75198136</v>
      </c>
      <c r="AB171" s="48">
        <f t="shared" si="3"/>
        <v>14.16304862</v>
      </c>
      <c r="AC171" s="48"/>
      <c r="AD171" s="48"/>
      <c r="AE171" s="48"/>
    </row>
    <row r="172">
      <c r="A172" s="49" t="s">
        <v>195</v>
      </c>
      <c r="B172" s="38">
        <f>IFERROR(__xludf.DUMMYFUNCTION("GOOGLEFINANCE(A172)"),103.44)</f>
        <v>103.44</v>
      </c>
      <c r="C172" s="38">
        <f>IFERROR(__xludf.DUMMYFUNCTION("GOOGLEFINANCE($A172,""high52"")"),117.13)</f>
        <v>117.13</v>
      </c>
      <c r="D172" s="39">
        <f t="shared" si="4"/>
        <v>-0.1168786818</v>
      </c>
      <c r="E172" s="40" t="str">
        <f>VLOOKUP($A172,'Dados ClubeFII'!$A:$AU,column(E172)-$A$5,0)</f>
        <v>Hotel Maxinvest</v>
      </c>
      <c r="F172" s="40" t="str">
        <f>VLOOKUP($A172,'Dados ClubeFII'!$A:$AU,column(F172)-$A$5,0)</f>
        <v>BTG Pactual e HotelInvest</v>
      </c>
      <c r="G172" s="40" t="str">
        <f>VLOOKUP($A172,'Dados ClubeFII'!$A:$AU,column(G172)-$A$5,0)</f>
        <v>Hoteis</v>
      </c>
      <c r="H172" s="41">
        <f>MID(VLOOKUP($A172,'Dados ClubeFII'!$A:$AU,column(H172)-$A$5,0),3,100)/mid(VLOOKUP($A172,'Dados ClubeFII'!$A:$AU,2,0),4,SEARCH(",",VLOOKUP($A172,'Dados ClubeFII'!$A:$AU,2,0))-1)*B172</f>
        <v>2214189377</v>
      </c>
      <c r="I172" s="41">
        <f>MID(VLOOKUP($A172,'Dados ClubeFII'!$A:$AU,column(I172)-$A$5,0),3,100)/1</f>
        <v>208729898.3</v>
      </c>
      <c r="J172" s="42">
        <f>VLOOKUP($A172,'Dados ClubeFII'!$A:$AU,column(J172)-$A$5,0)/mid(VLOOKUP($A172,'Dados ClubeFII'!$A:$AU,2,0),3,SEARCH(",",VLOOKUP($A172,'Dados ClubeFII'!$A:$AU,2,0)))*B172</f>
        <v>0.7499135607</v>
      </c>
      <c r="K172" s="41">
        <f>if(VLOOKUP($A172,'Dados ClubeFII'!$A:$AU,column(K172)-$A$5,0)="N/D",0,MID(VLOOKUP($A172,'Dados ClubeFII'!$A:$AU,column(K172)-$A$5,0),3,100)/1)/mid(VLOOKUP($A172,'Dados ClubeFII'!$A:$AU,2,0),3,SEARCH(",",VLOOKUP($A172,'Dados ClubeFII'!$A:$AU,2,0)))*B172</f>
        <v>12236.68568</v>
      </c>
      <c r="L172" s="41">
        <f>if(VLOOKUP($A172,'Dados ClubeFII'!$A:$AU,column(L172)-$A$5,0)="N/D",0,MID(VLOOKUP($A172,'Dados ClubeFII'!$A:$AU,column(L172)-$A$5,0),3,100)/1)</f>
        <v>16351.74</v>
      </c>
      <c r="M172" s="41">
        <f>MID(VLOOKUP($A172,'Dados ClubeFII'!$A:$AU,column(M172)-$A$5,0),3,100)/1</f>
        <v>0.74</v>
      </c>
      <c r="N172" s="41">
        <f>MID(VLOOKUP($A172,'Dados ClubeFII'!$A:$AU,column(N172)-$A$5,0),3,100)/1</f>
        <v>87.1</v>
      </c>
      <c r="O172" s="41">
        <f>LEFT(VLOOKUP($A172,'Dados ClubeFII'!$A:$AU,column(O172)-$A$5,0),len(VLOOKUP($A172,'Dados ClubeFII'!$A:$AU,column(O172)-$A$5,0))-2)/1</f>
        <v>12765</v>
      </c>
      <c r="P172" s="43">
        <f>VLOOKUP($A172,'Dados ClubeFII'!$A:$AU,column(P172)-$A$5,0)</f>
        <v>44964</v>
      </c>
      <c r="Q172" s="44">
        <f>VLOOKUP($A172,'Dados ClubeFII'!$A:$AU,column(Q172)-$A$5,0)/mid(VLOOKUP($A172,'Dados ClubeFII'!$A:$AU,2,0),3,SEARCH(",",VLOOKUP($A172,'Dados ClubeFII'!$A:$AU,2,0)))*B172</f>
        <v>0.08200977786</v>
      </c>
      <c r="R172" s="44">
        <f>VLOOKUP($A172,'Dados ClubeFII'!$A:$AU,column(R172)-$A$5,0)/mid(VLOOKUP($A172,'Dados ClubeFII'!$A:$AU,2,0),3,SEARCH(",",VLOOKUP($A172,'Dados ClubeFII'!$A:$AU,2,0)))*B172</f>
        <v>0.04528324194</v>
      </c>
      <c r="S172" s="43">
        <f>VLOOKUP($A172,'Dados ClubeFII'!$A:$AU,column(S172)-$A$5,0)</f>
        <v>39276</v>
      </c>
      <c r="T172" s="41">
        <f>MID(VLOOKUP($A172,'Dados ClubeFII'!$A:$AU,column(T172)-$A$5,0),3,100)/1</f>
        <v>100</v>
      </c>
      <c r="U172" s="45">
        <f>VLOOKUP($A172,'Dados ClubeFII'!$A:$AU,column(U172)-$A$5,0)/mid(VLOOKUP($A172,'Dados ClubeFII'!$A:$AU,2,0),4,SEARCH(",",VLOOKUP($A172,'Dados ClubeFII'!$A:$AU,2,0))-1)*B172</f>
        <v>-0.4333849802</v>
      </c>
      <c r="V172" s="42">
        <f>VLOOKUP($A172,'Dados ClubeFII'!$A:$AU,column(V172)-$A$5,0)</f>
        <v>0.27</v>
      </c>
      <c r="W172" s="43" t="str">
        <f>VLOOKUP($A172,'Dados ClubeFII'!$A:$AU,column(W172)-$A$5,0)</f>
        <v>N/D</v>
      </c>
      <c r="X172" s="45">
        <f>VLOOKUP($A172,'Dados ClubeFII'!$A:$AU,column(X172)-$A$5,0)</f>
        <v>0</v>
      </c>
      <c r="Y172" s="41">
        <f>MID(VLOOKUP($A172,'Dados ClubeFII'!$A:$AU,column(Y172)-$A$5,0),3,100)/1</f>
        <v>280485.8</v>
      </c>
      <c r="Z172" s="46">
        <f>VLOOKUP($A172,'Dados ClubeFII'!$A:$AU,column(Z172)-$A$5,0)</f>
        <v>26023</v>
      </c>
      <c r="AA172" s="47">
        <f t="shared" si="2"/>
        <v>21405543</v>
      </c>
      <c r="AB172" s="48">
        <f t="shared" si="3"/>
        <v>9.751207822</v>
      </c>
      <c r="AC172" s="48"/>
      <c r="AD172" s="48"/>
      <c r="AE172" s="48"/>
    </row>
    <row r="173">
      <c r="A173" s="37" t="s">
        <v>196</v>
      </c>
      <c r="B173" s="38">
        <f>IFERROR(__xludf.DUMMYFUNCTION("GOOGLEFINANCE(A173)"),128.44)</f>
        <v>128.44</v>
      </c>
      <c r="C173" s="38">
        <f>IFERROR(__xludf.DUMMYFUNCTION("GOOGLEFINANCE($A173,""high52"")"),200.0)</f>
        <v>200</v>
      </c>
      <c r="D173" s="39">
        <f t="shared" si="4"/>
        <v>-0.3578</v>
      </c>
      <c r="E173" s="40" t="str">
        <f>VLOOKUP($A173,'Dados ClubeFII'!$A:$AU,column(E173)-$A$5,0)</f>
        <v>JPP Capital</v>
      </c>
      <c r="F173" s="40" t="str">
        <f>VLOOKUP($A173,'Dados ClubeFII'!$A:$AU,column(F173)-$A$5,0)</f>
        <v>JPP GESTÃO</v>
      </c>
      <c r="G173" s="40" t="str">
        <f>VLOOKUP($A173,'Dados ClubeFII'!$A:$AU,column(G173)-$A$5,0)</f>
        <v>Incorporação</v>
      </c>
      <c r="H173" s="41">
        <f>MID(VLOOKUP($A173,'Dados ClubeFII'!$A:$AU,column(H173)-$A$5,0),3,100)/mid(VLOOKUP($A173,'Dados ClubeFII'!$A:$AU,2,0),4,SEARCH(",",VLOOKUP($A173,'Dados ClubeFII'!$A:$AU,2,0))-1)*B173</f>
        <v>30611533.33</v>
      </c>
      <c r="I173" s="41">
        <f>MID(VLOOKUP($A173,'Dados ClubeFII'!$A:$AU,column(I173)-$A$5,0),3,100)/1</f>
        <v>20050043.64</v>
      </c>
      <c r="J173" s="42">
        <f>VLOOKUP($A173,'Dados ClubeFII'!$A:$AU,column(J173)-$A$5,0)/mid(VLOOKUP($A173,'Dados ClubeFII'!$A:$AU,2,0),3,SEARCH(",",VLOOKUP($A173,'Dados ClubeFII'!$A:$AU,2,0)))*B173</f>
        <v>0.35568</v>
      </c>
      <c r="K173" s="41">
        <f>if(VLOOKUP($A173,'Dados ClubeFII'!$A:$AU,column(K173)-$A$5,0)="N/D",0,MID(VLOOKUP($A173,'Dados ClubeFII'!$A:$AU,column(K173)-$A$5,0),3,100)/1)/mid(VLOOKUP($A173,'Dados ClubeFII'!$A:$AU,2,0),3,SEARCH(",",VLOOKUP($A173,'Dados ClubeFII'!$A:$AU,2,0)))*B173</f>
        <v>477.31268</v>
      </c>
      <c r="L173" s="41">
        <f>if(VLOOKUP($A173,'Dados ClubeFII'!$A:$AU,column(L173)-$A$5,0)="N/D",0,MID(VLOOKUP($A173,'Dados ClubeFII'!$A:$AU,column(L173)-$A$5,0),3,100)/1)</f>
        <v>1354.73</v>
      </c>
      <c r="M173" s="41">
        <f>MID(VLOOKUP($A173,'Dados ClubeFII'!$A:$AU,column(M173)-$A$5,0),3,100)/1</f>
        <v>0</v>
      </c>
      <c r="N173" s="41">
        <f>MID(VLOOKUP($A173,'Dados ClubeFII'!$A:$AU,column(N173)-$A$5,0),3,100)/1</f>
        <v>0</v>
      </c>
      <c r="O173" s="41">
        <f>LEFT(VLOOKUP($A173,'Dados ClubeFII'!$A:$AU,column(O173)-$A$5,0),len(VLOOKUP($A173,'Dados ClubeFII'!$A:$AU,column(O173)-$A$5,0))-2)/1</f>
        <v>14800</v>
      </c>
      <c r="P173" s="43">
        <f>VLOOKUP($A173,'Dados ClubeFII'!$A:$AU,column(P173)-$A$5,0)</f>
        <v>44957</v>
      </c>
      <c r="Q173" s="44">
        <f>VLOOKUP($A173,'Dados ClubeFII'!$A:$AU,column(Q173)-$A$5,0)/mid(VLOOKUP($A173,'Dados ClubeFII'!$A:$AU,2,0),3,SEARCH(",",VLOOKUP($A173,'Dados ClubeFII'!$A:$AU,2,0)))*B173</f>
        <v>0</v>
      </c>
      <c r="R173" s="44">
        <f>VLOOKUP($A173,'Dados ClubeFII'!$A:$AU,column(R173)-$A$5,0)/mid(VLOOKUP($A173,'Dados ClubeFII'!$A:$AU,2,0),3,SEARCH(",",VLOOKUP($A173,'Dados ClubeFII'!$A:$AU,2,0)))*B173</f>
        <v>0.0545376</v>
      </c>
      <c r="S173" s="43">
        <f>VLOOKUP($A173,'Dados ClubeFII'!$A:$AU,column(S173)-$A$5,0)</f>
        <v>41418</v>
      </c>
      <c r="T173" s="41">
        <f>MID(VLOOKUP($A173,'Dados ClubeFII'!$A:$AU,column(T173)-$A$5,0),3,100)/1</f>
        <v>1000</v>
      </c>
      <c r="U173" s="45">
        <f>VLOOKUP($A173,'Dados ClubeFII'!$A:$AU,column(U173)-$A$5,0)/mid(VLOOKUP($A173,'Dados ClubeFII'!$A:$AU,2,0),4,SEARCH(",",VLOOKUP($A173,'Dados ClubeFII'!$A:$AU,2,0))-1)*B173</f>
        <v>-0.4696622667</v>
      </c>
      <c r="V173" s="42" t="str">
        <f>VLOOKUP($A173,'Dados ClubeFII'!$A:$AU,column(V173)-$A$5,0)</f>
        <v>N/D</v>
      </c>
      <c r="W173" s="43" t="str">
        <f>VLOOKUP($A173,'Dados ClubeFII'!$A:$AU,column(W173)-$A$5,0)</f>
        <v>N/D</v>
      </c>
      <c r="X173" s="45">
        <f>VLOOKUP($A173,'Dados ClubeFII'!$A:$AU,column(X173)-$A$5,0)</f>
        <v>0</v>
      </c>
      <c r="Y173" s="41">
        <f>MID(VLOOKUP($A173,'Dados ClubeFII'!$A:$AU,column(Y173)-$A$5,0),3,100)/1</f>
        <v>2693.01</v>
      </c>
      <c r="Z173" s="46">
        <f>VLOOKUP($A173,'Dados ClubeFII'!$A:$AU,column(Z173)-$A$5,0)</f>
        <v>90</v>
      </c>
      <c r="AA173" s="47">
        <f t="shared" si="2"/>
        <v>238333</v>
      </c>
      <c r="AB173" s="48">
        <f t="shared" si="3"/>
        <v>84.12617489</v>
      </c>
      <c r="AC173" s="48"/>
      <c r="AD173" s="48"/>
      <c r="AE173" s="48"/>
    </row>
    <row r="174">
      <c r="A174" s="37" t="s">
        <v>197</v>
      </c>
      <c r="B174" s="38">
        <f>IFERROR(__xludf.DUMMYFUNCTION("GOOGLEFINANCE(A174)"),71.99)</f>
        <v>71.99</v>
      </c>
      <c r="C174" s="38">
        <f>IFERROR(__xludf.DUMMYFUNCTION("GOOGLEFINANCE($A174,""high52"")"),74.99)</f>
        <v>74.99</v>
      </c>
      <c r="D174" s="39">
        <f t="shared" si="4"/>
        <v>-0.04000533404</v>
      </c>
      <c r="E174" s="40" t="str">
        <f>VLOOKUP($A174,'Dados ClubeFII'!$A:$AU,column(E174)-$A$5,0)</f>
        <v>Newport Renda Urbana</v>
      </c>
      <c r="F174" s="40" t="str">
        <f>VLOOKUP($A174,'Dados ClubeFII'!$A:$AU,column(F174)-$A$5,0)</f>
        <v>BRPP</v>
      </c>
      <c r="G174" s="40" t="str">
        <f>VLOOKUP($A174,'Dados ClubeFII'!$A:$AU,column(G174)-$A$5,0)</f>
        <v>Lajes Comerciais</v>
      </c>
      <c r="H174" s="41">
        <f>MID(VLOOKUP($A174,'Dados ClubeFII'!$A:$AU,COLUMN(H174)-$A$5,0),3,100)/MID(VLOOKUP($A174,'Dados ClubeFII'!$A:$AU,2,0),3,SEARCH(",",VLOOKUP($A174,'Dados ClubeFII'!$A:$AU,2,0)))*B174</f>
        <v>53436744.81</v>
      </c>
      <c r="I174" s="41">
        <f>MID(VLOOKUP($A174,'Dados ClubeFII'!$A:$AU,column(I174)-$A$5,0),3,100)/1</f>
        <v>51045127.14</v>
      </c>
      <c r="J174" s="42">
        <f>VLOOKUP($A174,'Dados ClubeFII'!$A:$AU,column(J174)-$A$5,0)/mid(VLOOKUP($A174,'Dados ClubeFII'!$A:$AU,2,0),3,SEARCH(",",VLOOKUP($A174,'Dados ClubeFII'!$A:$AU,2,0)))*B174</f>
        <v>1.046287278</v>
      </c>
      <c r="K174" s="41">
        <f>if(VLOOKUP($A174,'Dados ClubeFII'!$A:$AU,column(K174)-$A$5,0)="N/D",0,MID(VLOOKUP($A174,'Dados ClubeFII'!$A:$AU,column(K174)-$A$5,0),3,100)/1)/mid(VLOOKUP($A174,'Dados ClubeFII'!$A:$AU,2,0),3,SEARCH(",",VLOOKUP($A174,'Dados ClubeFII'!$A:$AU,2,0)))*B174</f>
        <v>4141.096342</v>
      </c>
      <c r="L174" s="41">
        <f>if(VLOOKUP($A174,'Dados ClubeFII'!$A:$AU,column(L174)-$A$5,0)="N/D",0,MID(VLOOKUP($A174,'Dados ClubeFII'!$A:$AU,column(L174)-$A$5,0),3,100)/1)</f>
        <v>3955.76</v>
      </c>
      <c r="M174" s="41">
        <f>MID(VLOOKUP($A174,'Dados ClubeFII'!$A:$AU,column(M174)-$A$5,0),3,100)/1</f>
        <v>0.1</v>
      </c>
      <c r="N174" s="41">
        <f>MID(VLOOKUP($A174,'Dados ClubeFII'!$A:$AU,column(N174)-$A$5,0),3,100)/1</f>
        <v>5.75</v>
      </c>
      <c r="O174" s="41">
        <f>LEFT(VLOOKUP($A174,'Dados ClubeFII'!$A:$AU,column(O174)-$A$5,0),len(VLOOKUP($A174,'Dados ClubeFII'!$A:$AU,column(O174)-$A$5,0))-2)/1</f>
        <v>12904</v>
      </c>
      <c r="P174" s="43">
        <f>VLOOKUP($A174,'Dados ClubeFII'!$A:$AU,column(P174)-$A$5,0)</f>
        <v>44971</v>
      </c>
      <c r="Q174" s="44">
        <f>VLOOKUP($A174,'Dados ClubeFII'!$A:$AU,column(Q174)-$A$5,0)/mid(VLOOKUP($A174,'Dados ClubeFII'!$A:$AU,2,0),3,SEARCH(",",VLOOKUP($A174,'Dados ClubeFII'!$A:$AU,2,0)))*B174</f>
        <v>0.03111685542</v>
      </c>
      <c r="R174" s="44">
        <f>VLOOKUP($A174,'Dados ClubeFII'!$A:$AU,column(R174)-$A$5,0)/mid(VLOOKUP($A174,'Dados ClubeFII'!$A:$AU,2,0),3,SEARCH(",",VLOOKUP($A174,'Dados ClubeFII'!$A:$AU,2,0)))*B174</f>
        <v>0.0069299547</v>
      </c>
      <c r="S174" s="43">
        <f>VLOOKUP($A174,'Dados ClubeFII'!$A:$AU,column(S174)-$A$5,0)</f>
        <v>41012</v>
      </c>
      <c r="T174" s="41">
        <f>MID(VLOOKUP($A174,'Dados ClubeFII'!$A:$AU,column(T174)-$A$5,0),3,100)/1</f>
        <v>100</v>
      </c>
      <c r="U174" s="45">
        <f>VLOOKUP($A174,'Dados ClubeFII'!$A:$AU,column(U174)-$A$5,0)/mid(VLOOKUP($A174,'Dados ClubeFII'!$A:$AU,2,0),4,SEARCH(",",VLOOKUP($A174,'Dados ClubeFII'!$A:$AU,2,0))-1)*B174</f>
        <v>7.070964094</v>
      </c>
      <c r="V174" s="42">
        <f>VLOOKUP($A174,'Dados ClubeFII'!$A:$AU,column(V174)-$A$5,0)</f>
        <v>0.47</v>
      </c>
      <c r="W174" s="43">
        <f>VLOOKUP($A174,'Dados ClubeFII'!$A:$AU,column(W174)-$A$5,0)</f>
        <v>44957</v>
      </c>
      <c r="X174" s="45">
        <f>VLOOKUP($A174,'Dados ClubeFII'!$A:$AU,column(X174)-$A$5,0)</f>
        <v>0</v>
      </c>
      <c r="Y174" s="41">
        <f>MID(VLOOKUP($A174,'Dados ClubeFII'!$A:$AU,column(Y174)-$A$5,0),3,100)/1</f>
        <v>7739.76</v>
      </c>
      <c r="Z174" s="46">
        <f>VLOOKUP($A174,'Dados ClubeFII'!$A:$AU,column(Z174)-$A$5,0)</f>
        <v>1656</v>
      </c>
      <c r="AA174" s="47">
        <f t="shared" si="2"/>
        <v>742280</v>
      </c>
      <c r="AB174" s="48">
        <f t="shared" si="3"/>
        <v>68.76802169</v>
      </c>
      <c r="AC174" s="17"/>
      <c r="AD174" s="17"/>
      <c r="AE174" s="17"/>
    </row>
    <row r="175">
      <c r="A175" s="37" t="s">
        <v>198</v>
      </c>
      <c r="B175" s="38">
        <f>IFERROR(__xludf.DUMMYFUNCTION("GOOGLEFINANCE(A175)"),125.0)</f>
        <v>125</v>
      </c>
      <c r="C175" s="38">
        <f>IFERROR(__xludf.DUMMYFUNCTION("GOOGLEFINANCE($A175,""high52"")"),155.98)</f>
        <v>155.98</v>
      </c>
      <c r="D175" s="39">
        <f t="shared" si="4"/>
        <v>-0.1986152071</v>
      </c>
      <c r="E175" s="40" t="str">
        <f>VLOOKUP($A175,'Dados ClubeFII'!$A:$AU,column(E175)-$A$5,0)</f>
        <v>Presidente Vargas</v>
      </c>
      <c r="F175" s="40" t="str">
        <f>VLOOKUP($A175,'Dados ClubeFII'!$A:$AU,column(F175)-$A$5,0)</f>
        <v>HEDGE INVESTMENTS</v>
      </c>
      <c r="G175" s="40" t="str">
        <f>VLOOKUP($A175,'Dados ClubeFII'!$A:$AU,column(G175)-$A$5,0)</f>
        <v>Lajes Comerciais</v>
      </c>
      <c r="H175" s="41">
        <f>MID(VLOOKUP($A175,'Dados ClubeFII'!$A:$AU,COLUMN(H175)-$A$5,0),3,100)/MID(VLOOKUP($A175,'Dados ClubeFII'!$A:$AU,2,0),3,SEARCH(",",VLOOKUP($A175,'Dados ClubeFII'!$A:$AU,2,0)))*B175</f>
        <v>24375000</v>
      </c>
      <c r="I175" s="41">
        <f>MID(VLOOKUP($A175,'Dados ClubeFII'!$A:$AU,column(I175)-$A$5,0),3,100)/1</f>
        <v>42731432.05</v>
      </c>
      <c r="J175" s="42">
        <f>VLOOKUP($A175,'Dados ClubeFII'!$A:$AU,column(J175)-$A$5,0)/mid(VLOOKUP($A175,'Dados ClubeFII'!$A:$AU,2,0),3,SEARCH(",",VLOOKUP($A175,'Dados ClubeFII'!$A:$AU,2,0)))*B175</f>
        <v>0.5683540467</v>
      </c>
      <c r="K175" s="41">
        <f>if(VLOOKUP($A175,'Dados ClubeFII'!$A:$AU,column(K175)-$A$5,0)="N/D",0,MID(VLOOKUP($A175,'Dados ClubeFII'!$A:$AU,column(K175)-$A$5,0),3,100)/1)/mid(VLOOKUP($A175,'Dados ClubeFII'!$A:$AU,2,0),3,SEARCH(",",VLOOKUP($A175,'Dados ClubeFII'!$A:$AU,2,0)))*B175</f>
        <v>2417.673916</v>
      </c>
      <c r="L175" s="41">
        <f>if(VLOOKUP($A175,'Dados ClubeFII'!$A:$AU,column(L175)-$A$5,0)="N/D",0,MID(VLOOKUP($A175,'Dados ClubeFII'!$A:$AU,column(L175)-$A$5,0),3,100)/1)</f>
        <v>4238.39</v>
      </c>
      <c r="M175" s="41">
        <f>MID(VLOOKUP($A175,'Dados ClubeFII'!$A:$AU,column(M175)-$A$5,0),3,100)/1</f>
        <v>0</v>
      </c>
      <c r="N175" s="41">
        <f>MID(VLOOKUP($A175,'Dados ClubeFII'!$A:$AU,column(N175)-$A$5,0),3,100)/1</f>
        <v>0</v>
      </c>
      <c r="O175" s="41">
        <f>LEFT(VLOOKUP($A175,'Dados ClubeFII'!$A:$AU,column(O175)-$A$5,0),len(VLOOKUP($A175,'Dados ClubeFII'!$A:$AU,column(O175)-$A$5,0))-2)/1</f>
        <v>10082</v>
      </c>
      <c r="P175" s="43">
        <f>VLOOKUP($A175,'Dados ClubeFII'!$A:$AU,column(P175)-$A$5,0)</f>
        <v>44957</v>
      </c>
      <c r="Q175" s="44">
        <f>VLOOKUP($A175,'Dados ClubeFII'!$A:$AU,column(Q175)-$A$5,0)/mid(VLOOKUP($A175,'Dados ClubeFII'!$A:$AU,2,0),3,SEARCH(",",VLOOKUP($A175,'Dados ClubeFII'!$A:$AU,2,0)))*B175</f>
        <v>0</v>
      </c>
      <c r="R175" s="44">
        <f>VLOOKUP($A175,'Dados ClubeFII'!$A:$AU,column(R175)-$A$5,0)/mid(VLOOKUP($A175,'Dados ClubeFII'!$A:$AU,2,0),3,SEARCH(",",VLOOKUP($A175,'Dados ClubeFII'!$A:$AU,2,0)))*B175</f>
        <v>0</v>
      </c>
      <c r="S175" s="43">
        <f>VLOOKUP($A175,'Dados ClubeFII'!$A:$AU,column(S175)-$A$5,0)</f>
        <v>40301</v>
      </c>
      <c r="T175" s="41">
        <f>MID(VLOOKUP($A175,'Dados ClubeFII'!$A:$AU,column(T175)-$A$5,0),3,100)/1</f>
        <v>1000</v>
      </c>
      <c r="U175" s="45">
        <f>VLOOKUP($A175,'Dados ClubeFII'!$A:$AU,column(U175)-$A$5,0)/mid(VLOOKUP($A175,'Dados ClubeFII'!$A:$AU,2,0),4,SEARCH(",",VLOOKUP($A175,'Dados ClubeFII'!$A:$AU,2,0))-1)*B175</f>
        <v>-0.4001095119</v>
      </c>
      <c r="V175" s="42">
        <f>VLOOKUP($A175,'Dados ClubeFII'!$A:$AU,column(V175)-$A$5,0)</f>
        <v>1</v>
      </c>
      <c r="W175" s="43">
        <f>VLOOKUP($A175,'Dados ClubeFII'!$A:$AU,column(W175)-$A$5,0)</f>
        <v>44074</v>
      </c>
      <c r="X175" s="45">
        <f>VLOOKUP($A175,'Dados ClubeFII'!$A:$AU,column(X175)-$A$5,0)</f>
        <v>0</v>
      </c>
      <c r="Y175" s="41">
        <f>MID(VLOOKUP($A175,'Dados ClubeFII'!$A:$AU,column(Y175)-$A$5,0),3,100)/1</f>
        <v>8693.69</v>
      </c>
      <c r="Z175" s="46">
        <f>VLOOKUP($A175,'Dados ClubeFII'!$A:$AU,column(Z175)-$A$5,0)</f>
        <v>1025</v>
      </c>
      <c r="AA175" s="47">
        <f t="shared" si="2"/>
        <v>195000</v>
      </c>
      <c r="AB175" s="48">
        <f t="shared" si="3"/>
        <v>219.135549</v>
      </c>
      <c r="AC175" s="48"/>
      <c r="AD175" s="48"/>
      <c r="AE175" s="48"/>
    </row>
    <row r="176">
      <c r="A176" s="54" t="s">
        <v>199</v>
      </c>
      <c r="B176" s="38">
        <f>IFERROR(__xludf.DUMMYFUNCTION("GOOGLEFINANCE(A176)"),92.5)</f>
        <v>92.5</v>
      </c>
      <c r="C176" s="38">
        <f>IFERROR(__xludf.DUMMYFUNCTION("GOOGLEFINANCE($A176,""high52"")"),100.59)</f>
        <v>100.59</v>
      </c>
      <c r="D176" s="39">
        <f t="shared" si="4"/>
        <v>-0.08042548961</v>
      </c>
      <c r="E176" s="40" t="str">
        <f>VLOOKUP($A176,'Dados ClubeFII'!$A:$AU,column(E176)-$A$5,0)</f>
        <v>Riza Akin</v>
      </c>
      <c r="F176" s="40" t="str">
        <f>VLOOKUP($A176,'Dados ClubeFII'!$A:$AU,column(F176)-$A$5,0)</f>
        <v>RIZA</v>
      </c>
      <c r="G176" s="40" t="str">
        <f>VLOOKUP($A176,'Dados ClubeFII'!$A:$AU,column(G176)-$A$5,0)</f>
        <v>Recebíveis Imobiliários</v>
      </c>
      <c r="H176" s="41">
        <f>MID(VLOOKUP($A176,'Dados ClubeFII'!$A:$AU,column(H176)-$A$5,0),3,100)/mid(VLOOKUP($A176,'Dados ClubeFII'!$A:$AU,2,0),4,SEARCH(",",VLOOKUP($A176,'Dados ClubeFII'!$A:$AU,2,0))-1)*B176</f>
        <v>5975996278</v>
      </c>
      <c r="I176" s="41">
        <f>MID(VLOOKUP($A176,'Dados ClubeFII'!$A:$AU,column(I176)-$A$5,0),3,100)/1</f>
        <v>521840169</v>
      </c>
      <c r="J176" s="42">
        <f>VLOOKUP($A176,'Dados ClubeFII'!$A:$AU,column(J176)-$A$5,0)/mid(VLOOKUP($A176,'Dados ClubeFII'!$A:$AU,2,0),3,SEARCH(",",VLOOKUP($A176,'Dados ClubeFII'!$A:$AU,2,0)))*B176</f>
        <v>0.9860406091</v>
      </c>
      <c r="K176" s="41">
        <f>if(VLOOKUP($A176,'Dados ClubeFII'!$A:$AU,column(K176)-$A$5,0)="N/D",0,MID(VLOOKUP($A176,'Dados ClubeFII'!$A:$AU,column(K176)-$A$5,0),3,100)/1)/mid(VLOOKUP($A176,'Dados ClubeFII'!$A:$AU,2,0),3,SEARCH(",",VLOOKUP($A176,'Dados ClubeFII'!$A:$AU,2,0)))*B176</f>
        <v>0</v>
      </c>
      <c r="L176" s="41">
        <f>if(VLOOKUP($A176,'Dados ClubeFII'!$A:$AU,column(L176)-$A$5,0)="N/D",0,MID(VLOOKUP($A176,'Dados ClubeFII'!$A:$AU,column(L176)-$A$5,0),3,100)/1)</f>
        <v>0</v>
      </c>
      <c r="M176" s="41">
        <f>MID(VLOOKUP($A176,'Dados ClubeFII'!$A:$AU,column(M176)-$A$5,0),3,100)/1</f>
        <v>1.2</v>
      </c>
      <c r="N176" s="41">
        <f>MID(VLOOKUP($A176,'Dados ClubeFII'!$A:$AU,column(N176)-$A$5,0),3,100)/1</f>
        <v>0</v>
      </c>
      <c r="O176" s="41">
        <f>LEFT(VLOOKUP($A176,'Dados ClubeFII'!$A:$AU,column(O176)-$A$5,0),len(VLOOKUP($A176,'Dados ClubeFII'!$A:$AU,column(O176)-$A$5,0))-2)/1</f>
        <v>0</v>
      </c>
      <c r="P176" s="43">
        <f>VLOOKUP($A176,'Dados ClubeFII'!$A:$AU,column(P176)-$A$5,0)</f>
        <v>44980</v>
      </c>
      <c r="Q176" s="44">
        <f>VLOOKUP($A176,'Dados ClubeFII'!$A:$AU,column(Q176)-$A$5,0)/mid(VLOOKUP($A176,'Dados ClubeFII'!$A:$AU,2,0),3,SEARCH(",",VLOOKUP($A176,'Dados ClubeFII'!$A:$AU,2,0)))*B176</f>
        <v>0.1474365482</v>
      </c>
      <c r="R176" s="44">
        <f>VLOOKUP($A176,'Dados ClubeFII'!$A:$AU,column(R176)-$A$5,0)/mid(VLOOKUP($A176,'Dados ClubeFII'!$A:$AU,2,0),3,SEARCH(",",VLOOKUP($A176,'Dados ClubeFII'!$A:$AU,2,0)))*B176</f>
        <v>0.170819797</v>
      </c>
      <c r="S176" s="43">
        <f>VLOOKUP($A176,'Dados ClubeFII'!$A:$AU,column(S176)-$A$5,0)</f>
        <v>44518</v>
      </c>
      <c r="T176" s="41">
        <f>MID(VLOOKUP($A176,'Dados ClubeFII'!$A:$AU,column(T176)-$A$5,0),3,100)/1</f>
        <v>100</v>
      </c>
      <c r="U176" s="45">
        <f>VLOOKUP($A176,'Dados ClubeFII'!$A:$AU,column(U176)-$A$5,0)/mid(VLOOKUP($A176,'Dados ClubeFII'!$A:$AU,2,0),4,SEARCH(",",VLOOKUP($A176,'Dados ClubeFII'!$A:$AU,2,0))-1)*B176</f>
        <v>0.1588823529</v>
      </c>
      <c r="V176" s="42" t="str">
        <f>VLOOKUP($A176,'Dados ClubeFII'!$A:$AU,column(V176)-$A$5,0)</f>
        <v>N/D</v>
      </c>
      <c r="W176" s="43" t="str">
        <f>VLOOKUP($A176,'Dados ClubeFII'!$A:$AU,column(W176)-$A$5,0)</f>
        <v>N/D</v>
      </c>
      <c r="X176" s="45">
        <f>VLOOKUP($A176,'Dados ClubeFII'!$A:$AU,column(X176)-$A$5,0)</f>
        <v>0.0042</v>
      </c>
      <c r="Y176" s="41">
        <f>MID(VLOOKUP($A176,'Dados ClubeFII'!$A:$AU,column(Y176)-$A$5,0),3,100)/1</f>
        <v>3801451.33</v>
      </c>
      <c r="Z176" s="46">
        <f>VLOOKUP($A176,'Dados ClubeFII'!$A:$AU,column(Z176)-$A$5,0)</f>
        <v>30505</v>
      </c>
      <c r="AA176" s="47">
        <f t="shared" si="2"/>
        <v>64605365</v>
      </c>
      <c r="AB176" s="48">
        <f t="shared" si="3"/>
        <v>8.077350371</v>
      </c>
      <c r="AC176" s="48"/>
      <c r="AD176" s="48"/>
      <c r="AE176" s="48"/>
    </row>
    <row r="177">
      <c r="A177" s="37" t="s">
        <v>200</v>
      </c>
      <c r="B177" s="38">
        <f>IFERROR(__xludf.DUMMYFUNCTION("GOOGLEFINANCE(A177)"),0.0)</f>
        <v>0</v>
      </c>
      <c r="C177" s="38">
        <f>IFERROR(__xludf.DUMMYFUNCTION("GOOGLEFINANCE($A177,""high52"")"),1210.05)</f>
        <v>1210.05</v>
      </c>
      <c r="D177" s="39">
        <f t="shared" si="4"/>
        <v>-1</v>
      </c>
      <c r="E177" s="40" t="str">
        <f>VLOOKUP($A177,'Dados ClubeFII'!$A:$AU,column(E177)-$A$5,0)</f>
        <v>Shopping Parque Dom Pedro</v>
      </c>
      <c r="F177" s="40" t="str">
        <f>VLOOKUP($A177,'Dados ClubeFII'!$A:$AU,column(F177)-$A$5,0)</f>
        <v>BTG PACTUAL</v>
      </c>
      <c r="G177" s="40" t="str">
        <f>VLOOKUP($A177,'Dados ClubeFII'!$A:$AU,column(G177)-$A$5,0)</f>
        <v>Shopping/Varejo</v>
      </c>
      <c r="H177" s="41" t="str">
        <f>MID(VLOOKUP($A177,'Dados ClubeFII'!$A:$AU,COLUMN(H177)-$A$5,0),3,100)/MID(VLOOKUP($A177,'Dados ClubeFII'!$A:$AU,2,0),3,SEARCH(",",VLOOKUP($A177,'Dados ClubeFII'!$A:$AU,2,0)))*B177</f>
        <v>#DIV/0!</v>
      </c>
      <c r="I177" s="41">
        <f>MID(VLOOKUP($A177,'Dados ClubeFII'!$A:$AU,column(I177)-$A$5,0),3,100)/1</f>
        <v>1895624368</v>
      </c>
      <c r="J177" s="42" t="str">
        <f>VLOOKUP($A177,'Dados ClubeFII'!$A:$AU,column(J177)-$A$5,0)/mid(VLOOKUP($A177,'Dados ClubeFII'!$A:$AU,2,0),3,SEARCH(",",VLOOKUP($A177,'Dados ClubeFII'!$A:$AU,2,0)))*B177</f>
        <v>#DIV/0!</v>
      </c>
      <c r="K177" s="41" t="str">
        <f>if(VLOOKUP($A177,'Dados ClubeFII'!$A:$AU,column(K177)-$A$5,0)="N/D",0,MID(VLOOKUP($A177,'Dados ClubeFII'!$A:$AU,column(K177)-$A$5,0),3,100)/1)/mid(VLOOKUP($A177,'Dados ClubeFII'!$A:$AU,2,0),3,SEARCH(",",VLOOKUP($A177,'Dados ClubeFII'!$A:$AU,2,0)))*B177</f>
        <v>#DIV/0!</v>
      </c>
      <c r="L177" s="41">
        <f>if(VLOOKUP($A177,'Dados ClubeFII'!$A:$AU,column(L177)-$A$5,0)="N/D",0,MID(VLOOKUP($A177,'Dados ClubeFII'!$A:$AU,column(L177)-$A$5,0),3,100)/1)</f>
        <v>19992.67</v>
      </c>
      <c r="M177" s="41">
        <f>MID(VLOOKUP($A177,'Dados ClubeFII'!$A:$AU,column(M177)-$A$5,0),3,100)/1</f>
        <v>10.77</v>
      </c>
      <c r="N177" s="41">
        <f>MID(VLOOKUP($A177,'Dados ClubeFII'!$A:$AU,column(N177)-$A$5,0),3,100)/1</f>
        <v>166.75</v>
      </c>
      <c r="O177" s="41">
        <f>LEFT(VLOOKUP($A177,'Dados ClubeFII'!$A:$AU,column(O177)-$A$5,0),len(VLOOKUP($A177,'Dados ClubeFII'!$A:$AU,column(O177)-$A$5,0))-2)/1</f>
        <v>94815.95</v>
      </c>
      <c r="P177" s="43">
        <f>VLOOKUP($A177,'Dados ClubeFII'!$A:$AU,column(P177)-$A$5,0)</f>
        <v>44974</v>
      </c>
      <c r="Q177" s="44" t="str">
        <f>VLOOKUP($A177,'Dados ClubeFII'!$A:$AU,column(Q177)-$A$5,0)/mid(VLOOKUP($A177,'Dados ClubeFII'!$A:$AU,2,0),3,SEARCH(",",VLOOKUP($A177,'Dados ClubeFII'!$A:$AU,2,0)))*B177</f>
        <v>#DIV/0!</v>
      </c>
      <c r="R177" s="44" t="str">
        <f>VLOOKUP($A177,'Dados ClubeFII'!$A:$AU,column(R177)-$A$5,0)/mid(VLOOKUP($A177,'Dados ClubeFII'!$A:$AU,2,0),3,SEARCH(",",VLOOKUP($A177,'Dados ClubeFII'!$A:$AU,2,0)))*B177</f>
        <v>#DIV/0!</v>
      </c>
      <c r="S177" s="43">
        <f>VLOOKUP($A177,'Dados ClubeFII'!$A:$AU,column(S177)-$A$5,0)</f>
        <v>41487</v>
      </c>
      <c r="T177" s="41">
        <f>MID(VLOOKUP($A177,'Dados ClubeFII'!$A:$AU,column(T177)-$A$5,0),3,100)/1</f>
        <v>747.5</v>
      </c>
      <c r="U177" s="45" t="str">
        <f>VLOOKUP($A177,'Dados ClubeFII'!$A:$AU,column(U177)-$A$5,0)/mid(VLOOKUP($A177,'Dados ClubeFII'!$A:$AU,2,0),4,SEARCH(",",VLOOKUP($A177,'Dados ClubeFII'!$A:$AU,2,0))-1)*B177</f>
        <v>#DIV/0!</v>
      </c>
      <c r="V177" s="42">
        <f>VLOOKUP($A177,'Dados ClubeFII'!$A:$AU,column(V177)-$A$5,0)</f>
        <v>0.026</v>
      </c>
      <c r="W177" s="43" t="str">
        <f>VLOOKUP($A177,'Dados ClubeFII'!$A:$AU,column(W177)-$A$5,0)</f>
        <v>N/D</v>
      </c>
      <c r="X177" s="45">
        <f>VLOOKUP($A177,'Dados ClubeFII'!$A:$AU,column(X177)-$A$5,0)</f>
        <v>0</v>
      </c>
      <c r="Y177" s="41">
        <f>MID(VLOOKUP($A177,'Dados ClubeFII'!$A:$AU,column(Y177)-$A$5,0),3,100)/1</f>
        <v>0</v>
      </c>
      <c r="Z177" s="46">
        <f>VLOOKUP($A177,'Dados ClubeFII'!$A:$AU,column(Z177)-$A$5,0)</f>
        <v>3</v>
      </c>
      <c r="AA177" s="47" t="str">
        <f t="shared" si="2"/>
        <v>#DIV/0!</v>
      </c>
      <c r="AB177" s="48" t="str">
        <f t="shared" si="3"/>
        <v>#DIV/0!</v>
      </c>
      <c r="AC177" s="48"/>
      <c r="AD177" s="48"/>
      <c r="AE177" s="48"/>
    </row>
    <row r="178">
      <c r="A178" s="37" t="s">
        <v>201</v>
      </c>
      <c r="B178" s="38">
        <f>IFERROR(__xludf.DUMMYFUNCTION("GOOGLEFINANCE(A178)"),0.0)</f>
        <v>0</v>
      </c>
      <c r="C178" s="38">
        <f>IFERROR(__xludf.DUMMYFUNCTION("GOOGLEFINANCE($A178,""high52"")"),150.99)</f>
        <v>150.99</v>
      </c>
      <c r="D178" s="39">
        <f t="shared" si="4"/>
        <v>-1</v>
      </c>
      <c r="E178" s="40" t="str">
        <f>VLOOKUP($A178,'Dados ClubeFII'!$A:$AU,column(E178)-$A$5,0)</f>
        <v>StarX</v>
      </c>
      <c r="F178" s="40" t="str">
        <f>VLOOKUP($A178,'Dados ClubeFII'!$A:$AU,column(F178)-$A$5,0)</f>
        <v>INTER DTVM</v>
      </c>
      <c r="G178" s="40" t="str">
        <f>VLOOKUP($A178,'Dados ClubeFII'!$A:$AU,column(G178)-$A$5,0)</f>
        <v>Shopping/Varejo</v>
      </c>
      <c r="H178" s="41" t="str">
        <f>MID(VLOOKUP($A178,'Dados ClubeFII'!$A:$AU,COLUMN(H178)-$A$5,0),3,100)/MID(VLOOKUP($A178,'Dados ClubeFII'!$A:$AU,2,0),3,SEARCH(",",VLOOKUP($A178,'Dados ClubeFII'!$A:$AU,2,0)))*B178</f>
        <v>#DIV/0!</v>
      </c>
      <c r="I178" s="41">
        <f>MID(VLOOKUP($A178,'Dados ClubeFII'!$A:$AU,column(I178)-$A$5,0),3,100)/1</f>
        <v>239304872.9</v>
      </c>
      <c r="J178" s="42" t="str">
        <f>VLOOKUP($A178,'Dados ClubeFII'!$A:$AU,column(J178)-$A$5,0)/mid(VLOOKUP($A178,'Dados ClubeFII'!$A:$AU,2,0),3,SEARCH(",",VLOOKUP($A178,'Dados ClubeFII'!$A:$AU,2,0)))*B178</f>
        <v>#DIV/0!</v>
      </c>
      <c r="K178" s="41" t="str">
        <f>if(VLOOKUP($A178,'Dados ClubeFII'!$A:$AU,column(K178)-$A$5,0)="N/D",0,MID(VLOOKUP($A178,'Dados ClubeFII'!$A:$AU,column(K178)-$A$5,0),3,100)/1)/mid(VLOOKUP($A178,'Dados ClubeFII'!$A:$AU,2,0),3,SEARCH(",",VLOOKUP($A178,'Dados ClubeFII'!$A:$AU,2,0)))*B178</f>
        <v>#DIV/0!</v>
      </c>
      <c r="L178" s="41">
        <f>if(VLOOKUP($A178,'Dados ClubeFII'!$A:$AU,column(L178)-$A$5,0)="N/D",0,MID(VLOOKUP($A178,'Dados ClubeFII'!$A:$AU,column(L178)-$A$5,0),3,100)/1)</f>
        <v>3689.28</v>
      </c>
      <c r="M178" s="41">
        <f>MID(VLOOKUP($A178,'Dados ClubeFII'!$A:$AU,column(M178)-$A$5,0),3,100)/1</f>
        <v>0.88</v>
      </c>
      <c r="N178" s="41">
        <f>MID(VLOOKUP($A178,'Dados ClubeFII'!$A:$AU,column(N178)-$A$5,0),3,100)/1</f>
        <v>21.89</v>
      </c>
      <c r="O178" s="41">
        <f>LEFT(VLOOKUP($A178,'Dados ClubeFII'!$A:$AU,column(O178)-$A$5,0),len(VLOOKUP($A178,'Dados ClubeFII'!$A:$AU,column(O178)-$A$5,0))-2)/1</f>
        <v>64865</v>
      </c>
      <c r="P178" s="43">
        <f>VLOOKUP($A178,'Dados ClubeFII'!$A:$AU,column(P178)-$A$5,0)</f>
        <v>44964</v>
      </c>
      <c r="Q178" s="44" t="str">
        <f>VLOOKUP($A178,'Dados ClubeFII'!$A:$AU,column(Q178)-$A$5,0)/mid(VLOOKUP($A178,'Dados ClubeFII'!$A:$AU,2,0),3,SEARCH(",",VLOOKUP($A178,'Dados ClubeFII'!$A:$AU,2,0)))*B178</f>
        <v>#DIV/0!</v>
      </c>
      <c r="R178" s="44" t="str">
        <f>VLOOKUP($A178,'Dados ClubeFII'!$A:$AU,column(R178)-$A$5,0)/mid(VLOOKUP($A178,'Dados ClubeFII'!$A:$AU,2,0),3,SEARCH(",",VLOOKUP($A178,'Dados ClubeFII'!$A:$AU,2,0)))*B178</f>
        <v>#DIV/0!</v>
      </c>
      <c r="S178" s="43" t="str">
        <f>VLOOKUP($A178,'Dados ClubeFII'!$A:$AU,column(S178)-$A$5,0)</f>
        <v>N/D</v>
      </c>
      <c r="T178" s="41">
        <f>MID(VLOOKUP($A178,'Dados ClubeFII'!$A:$AU,column(T178)-$A$5,0),3,100)/1</f>
        <v>10000</v>
      </c>
      <c r="U178" s="45" t="str">
        <f>VLOOKUP($A178,'Dados ClubeFII'!$A:$AU,column(U178)-$A$5,0)/mid(VLOOKUP($A178,'Dados ClubeFII'!$A:$AU,2,0),4,SEARCH(",",VLOOKUP($A178,'Dados ClubeFII'!$A:$AU,2,0))-1)*B178</f>
        <v>#DIV/0!</v>
      </c>
      <c r="V178" s="42" t="str">
        <f>VLOOKUP($A178,'Dados ClubeFII'!$A:$AU,column(V178)-$A$5,0)</f>
        <v>N/D</v>
      </c>
      <c r="W178" s="43" t="str">
        <f>VLOOKUP($A178,'Dados ClubeFII'!$A:$AU,column(W178)-$A$5,0)</f>
        <v>N/D</v>
      </c>
      <c r="X178" s="45">
        <f>VLOOKUP($A178,'Dados ClubeFII'!$A:$AU,column(X178)-$A$5,0)</f>
        <v>0</v>
      </c>
      <c r="Y178" s="41">
        <f>MID(VLOOKUP($A178,'Dados ClubeFII'!$A:$AU,column(Y178)-$A$5,0),3,100)/1</f>
        <v>0</v>
      </c>
      <c r="Z178" s="46">
        <f>VLOOKUP($A178,'Dados ClubeFII'!$A:$AU,column(Z178)-$A$5,0)</f>
        <v>55</v>
      </c>
      <c r="AA178" s="47" t="str">
        <f t="shared" si="2"/>
        <v>#DIV/0!</v>
      </c>
      <c r="AB178" s="48" t="str">
        <f t="shared" si="3"/>
        <v>#DIV/0!</v>
      </c>
      <c r="AC178" s="48"/>
      <c r="AD178" s="48"/>
      <c r="AE178" s="48"/>
    </row>
    <row r="179">
      <c r="A179" s="37" t="s">
        <v>202</v>
      </c>
      <c r="B179" s="38">
        <f>IFERROR(__xludf.DUMMYFUNCTION("GOOGLEFINANCE(A179)"),0.0)</f>
        <v>0</v>
      </c>
      <c r="C179" s="38">
        <f>IFERROR(__xludf.DUMMYFUNCTION("GOOGLEFINANCE($A179,""high52"")"),218.64)</f>
        <v>218.64</v>
      </c>
      <c r="D179" s="39">
        <f t="shared" si="4"/>
        <v>-1</v>
      </c>
      <c r="E179" s="40" t="str">
        <f>VLOOKUP($A179,'Dados ClubeFII'!$A:$AU,column(E179)-$A$5,0)</f>
        <v>Vereda</v>
      </c>
      <c r="F179" s="40" t="str">
        <f>VLOOKUP($A179,'Dados ClubeFII'!$A:$AU,column(F179)-$A$5,0)</f>
        <v>VOTORANTIM</v>
      </c>
      <c r="G179" s="40" t="str">
        <f>VLOOKUP($A179,'Dados ClubeFII'!$A:$AU,column(G179)-$A$5,0)</f>
        <v>Lajes Comerciais</v>
      </c>
      <c r="H179" s="41" t="str">
        <f>MID(VLOOKUP($A179,'Dados ClubeFII'!$A:$AU,COLUMN(H179)-$A$5,0),3,100)/MID(VLOOKUP($A179,'Dados ClubeFII'!$A:$AU,2,0),3,SEARCH(",",VLOOKUP($A179,'Dados ClubeFII'!$A:$AU,2,0)))*B179</f>
        <v>#DIV/0!</v>
      </c>
      <c r="I179" s="41">
        <f>MID(VLOOKUP($A179,'Dados ClubeFII'!$A:$AU,column(I179)-$A$5,0),3,100)/1</f>
        <v>191065487.2</v>
      </c>
      <c r="J179" s="42" t="str">
        <f>VLOOKUP($A179,'Dados ClubeFII'!$A:$AU,column(J179)-$A$5,0)/mid(VLOOKUP($A179,'Dados ClubeFII'!$A:$AU,2,0),3,SEARCH(",",VLOOKUP($A179,'Dados ClubeFII'!$A:$AU,2,0)))*B179</f>
        <v>#DIV/0!</v>
      </c>
      <c r="K179" s="41" t="str">
        <f>if(VLOOKUP($A179,'Dados ClubeFII'!$A:$AU,column(K179)-$A$5,0)="N/D",0,MID(VLOOKUP($A179,'Dados ClubeFII'!$A:$AU,column(K179)-$A$5,0),3,100)/1)/mid(VLOOKUP($A179,'Dados ClubeFII'!$A:$AU,2,0),3,SEARCH(",",VLOOKUP($A179,'Dados ClubeFII'!$A:$AU,2,0)))*B179</f>
        <v>#DIV/0!</v>
      </c>
      <c r="L179" s="41">
        <f>if(VLOOKUP($A179,'Dados ClubeFII'!$A:$AU,column(L179)-$A$5,0)="N/D",0,MID(VLOOKUP($A179,'Dados ClubeFII'!$A:$AU,column(L179)-$A$5,0),3,100)/1)</f>
        <v>2490.3</v>
      </c>
      <c r="M179" s="41">
        <f>MID(VLOOKUP($A179,'Dados ClubeFII'!$A:$AU,column(M179)-$A$5,0),3,100)/1</f>
        <v>2.07</v>
      </c>
      <c r="N179" s="41">
        <f>MID(VLOOKUP($A179,'Dados ClubeFII'!$A:$AU,column(N179)-$A$5,0),3,100)/1</f>
        <v>15.41</v>
      </c>
      <c r="O179" s="41">
        <f>LEFT(VLOOKUP($A179,'Dados ClubeFII'!$A:$AU,column(O179)-$A$5,0),len(VLOOKUP($A179,'Dados ClubeFII'!$A:$AU,column(O179)-$A$5,0))-2)/1</f>
        <v>76724</v>
      </c>
      <c r="P179" s="43">
        <f>VLOOKUP($A179,'Dados ClubeFII'!$A:$AU,column(P179)-$A$5,0)</f>
        <v>44967</v>
      </c>
      <c r="Q179" s="44" t="str">
        <f>VLOOKUP($A179,'Dados ClubeFII'!$A:$AU,column(Q179)-$A$5,0)/mid(VLOOKUP($A179,'Dados ClubeFII'!$A:$AU,2,0),3,SEARCH(",",VLOOKUP($A179,'Dados ClubeFII'!$A:$AU,2,0)))*B179</f>
        <v>#DIV/0!</v>
      </c>
      <c r="R179" s="44" t="str">
        <f>VLOOKUP($A179,'Dados ClubeFII'!$A:$AU,column(R179)-$A$5,0)/mid(VLOOKUP($A179,'Dados ClubeFII'!$A:$AU,2,0),3,SEARCH(",",VLOOKUP($A179,'Dados ClubeFII'!$A:$AU,2,0)))*B179</f>
        <v>#DIV/0!</v>
      </c>
      <c r="S179" s="43">
        <f>VLOOKUP($A179,'Dados ClubeFII'!$A:$AU,column(S179)-$A$5,0)</f>
        <v>41642</v>
      </c>
      <c r="T179" s="41">
        <f>MID(VLOOKUP($A179,'Dados ClubeFII'!$A:$AU,column(T179)-$A$5,0),3,100)/1</f>
        <v>100</v>
      </c>
      <c r="U179" s="45" t="str">
        <f>VLOOKUP($A179,'Dados ClubeFII'!$A:$AU,column(U179)-$A$5,0)/mid(VLOOKUP($A179,'Dados ClubeFII'!$A:$AU,2,0),4,SEARCH(",",VLOOKUP($A179,'Dados ClubeFII'!$A:$AU,2,0))-1)*B179</f>
        <v>#DIV/0!</v>
      </c>
      <c r="V179" s="42" t="str">
        <f>VLOOKUP($A179,'Dados ClubeFII'!$A:$AU,column(V179)-$A$5,0)</f>
        <v>N/D</v>
      </c>
      <c r="W179" s="43" t="str">
        <f>VLOOKUP($A179,'Dados ClubeFII'!$A:$AU,column(W179)-$A$5,0)</f>
        <v>N/D</v>
      </c>
      <c r="X179" s="45">
        <f>VLOOKUP($A179,'Dados ClubeFII'!$A:$AU,column(X179)-$A$5,0)</f>
        <v>0</v>
      </c>
      <c r="Y179" s="41">
        <f>MID(VLOOKUP($A179,'Dados ClubeFII'!$A:$AU,column(Y179)-$A$5,0),3,100)/1</f>
        <v>0</v>
      </c>
      <c r="Z179" s="46">
        <f>VLOOKUP($A179,'Dados ClubeFII'!$A:$AU,column(Z179)-$A$5,0)</f>
        <v>54</v>
      </c>
      <c r="AA179" s="47" t="str">
        <f t="shared" si="2"/>
        <v>#DIV/0!</v>
      </c>
      <c r="AB179" s="48" t="str">
        <f t="shared" si="3"/>
        <v>#DIV/0!</v>
      </c>
      <c r="AC179" s="48"/>
      <c r="AD179" s="48"/>
      <c r="AE179" s="48"/>
    </row>
    <row r="180">
      <c r="A180" s="37" t="s">
        <v>203</v>
      </c>
      <c r="B180" s="38">
        <f>IFERROR(__xludf.DUMMYFUNCTION("GOOGLEFINANCE(A180)"),998.0)</f>
        <v>998</v>
      </c>
      <c r="C180" s="38">
        <f>IFERROR(__xludf.DUMMYFUNCTION("GOOGLEFINANCE($A180,""high52"")"),998.0)</f>
        <v>998</v>
      </c>
      <c r="D180" s="39">
        <f t="shared" si="4"/>
        <v>0</v>
      </c>
      <c r="E180" s="40" t="str">
        <f>VLOOKUP($A180,'Dados ClubeFII'!$A:$AU,column(E180)-$A$5,0)</f>
        <v>Genesis Multiestratégia</v>
      </c>
      <c r="F180" s="40" t="str">
        <f>VLOOKUP($A180,'Dados ClubeFII'!$A:$AU,column(F180)-$A$5,0)</f>
        <v>GENESIS CAPITAL</v>
      </c>
      <c r="G180" s="40" t="str">
        <f>VLOOKUP($A180,'Dados ClubeFII'!$A:$AU,column(G180)-$A$5,0)</f>
        <v>Incorporação</v>
      </c>
      <c r="H180" s="41">
        <f>MID(VLOOKUP($A180,'Dados ClubeFII'!$A:$AU,column(H180)-$A$5,0),3,100)/mid(VLOOKUP($A180,'Dados ClubeFII'!$A:$AU,2,0),4,SEARCH(",",VLOOKUP($A180,'Dados ClubeFII'!$A:$AU,2,0))-1)*B180</f>
        <v>3528810236</v>
      </c>
      <c r="I180" s="41">
        <f>MID(VLOOKUP($A180,'Dados ClubeFII'!$A:$AU,column(I180)-$A$5,0),3,100)/1</f>
        <v>249711450.2</v>
      </c>
      <c r="J180" s="42">
        <f>VLOOKUP($A180,'Dados ClubeFII'!$A:$AU,column(J180)-$A$5,0)/mid(VLOOKUP($A180,'Dados ClubeFII'!$A:$AU,2,0),3,SEARCH(",",VLOOKUP($A180,'Dados ClubeFII'!$A:$AU,2,0)))*B180</f>
        <v>1.056464543</v>
      </c>
      <c r="K180" s="41">
        <f>if(VLOOKUP($A180,'Dados ClubeFII'!$A:$AU,column(K180)-$A$5,0)="N/D",0,MID(VLOOKUP($A180,'Dados ClubeFII'!$A:$AU,column(K180)-$A$5,0),3,100)/1)/mid(VLOOKUP($A180,'Dados ClubeFII'!$A:$AU,2,0),3,SEARCH(",",VLOOKUP($A180,'Dados ClubeFII'!$A:$AU,2,0)))*B180</f>
        <v>0</v>
      </c>
      <c r="L180" s="41">
        <f>if(VLOOKUP($A180,'Dados ClubeFII'!$A:$AU,column(L180)-$A$5,0)="N/D",0,MID(VLOOKUP($A180,'Dados ClubeFII'!$A:$AU,column(L180)-$A$5,0),3,100)/1)</f>
        <v>0</v>
      </c>
      <c r="M180" s="41">
        <f>MID(VLOOKUP($A180,'Dados ClubeFII'!$A:$AU,column(M180)-$A$5,0),3,100)/1</f>
        <v>0</v>
      </c>
      <c r="N180" s="41">
        <f>MID(VLOOKUP($A180,'Dados ClubeFII'!$A:$AU,column(N180)-$A$5,0),3,100)/1</f>
        <v>0</v>
      </c>
      <c r="O180" s="41">
        <f>LEFT(VLOOKUP($A180,'Dados ClubeFII'!$A:$AU,column(O180)-$A$5,0),len(VLOOKUP($A180,'Dados ClubeFII'!$A:$AU,column(O180)-$A$5,0))-2)/1</f>
        <v>0</v>
      </c>
      <c r="P180" s="43">
        <f>VLOOKUP($A180,'Dados ClubeFII'!$A:$AU,column(P180)-$A$5,0)</f>
        <v>44957</v>
      </c>
      <c r="Q180" s="44">
        <f>VLOOKUP($A180,'Dados ClubeFII'!$A:$AU,column(Q180)-$A$5,0)/mid(VLOOKUP($A180,'Dados ClubeFII'!$A:$AU,2,0),3,SEARCH(",",VLOOKUP($A180,'Dados ClubeFII'!$A:$AU,2,0)))*B180</f>
        <v>0</v>
      </c>
      <c r="R180" s="44">
        <f>VLOOKUP($A180,'Dados ClubeFII'!$A:$AU,column(R180)-$A$5,0)/mid(VLOOKUP($A180,'Dados ClubeFII'!$A:$AU,2,0),3,SEARCH(",",VLOOKUP($A180,'Dados ClubeFII'!$A:$AU,2,0)))*B180</f>
        <v>0</v>
      </c>
      <c r="S180" s="43" t="str">
        <f>VLOOKUP($A180,'Dados ClubeFII'!$A:$AU,column(S180)-$A$5,0)</f>
        <v>N/D</v>
      </c>
      <c r="T180" s="41">
        <f>MID(VLOOKUP($A180,'Dados ClubeFII'!$A:$AU,column(T180)-$A$5,0),3,100)/1</f>
        <v>100</v>
      </c>
      <c r="U180" s="45">
        <f>VLOOKUP($A180,'Dados ClubeFII'!$A:$AU,column(U180)-$A$5,0)/mid(VLOOKUP($A180,'Dados ClubeFII'!$A:$AU,2,0),4,SEARCH(",",VLOOKUP($A180,'Dados ClubeFII'!$A:$AU,2,0))-1)*B180</f>
        <v>0.1845616438</v>
      </c>
      <c r="V180" s="42" t="str">
        <f>VLOOKUP($A180,'Dados ClubeFII'!$A:$AU,column(V180)-$A$5,0)</f>
        <v>N/D</v>
      </c>
      <c r="W180" s="43" t="str">
        <f>VLOOKUP($A180,'Dados ClubeFII'!$A:$AU,column(W180)-$A$5,0)</f>
        <v>N/D</v>
      </c>
      <c r="X180" s="45">
        <f>VLOOKUP($A180,'Dados ClubeFII'!$A:$AU,column(X180)-$A$5,0)</f>
        <v>0</v>
      </c>
      <c r="Y180" s="41">
        <f>MID(VLOOKUP($A180,'Dados ClubeFII'!$A:$AU,column(Y180)-$A$5,0),3,100)/1</f>
        <v>2508251</v>
      </c>
      <c r="Z180" s="46">
        <f>VLOOKUP($A180,'Dados ClubeFII'!$A:$AU,column(Z180)-$A$5,0)</f>
        <v>22</v>
      </c>
      <c r="AA180" s="47">
        <f t="shared" si="2"/>
        <v>3535882</v>
      </c>
      <c r="AB180" s="48">
        <f t="shared" si="3"/>
        <v>70.62211075</v>
      </c>
      <c r="AC180" s="17"/>
      <c r="AD180" s="17"/>
      <c r="AE180" s="17"/>
    </row>
    <row r="181">
      <c r="A181" s="49" t="s">
        <v>204</v>
      </c>
      <c r="B181" s="38">
        <f>IFERROR(__xludf.DUMMYFUNCTION("GOOGLEFINANCE(A181)"),66.6)</f>
        <v>66.6</v>
      </c>
      <c r="C181" s="38">
        <f>IFERROR(__xludf.DUMMYFUNCTION("GOOGLEFINANCE($A181,""high52"")"),83.32)</f>
        <v>83.32</v>
      </c>
      <c r="D181" s="39">
        <f t="shared" si="4"/>
        <v>-0.2006721075</v>
      </c>
      <c r="E181" s="40" t="str">
        <f>VLOOKUP($A181,'Dados ClubeFII'!$A:$AU,column(E181)-$A$5,0)</f>
        <v>West Plaza</v>
      </c>
      <c r="F181" s="40" t="str">
        <f>VLOOKUP($A181,'Dados ClubeFII'!$A:$AU,column(F181)-$A$5,0)</f>
        <v>HEDGE INVESTMENTS</v>
      </c>
      <c r="G181" s="40" t="str">
        <f>VLOOKUP($A181,'Dados ClubeFII'!$A:$AU,column(G181)-$A$5,0)</f>
        <v>Shopping/Varejo</v>
      </c>
      <c r="H181" s="41">
        <f>MID(VLOOKUP($A181,'Dados ClubeFII'!$A:$AU,COLUMN(H181)-$A$5,0),3,100)/MID(VLOOKUP($A181,'Dados ClubeFII'!$A:$AU,2,0),3,SEARCH(",",VLOOKUP($A181,'Dados ClubeFII'!$A:$AU,2,0)))*B181</f>
        <v>67972052.38</v>
      </c>
      <c r="I181" s="41">
        <f>MID(VLOOKUP($A181,'Dados ClubeFII'!$A:$AU,column(I181)-$A$5,0),3,100)/1</f>
        <v>89651439.97</v>
      </c>
      <c r="J181" s="42">
        <f>VLOOKUP($A181,'Dados ClubeFII'!$A:$AU,column(J181)-$A$5,0)/mid(VLOOKUP($A181,'Dados ClubeFII'!$A:$AU,2,0),3,SEARCH(",",VLOOKUP($A181,'Dados ClubeFII'!$A:$AU,2,0)))*B181</f>
        <v>0.7600570613</v>
      </c>
      <c r="K181" s="41">
        <f>if(VLOOKUP($A181,'Dados ClubeFII'!$A:$AU,column(K181)-$A$5,0)="N/D",0,MID(VLOOKUP($A181,'Dados ClubeFII'!$A:$AU,column(K181)-$A$5,0),3,100)/1)/mid(VLOOKUP($A181,'Dados ClubeFII'!$A:$AU,2,0),3,SEARCH(",",VLOOKUP($A181,'Dados ClubeFII'!$A:$AU,2,0)))*B181</f>
        <v>6160.23398</v>
      </c>
      <c r="L181" s="41">
        <f>if(VLOOKUP($A181,'Dados ClubeFII'!$A:$AU,column(L181)-$A$5,0)="N/D",0,MID(VLOOKUP($A181,'Dados ClubeFII'!$A:$AU,column(L181)-$A$5,0),3,100)/1)</f>
        <v>8125.02</v>
      </c>
      <c r="M181" s="41">
        <f>MID(VLOOKUP($A181,'Dados ClubeFII'!$A:$AU,column(M181)-$A$5,0),3,100)/1</f>
        <v>0.45</v>
      </c>
      <c r="N181" s="41">
        <f>MID(VLOOKUP($A181,'Dados ClubeFII'!$A:$AU,column(N181)-$A$5,0),3,100)/1</f>
        <v>41.63</v>
      </c>
      <c r="O181" s="41">
        <f>LEFT(VLOOKUP($A181,'Dados ClubeFII'!$A:$AU,column(O181)-$A$5,0),len(VLOOKUP($A181,'Dados ClubeFII'!$A:$AU,column(O181)-$A$5,0))-2)/1</f>
        <v>11034</v>
      </c>
      <c r="P181" s="43">
        <f>VLOOKUP($A181,'Dados ClubeFII'!$A:$AU,column(P181)-$A$5,0)</f>
        <v>44971</v>
      </c>
      <c r="Q181" s="44">
        <f>VLOOKUP($A181,'Dados ClubeFII'!$A:$AU,column(Q181)-$A$5,0)/mid(VLOOKUP($A181,'Dados ClubeFII'!$A:$AU,2,0),3,SEARCH(",",VLOOKUP($A181,'Dados ClubeFII'!$A:$AU,2,0)))*B181</f>
        <v>0.07581569187</v>
      </c>
      <c r="R181" s="44">
        <f>VLOOKUP($A181,'Dados ClubeFII'!$A:$AU,column(R181)-$A$5,0)/mid(VLOOKUP($A181,'Dados ClubeFII'!$A:$AU,2,0),3,SEARCH(",",VLOOKUP($A181,'Dados ClubeFII'!$A:$AU,2,0)))*B181</f>
        <v>0.07049529244</v>
      </c>
      <c r="S181" s="43">
        <f>VLOOKUP($A181,'Dados ClubeFII'!$A:$AU,column(S181)-$A$5,0)</f>
        <v>39672</v>
      </c>
      <c r="T181" s="41">
        <f>MID(VLOOKUP($A181,'Dados ClubeFII'!$A:$AU,column(T181)-$A$5,0),3,100)/1</f>
        <v>100</v>
      </c>
      <c r="U181" s="45">
        <f>VLOOKUP($A181,'Dados ClubeFII'!$A:$AU,column(U181)-$A$5,0)/mid(VLOOKUP($A181,'Dados ClubeFII'!$A:$AU,2,0),4,SEARCH(",",VLOOKUP($A181,'Dados ClubeFII'!$A:$AU,2,0))-1)*B181</f>
        <v>-88.6446</v>
      </c>
      <c r="V181" s="42">
        <f>VLOOKUP($A181,'Dados ClubeFII'!$A:$AU,column(V181)-$A$5,0)</f>
        <v>0.114</v>
      </c>
      <c r="W181" s="43" t="str">
        <f>VLOOKUP($A181,'Dados ClubeFII'!$A:$AU,column(W181)-$A$5,0)</f>
        <v>N/D</v>
      </c>
      <c r="X181" s="45">
        <f>VLOOKUP($A181,'Dados ClubeFII'!$A:$AU,column(X181)-$A$5,0)</f>
        <v>0</v>
      </c>
      <c r="Y181" s="41">
        <f>MID(VLOOKUP($A181,'Dados ClubeFII'!$A:$AU,column(Y181)-$A$5,0),3,100)/1</f>
        <v>6072.36</v>
      </c>
      <c r="Z181" s="46">
        <f>VLOOKUP($A181,'Dados ClubeFII'!$A:$AU,column(Z181)-$A$5,0)</f>
        <v>1835</v>
      </c>
      <c r="AA181" s="47">
        <f t="shared" si="2"/>
        <v>1020601</v>
      </c>
      <c r="AB181" s="48">
        <f t="shared" si="3"/>
        <v>87.84181083</v>
      </c>
      <c r="AC181" s="48"/>
      <c r="AD181" s="48"/>
      <c r="AE181" s="48"/>
    </row>
    <row r="182">
      <c r="A182" s="37" t="s">
        <v>205</v>
      </c>
      <c r="B182" s="38">
        <f>IFERROR(__xludf.DUMMYFUNCTION("GOOGLEFINANCE(A182)"),106.0)</f>
        <v>106</v>
      </c>
      <c r="C182" s="38">
        <f>IFERROR(__xludf.DUMMYFUNCTION("GOOGLEFINANCE($A182,""high52"")"),118.83)</f>
        <v>118.83</v>
      </c>
      <c r="D182" s="39">
        <f t="shared" si="4"/>
        <v>-0.107969368</v>
      </c>
      <c r="E182" s="40" t="str">
        <f>VLOOKUP($A182,'Dados ClubeFII'!$A:$AU,column(E182)-$A$5,0)</f>
        <v>XP Hotéis (Cota Sênior)</v>
      </c>
      <c r="F182" s="40" t="str">
        <f>VLOOKUP($A182,'Dados ClubeFII'!$A:$AU,column(F182)-$A$5,0)</f>
        <v>XP Vista</v>
      </c>
      <c r="G182" s="40" t="str">
        <f>VLOOKUP($A182,'Dados ClubeFII'!$A:$AU,column(G182)-$A$5,0)</f>
        <v>Hoteis</v>
      </c>
      <c r="H182" s="41">
        <f>MID(VLOOKUP($A182,'Dados ClubeFII'!$A:$AU,column(H182)-$A$5,0),3,100)/mid(VLOOKUP($A182,'Dados ClubeFII'!$A:$AU,2,0),4,SEARCH(",",VLOOKUP($A182,'Dados ClubeFII'!$A:$AU,2,0))-1)*B182</f>
        <v>6049380780</v>
      </c>
      <c r="I182" s="41">
        <f>MID(VLOOKUP($A182,'Dados ClubeFII'!$A:$AU,column(I182)-$A$5,0),3,100)/1</f>
        <v>358896011</v>
      </c>
      <c r="J182" s="42">
        <f>VLOOKUP($A182,'Dados ClubeFII'!$A:$AU,column(J182)-$A$5,0)/mid(VLOOKUP($A182,'Dados ClubeFII'!$A:$AU,2,0),3,SEARCH(",",VLOOKUP($A182,'Dados ClubeFII'!$A:$AU,2,0)))*B182</f>
        <v>1.099626168</v>
      </c>
      <c r="K182" s="41">
        <f>if(VLOOKUP($A182,'Dados ClubeFII'!$A:$AU,column(K182)-$A$5,0)="N/D",0,MID(VLOOKUP($A182,'Dados ClubeFII'!$A:$AU,column(K182)-$A$5,0),3,100)/1)/mid(VLOOKUP($A182,'Dados ClubeFII'!$A:$AU,2,0),3,SEARCH(",",VLOOKUP($A182,'Dados ClubeFII'!$A:$AU,2,0)))*B182</f>
        <v>11946.92318</v>
      </c>
      <c r="L182" s="41">
        <f>if(VLOOKUP($A182,'Dados ClubeFII'!$A:$AU,column(L182)-$A$5,0)="N/D",0,MID(VLOOKUP($A182,'Dados ClubeFII'!$A:$AU,column(L182)-$A$5,0),3,100)/1)</f>
        <v>10834.27</v>
      </c>
      <c r="M182" s="41">
        <f>MID(VLOOKUP($A182,'Dados ClubeFII'!$A:$AU,column(M182)-$A$5,0),3,100)/1</f>
        <v>1.25</v>
      </c>
      <c r="N182" s="41">
        <f>MID(VLOOKUP($A182,'Dados ClubeFII'!$A:$AU,column(N182)-$A$5,0),3,100)/1</f>
        <v>143.57</v>
      </c>
      <c r="O182" s="41">
        <f>LEFT(VLOOKUP($A182,'Dados ClubeFII'!$A:$AU,column(O182)-$A$5,0),len(VLOOKUP($A182,'Dados ClubeFII'!$A:$AU,column(O182)-$A$5,0))-2)/1</f>
        <v>33126</v>
      </c>
      <c r="P182" s="43">
        <f>VLOOKUP($A182,'Dados ClubeFII'!$A:$AU,column(P182)-$A$5,0)</f>
        <v>44971</v>
      </c>
      <c r="Q182" s="44">
        <f>VLOOKUP($A182,'Dados ClubeFII'!$A:$AU,column(Q182)-$A$5,0)/mid(VLOOKUP($A182,'Dados ClubeFII'!$A:$AU,2,0),3,SEARCH(",",VLOOKUP($A182,'Dados ClubeFII'!$A:$AU,2,0)))*B182</f>
        <v>0.1511738318</v>
      </c>
      <c r="R182" s="44">
        <f>VLOOKUP($A182,'Dados ClubeFII'!$A:$AU,column(R182)-$A$5,0)/mid(VLOOKUP($A182,'Dados ClubeFII'!$A:$AU,2,0),3,SEARCH(",",VLOOKUP($A182,'Dados ClubeFII'!$A:$AU,2,0)))*B182</f>
        <v>0.0910411215</v>
      </c>
      <c r="S182" s="43">
        <f>VLOOKUP($A182,'Dados ClubeFII'!$A:$AU,column(S182)-$A$5,0)</f>
        <v>43579</v>
      </c>
      <c r="T182" s="41">
        <f>MID(VLOOKUP($A182,'Dados ClubeFII'!$A:$AU,column(T182)-$A$5,0),3,100)/1</f>
        <v>100</v>
      </c>
      <c r="U182" s="45">
        <f>VLOOKUP($A182,'Dados ClubeFII'!$A:$AU,column(U182)-$A$5,0)/mid(VLOOKUP($A182,'Dados ClubeFII'!$A:$AU,2,0),4,SEARCH(",",VLOOKUP($A182,'Dados ClubeFII'!$A:$AU,2,0))-1)*B182</f>
        <v>-0.9464285714</v>
      </c>
      <c r="V182" s="42">
        <f>VLOOKUP($A182,'Dados ClubeFII'!$A:$AU,column(V182)-$A$5,0)</f>
        <v>0.327</v>
      </c>
      <c r="W182" s="43" t="str">
        <f>VLOOKUP($A182,'Dados ClubeFII'!$A:$AU,column(W182)-$A$5,0)</f>
        <v>N/D</v>
      </c>
      <c r="X182" s="45">
        <f>VLOOKUP($A182,'Dados ClubeFII'!$A:$AU,column(X182)-$A$5,0)</f>
        <v>0</v>
      </c>
      <c r="Y182" s="41">
        <f>MID(VLOOKUP($A182,'Dados ClubeFII'!$A:$AU,column(Y182)-$A$5,0),3,100)/1</f>
        <v>13497.57</v>
      </c>
      <c r="Z182" s="46">
        <f>VLOOKUP($A182,'Dados ClubeFII'!$A:$AU,column(Z182)-$A$5,0)</f>
        <v>1274</v>
      </c>
      <c r="AA182" s="47">
        <f t="shared" si="2"/>
        <v>57069630</v>
      </c>
      <c r="AB182" s="48">
        <f t="shared" si="3"/>
        <v>6.288739055</v>
      </c>
      <c r="AC182" s="48"/>
      <c r="AD182" s="48"/>
      <c r="AE182" s="48"/>
    </row>
    <row r="183">
      <c r="A183" s="49" t="s">
        <v>206</v>
      </c>
      <c r="B183" s="38">
        <f>IFERROR(__xludf.DUMMYFUNCTION("GOOGLEFINANCE(A183)"),26.1)</f>
        <v>26.1</v>
      </c>
      <c r="C183" s="38">
        <f>IFERROR(__xludf.DUMMYFUNCTION("GOOGLEFINANCE($A183,""high52"")"),40.0)</f>
        <v>40</v>
      </c>
      <c r="D183" s="39">
        <f t="shared" si="4"/>
        <v>-0.3475</v>
      </c>
      <c r="E183" s="40" t="str">
        <f>VLOOKUP($A183,'Dados ClubeFII'!$A:$AU,column(E183)-$A$5,0)</f>
        <v>XP Hotéis (Cota Ordinária)</v>
      </c>
      <c r="F183" s="40" t="str">
        <f>VLOOKUP($A183,'Dados ClubeFII'!$A:$AU,column(F183)-$A$5,0)</f>
        <v>XP Vista</v>
      </c>
      <c r="G183" s="40" t="str">
        <f>VLOOKUP($A183,'Dados ClubeFII'!$A:$AU,column(G183)-$A$5,0)</f>
        <v>Hoteis</v>
      </c>
      <c r="H183" s="41">
        <f>MID(VLOOKUP($A183,'Dados ClubeFII'!$A:$AU,column(H183)-$A$5,0),3,100)/mid(VLOOKUP($A183,'Dados ClubeFII'!$A:$AU,2,0),4,SEARCH(",",VLOOKUP($A183,'Dados ClubeFII'!$A:$AU,2,0))-1)*B183</f>
        <v>769.95</v>
      </c>
      <c r="I183" s="41" t="str">
        <f>MID(VLOOKUP($A183,'Dados ClubeFII'!$A:$AU,column(I183)-$A$5,0),3,100)/1</f>
        <v>#VALUE!</v>
      </c>
      <c r="J183" s="42" t="str">
        <f>VLOOKUP($A183,'Dados ClubeFII'!$A:$AU,column(J183)-$A$5,0)/mid(VLOOKUP($A183,'Dados ClubeFII'!$A:$AU,2,0),3,SEARCH(",",VLOOKUP($A183,'Dados ClubeFII'!$A:$AU,2,0)))*B183</f>
        <v>#VALUE!</v>
      </c>
      <c r="K183" s="41">
        <f>if(VLOOKUP($A183,'Dados ClubeFII'!$A:$AU,column(K183)-$A$5,0)="N/D",0,MID(VLOOKUP($A183,'Dados ClubeFII'!$A:$AU,column(K183)-$A$5,0),3,100)/1)/mid(VLOOKUP($A183,'Dados ClubeFII'!$A:$AU,2,0),3,SEARCH(",",VLOOKUP($A183,'Dados ClubeFII'!$A:$AU,2,0)))*B183</f>
        <v>0.009</v>
      </c>
      <c r="L183" s="41">
        <f>if(VLOOKUP($A183,'Dados ClubeFII'!$A:$AU,column(L183)-$A$5,0)="N/D",0,MID(VLOOKUP($A183,'Dados ClubeFII'!$A:$AU,column(L183)-$A$5,0),3,100)/1)</f>
        <v>0</v>
      </c>
      <c r="M183" s="41">
        <f>MID(VLOOKUP($A183,'Dados ClubeFII'!$A:$AU,column(M183)-$A$5,0),3,100)/1</f>
        <v>0</v>
      </c>
      <c r="N183" s="41">
        <f>MID(VLOOKUP($A183,'Dados ClubeFII'!$A:$AU,column(N183)-$A$5,0),3,100)/1</f>
        <v>0</v>
      </c>
      <c r="O183" s="41">
        <f>LEFT(VLOOKUP($A183,'Dados ClubeFII'!$A:$AU,column(O183)-$A$5,0),len(VLOOKUP($A183,'Dados ClubeFII'!$A:$AU,column(O183)-$A$5,0))-2)/1</f>
        <v>33126.19</v>
      </c>
      <c r="P183" s="43">
        <f>VLOOKUP($A183,'Dados ClubeFII'!$A:$AU,column(P183)-$A$5,0)</f>
        <v>44957</v>
      </c>
      <c r="Q183" s="44">
        <f>VLOOKUP($A183,'Dados ClubeFII'!$A:$AU,column(Q183)-$A$5,0)/mid(VLOOKUP($A183,'Dados ClubeFII'!$A:$AU,2,0),3,SEARCH(",",VLOOKUP($A183,'Dados ClubeFII'!$A:$AU,2,0)))*B183</f>
        <v>0</v>
      </c>
      <c r="R183" s="44">
        <f>VLOOKUP($A183,'Dados ClubeFII'!$A:$AU,column(R183)-$A$5,0)/mid(VLOOKUP($A183,'Dados ClubeFII'!$A:$AU,2,0),3,SEARCH(",",VLOOKUP($A183,'Dados ClubeFII'!$A:$AU,2,0)))*B183</f>
        <v>0</v>
      </c>
      <c r="S183" s="43">
        <f>VLOOKUP($A183,'Dados ClubeFII'!$A:$AU,column(S183)-$A$5,0)</f>
        <v>43579</v>
      </c>
      <c r="T183" s="41">
        <f>MID(VLOOKUP($A183,'Dados ClubeFII'!$A:$AU,column(T183)-$A$5,0),3,100)/1</f>
        <v>100</v>
      </c>
      <c r="U183" s="45">
        <f>VLOOKUP($A183,'Dados ClubeFII'!$A:$AU,column(U183)-$A$5,0)/mid(VLOOKUP($A183,'Dados ClubeFII'!$A:$AU,2,0),4,SEARCH(",",VLOOKUP($A183,'Dados ClubeFII'!$A:$AU,2,0))-1)*B183</f>
        <v>-0.38396</v>
      </c>
      <c r="V183" s="42" t="str">
        <f>VLOOKUP($A183,'Dados ClubeFII'!$A:$AU,column(V183)-$A$5,0)</f>
        <v>N/D</v>
      </c>
      <c r="W183" s="43" t="str">
        <f>VLOOKUP($A183,'Dados ClubeFII'!$A:$AU,column(W183)-$A$5,0)</f>
        <v>N/D</v>
      </c>
      <c r="X183" s="45">
        <f>VLOOKUP($A183,'Dados ClubeFII'!$A:$AU,column(X183)-$A$5,0)</f>
        <v>0</v>
      </c>
      <c r="Y183" s="41">
        <f>MID(VLOOKUP($A183,'Dados ClubeFII'!$A:$AU,column(Y183)-$A$5,0),3,100)/1</f>
        <v>21613.97</v>
      </c>
      <c r="Z183" s="40" t="str">
        <f>VLOOKUP($A183,'Dados ClubeFII'!$A:$AU,column(Z183)-$A$5,0)</f>
        <v/>
      </c>
      <c r="AA183" s="47">
        <f t="shared" si="2"/>
        <v>29</v>
      </c>
      <c r="AB183" s="48" t="str">
        <f t="shared" si="3"/>
        <v>#VALUE!</v>
      </c>
      <c r="AC183" s="17"/>
      <c r="AD183" s="17"/>
      <c r="AE183" s="17"/>
    </row>
    <row r="184">
      <c r="A184" s="54" t="s">
        <v>207</v>
      </c>
      <c r="B184" s="38">
        <f>IFERROR(__xludf.DUMMYFUNCTION("GOOGLEFINANCE(A184)"),76.25)</f>
        <v>76.25</v>
      </c>
      <c r="C184" s="38">
        <f>IFERROR(__xludf.DUMMYFUNCTION("GOOGLEFINANCE($A184,""high52"")"),88.47)</f>
        <v>88.47</v>
      </c>
      <c r="D184" s="39">
        <f t="shared" si="4"/>
        <v>-0.1381259184</v>
      </c>
      <c r="E184" s="40" t="str">
        <f>VLOOKUP($A184,'Dados ClubeFII'!$A:$AU,column(E184)-$A$5,0)</f>
        <v>Capitânia Securities II</v>
      </c>
      <c r="F184" s="40" t="str">
        <f>VLOOKUP($A184,'Dados ClubeFII'!$A:$AU,column(F184)-$A$5,0)</f>
        <v>CAPITÂNIA S.A.</v>
      </c>
      <c r="G184" s="40" t="str">
        <f>VLOOKUP($A184,'Dados ClubeFII'!$A:$AU,column(G184)-$A$5,0)</f>
        <v>Recebíveis Imobiliários</v>
      </c>
      <c r="H184" s="41">
        <f>MID(VLOOKUP($A184,'Dados ClubeFII'!$A:$AU,column(H184)-$A$5,0),3,100)/mid(VLOOKUP($A184,'Dados ClubeFII'!$A:$AU,2,0),4,SEARCH(",",VLOOKUP($A184,'Dados ClubeFII'!$A:$AU,2,0))-1)*B184</f>
        <v>26281378611</v>
      </c>
      <c r="I184" s="41">
        <f>MID(VLOOKUP($A184,'Dados ClubeFII'!$A:$AU,column(I184)-$A$5,0),3,100)/1</f>
        <v>2791085184</v>
      </c>
      <c r="J184" s="42">
        <f>VLOOKUP($A184,'Dados ClubeFII'!$A:$AU,column(J184)-$A$5,0)/mid(VLOOKUP($A184,'Dados ClubeFII'!$A:$AU,2,0),3,SEARCH(",",VLOOKUP($A184,'Dados ClubeFII'!$A:$AU,2,0)))*B184</f>
        <v>0.8789340759</v>
      </c>
      <c r="K184" s="41">
        <f>if(VLOOKUP($A184,'Dados ClubeFII'!$A:$AU,column(K184)-$A$5,0)="N/D",0,MID(VLOOKUP($A184,'Dados ClubeFII'!$A:$AU,column(K184)-$A$5,0),3,100)/1)/mid(VLOOKUP($A184,'Dados ClubeFII'!$A:$AU,2,0),3,SEARCH(",",VLOOKUP($A184,'Dados ClubeFII'!$A:$AU,2,0)))*B184</f>
        <v>0</v>
      </c>
      <c r="L184" s="41">
        <f>if(VLOOKUP($A184,'Dados ClubeFII'!$A:$AU,column(L184)-$A$5,0)="N/D",0,MID(VLOOKUP($A184,'Dados ClubeFII'!$A:$AU,column(L184)-$A$5,0),3,100)/1)</f>
        <v>0</v>
      </c>
      <c r="M184" s="41">
        <f>MID(VLOOKUP($A184,'Dados ClubeFII'!$A:$AU,column(M184)-$A$5,0),3,100)/1</f>
        <v>0.75</v>
      </c>
      <c r="N184" s="41">
        <f>MID(VLOOKUP($A184,'Dados ClubeFII'!$A:$AU,column(N184)-$A$5,0),3,100)/1</f>
        <v>0</v>
      </c>
      <c r="O184" s="41">
        <f>LEFT(VLOOKUP($A184,'Dados ClubeFII'!$A:$AU,column(O184)-$A$5,0),len(VLOOKUP($A184,'Dados ClubeFII'!$A:$AU,column(O184)-$A$5,0))-2)/1</f>
        <v>0</v>
      </c>
      <c r="P184" s="43">
        <f>VLOOKUP($A184,'Dados ClubeFII'!$A:$AU,column(P184)-$A$5,0)</f>
        <v>44974</v>
      </c>
      <c r="Q184" s="44">
        <f>VLOOKUP($A184,'Dados ClubeFII'!$A:$AU,column(Q184)-$A$5,0)/mid(VLOOKUP($A184,'Dados ClubeFII'!$A:$AU,2,0),3,SEARCH(",",VLOOKUP($A184,'Dados ClubeFII'!$A:$AU,2,0)))*B184</f>
        <v>0.1198905582</v>
      </c>
      <c r="R184" s="44">
        <f>VLOOKUP($A184,'Dados ClubeFII'!$A:$AU,column(R184)-$A$5,0)/mid(VLOOKUP($A184,'Dados ClubeFII'!$A:$AU,2,0),3,SEARCH(",",VLOOKUP($A184,'Dados ClubeFII'!$A:$AU,2,0)))*B184</f>
        <v>0.1427033415</v>
      </c>
      <c r="S184" s="43">
        <f>VLOOKUP($A184,'Dados ClubeFII'!$A:$AU,column(S184)-$A$5,0)</f>
        <v>41879</v>
      </c>
      <c r="T184" s="41">
        <f>MID(VLOOKUP($A184,'Dados ClubeFII'!$A:$AU,column(T184)-$A$5,0),3,100)/1</f>
        <v>100</v>
      </c>
      <c r="U184" s="45">
        <f>VLOOKUP($A184,'Dados ClubeFII'!$A:$AU,column(U184)-$A$5,0)/mid(VLOOKUP($A184,'Dados ClubeFII'!$A:$AU,2,0),4,SEARCH(",",VLOOKUP($A184,'Dados ClubeFII'!$A:$AU,2,0))-1)*B184</f>
        <v>-0.5023404993</v>
      </c>
      <c r="V184" s="42" t="str">
        <f>VLOOKUP($A184,'Dados ClubeFII'!$A:$AU,column(V184)-$A$5,0)</f>
        <v>N/D</v>
      </c>
      <c r="W184" s="43" t="str">
        <f>VLOOKUP($A184,'Dados ClubeFII'!$A:$AU,column(W184)-$A$5,0)</f>
        <v>N/D</v>
      </c>
      <c r="X184" s="45">
        <f>VLOOKUP($A184,'Dados ClubeFII'!$A:$AU,column(X184)-$A$5,0)</f>
        <v>0.024</v>
      </c>
      <c r="Y184" s="41">
        <f>MID(VLOOKUP($A184,'Dados ClubeFII'!$A:$AU,column(Y184)-$A$5,0),3,100)/1</f>
        <v>6490215.97</v>
      </c>
      <c r="Z184" s="46">
        <f>VLOOKUP($A184,'Dados ClubeFII'!$A:$AU,column(Z184)-$A$5,0)</f>
        <v>207686</v>
      </c>
      <c r="AA184" s="47">
        <f t="shared" si="2"/>
        <v>344673817</v>
      </c>
      <c r="AB184" s="48">
        <f t="shared" si="3"/>
        <v>8.097758073</v>
      </c>
      <c r="AC184" s="17"/>
      <c r="AD184" s="17"/>
      <c r="AE184" s="17"/>
    </row>
    <row r="185">
      <c r="A185" s="54" t="s">
        <v>208</v>
      </c>
      <c r="B185" s="38">
        <f>IFERROR(__xludf.DUMMYFUNCTION("GOOGLEFINANCE(A185)"),104.75)</f>
        <v>104.75</v>
      </c>
      <c r="C185" s="38">
        <f>IFERROR(__xludf.DUMMYFUNCTION("GOOGLEFINANCE($A185,""high52"")"),106.2)</f>
        <v>106.2</v>
      </c>
      <c r="D185" s="39">
        <f t="shared" si="4"/>
        <v>-0.01365348399</v>
      </c>
      <c r="E185" s="40" t="str">
        <f>VLOOKUP($A185,'Dados ClubeFII'!$A:$AU,column(E185)-$A$5,0)</f>
        <v>Cartesia Recebíveis Imobiliários</v>
      </c>
      <c r="F185" s="40" t="str">
        <f>VLOOKUP($A185,'Dados ClubeFII'!$A:$AU,column(F185)-$A$5,0)</f>
        <v>Cartesia Capital</v>
      </c>
      <c r="G185" s="40" t="str">
        <f>VLOOKUP($A185,'Dados ClubeFII'!$A:$AU,column(G185)-$A$5,0)</f>
        <v>Recebíveis Imobiliários</v>
      </c>
      <c r="H185" s="41">
        <f>MID(VLOOKUP($A185,'Dados ClubeFII'!$A:$AU,column(H185)-$A$5,0),3,100)/mid(VLOOKUP($A185,'Dados ClubeFII'!$A:$AU,2,0),4,SEARCH(",",VLOOKUP($A185,'Dados ClubeFII'!$A:$AU,2,0))-1)*B185</f>
        <v>4815414155</v>
      </c>
      <c r="I185" s="41">
        <f>MID(VLOOKUP($A185,'Dados ClubeFII'!$A:$AU,column(I185)-$A$5,0),3,100)/1</f>
        <v>187613166.2</v>
      </c>
      <c r="J185" s="42">
        <f>VLOOKUP($A185,'Dados ClubeFII'!$A:$AU,column(J185)-$A$5,0)/mid(VLOOKUP($A185,'Dados ClubeFII'!$A:$AU,2,0),3,SEARCH(",",VLOOKUP($A185,'Dados ClubeFII'!$A:$AU,2,0)))*B185</f>
        <v>1.006243996</v>
      </c>
      <c r="K185" s="41">
        <f>if(VLOOKUP($A185,'Dados ClubeFII'!$A:$AU,column(K185)-$A$5,0)="N/D",0,MID(VLOOKUP($A185,'Dados ClubeFII'!$A:$AU,column(K185)-$A$5,0),3,100)/1)/mid(VLOOKUP($A185,'Dados ClubeFII'!$A:$AU,2,0),3,SEARCH(",",VLOOKUP($A185,'Dados ClubeFII'!$A:$AU,2,0)))*B185</f>
        <v>0</v>
      </c>
      <c r="L185" s="41">
        <f>if(VLOOKUP($A185,'Dados ClubeFII'!$A:$AU,column(L185)-$A$5,0)="N/D",0,MID(VLOOKUP($A185,'Dados ClubeFII'!$A:$AU,column(L185)-$A$5,0),3,100)/1)</f>
        <v>0</v>
      </c>
      <c r="M185" s="41">
        <f>MID(VLOOKUP($A185,'Dados ClubeFII'!$A:$AU,column(M185)-$A$5,0),3,100)/1</f>
        <v>1.4</v>
      </c>
      <c r="N185" s="41">
        <f>MID(VLOOKUP($A185,'Dados ClubeFII'!$A:$AU,column(N185)-$A$5,0),3,100)/1</f>
        <v>0</v>
      </c>
      <c r="O185" s="41">
        <f>LEFT(VLOOKUP($A185,'Dados ClubeFII'!$A:$AU,column(O185)-$A$5,0),len(VLOOKUP($A185,'Dados ClubeFII'!$A:$AU,column(O185)-$A$5,0))-2)/1</f>
        <v>0</v>
      </c>
      <c r="P185" s="43">
        <f>VLOOKUP($A185,'Dados ClubeFII'!$A:$AU,column(P185)-$A$5,0)</f>
        <v>44965</v>
      </c>
      <c r="Q185" s="44">
        <f>VLOOKUP($A185,'Dados ClubeFII'!$A:$AU,column(Q185)-$A$5,0)/mid(VLOOKUP($A185,'Dados ClubeFII'!$A:$AU,2,0),3,SEARCH(",",VLOOKUP($A185,'Dados ClubeFII'!$A:$AU,2,0)))*B185</f>
        <v>0.1746839577</v>
      </c>
      <c r="R185" s="44">
        <f>VLOOKUP($A185,'Dados ClubeFII'!$A:$AU,column(R185)-$A$5,0)/mid(VLOOKUP($A185,'Dados ClubeFII'!$A:$AU,2,0),3,SEARCH(",",VLOOKUP($A185,'Dados ClubeFII'!$A:$AU,2,0)))*B185</f>
        <v>0.1696527378</v>
      </c>
      <c r="S185" s="43">
        <f>VLOOKUP($A185,'Dados ClubeFII'!$A:$AU,column(S185)-$A$5,0)</f>
        <v>43854</v>
      </c>
      <c r="T185" s="41">
        <f>MID(VLOOKUP($A185,'Dados ClubeFII'!$A:$AU,column(T185)-$A$5,0),3,100)/1</f>
        <v>100</v>
      </c>
      <c r="U185" s="45">
        <f>VLOOKUP($A185,'Dados ClubeFII'!$A:$AU,column(U185)-$A$5,0)/mid(VLOOKUP($A185,'Dados ClubeFII'!$A:$AU,2,0),4,SEARCH(",",VLOOKUP($A185,'Dados ClubeFII'!$A:$AU,2,0))-1)*B185</f>
        <v>0.1430731707</v>
      </c>
      <c r="V185" s="42" t="str">
        <f>VLOOKUP($A185,'Dados ClubeFII'!$A:$AU,column(V185)-$A$5,0)</f>
        <v>N/D</v>
      </c>
      <c r="W185" s="43" t="str">
        <f>VLOOKUP($A185,'Dados ClubeFII'!$A:$AU,column(W185)-$A$5,0)</f>
        <v>N/D</v>
      </c>
      <c r="X185" s="45">
        <f>VLOOKUP($A185,'Dados ClubeFII'!$A:$AU,column(X185)-$A$5,0)</f>
        <v>0.0017</v>
      </c>
      <c r="Y185" s="41">
        <f>MID(VLOOKUP($A185,'Dados ClubeFII'!$A:$AU,column(Y185)-$A$5,0),3,100)/1</f>
        <v>466072.26</v>
      </c>
      <c r="Z185" s="46">
        <f>VLOOKUP($A185,'Dados ClubeFII'!$A:$AU,column(Z185)-$A$5,0)</f>
        <v>8829</v>
      </c>
      <c r="AA185" s="47">
        <f t="shared" si="2"/>
        <v>45970540</v>
      </c>
      <c r="AB185" s="48">
        <f t="shared" si="3"/>
        <v>4.081160808</v>
      </c>
      <c r="AC185" s="48"/>
      <c r="AD185" s="48"/>
      <c r="AE185" s="48"/>
    </row>
    <row r="186">
      <c r="A186" s="54" t="s">
        <v>209</v>
      </c>
      <c r="B186" s="38">
        <f>IFERROR(__xludf.DUMMYFUNCTION("GOOGLEFINANCE(A186)"),93.61)</f>
        <v>93.61</v>
      </c>
      <c r="C186" s="38">
        <f>IFERROR(__xludf.DUMMYFUNCTION("GOOGLEFINANCE($A186,""high52"")"),95.94)</f>
        <v>95.94</v>
      </c>
      <c r="D186" s="39">
        <f t="shared" si="4"/>
        <v>-0.02428601209</v>
      </c>
      <c r="E186" s="40" t="str">
        <f>VLOOKUP($A186,'Dados ClubeFII'!$A:$AU,column(E186)-$A$5,0)</f>
        <v>AF Invest CRI</v>
      </c>
      <c r="F186" s="40" t="str">
        <f>VLOOKUP($A186,'Dados ClubeFII'!$A:$AU,column(F186)-$A$5,0)</f>
        <v>AF Invest Real Estate</v>
      </c>
      <c r="G186" s="40" t="str">
        <f>VLOOKUP($A186,'Dados ClubeFII'!$A:$AU,column(G186)-$A$5,0)</f>
        <v>Recebíveis Imobiliários</v>
      </c>
      <c r="H186" s="41">
        <f>MID(VLOOKUP($A186,'Dados ClubeFII'!$A:$AU,column(H186)-$A$5,0),3,100)/mid(VLOOKUP($A186,'Dados ClubeFII'!$A:$AU,2,0),4,SEARCH(",",VLOOKUP($A186,'Dados ClubeFII'!$A:$AU,2,0))-1)*B186</f>
        <v>6089551512</v>
      </c>
      <c r="I186" s="41">
        <f>MID(VLOOKUP($A186,'Dados ClubeFII'!$A:$AU,column(I186)-$A$5,0),3,100)/1</f>
        <v>286551061.6</v>
      </c>
      <c r="J186" s="42">
        <f>VLOOKUP($A186,'Dados ClubeFII'!$A:$AU,column(J186)-$A$5,0)/mid(VLOOKUP($A186,'Dados ClubeFII'!$A:$AU,2,0),3,SEARCH(",",VLOOKUP($A186,'Dados ClubeFII'!$A:$AU,2,0)))*B186</f>
        <v>0.9917364128</v>
      </c>
      <c r="K186" s="41">
        <f>if(VLOOKUP($A186,'Dados ClubeFII'!$A:$AU,column(K186)-$A$5,0)="N/D",0,MID(VLOOKUP($A186,'Dados ClubeFII'!$A:$AU,column(K186)-$A$5,0),3,100)/1)/mid(VLOOKUP($A186,'Dados ClubeFII'!$A:$AU,2,0),3,SEARCH(",",VLOOKUP($A186,'Dados ClubeFII'!$A:$AU,2,0)))*B186</f>
        <v>0</v>
      </c>
      <c r="L186" s="41">
        <f>if(VLOOKUP($A186,'Dados ClubeFII'!$A:$AU,column(L186)-$A$5,0)="N/D",0,MID(VLOOKUP($A186,'Dados ClubeFII'!$A:$AU,column(L186)-$A$5,0),3,100)/1)</f>
        <v>0</v>
      </c>
      <c r="M186" s="41">
        <f>MID(VLOOKUP($A186,'Dados ClubeFII'!$A:$AU,column(M186)-$A$5,0),3,100)/1</f>
        <v>1.05</v>
      </c>
      <c r="N186" s="41">
        <f>MID(VLOOKUP($A186,'Dados ClubeFII'!$A:$AU,column(N186)-$A$5,0),3,100)/1</f>
        <v>0</v>
      </c>
      <c r="O186" s="41">
        <f>LEFT(VLOOKUP($A186,'Dados ClubeFII'!$A:$AU,column(O186)-$A$5,0),len(VLOOKUP($A186,'Dados ClubeFII'!$A:$AU,column(O186)-$A$5,0))-2)/1</f>
        <v>0</v>
      </c>
      <c r="P186" s="43">
        <f>VLOOKUP($A186,'Dados ClubeFII'!$A:$AU,column(P186)-$A$5,0)</f>
        <v>44980</v>
      </c>
      <c r="Q186" s="44">
        <f>VLOOKUP($A186,'Dados ClubeFII'!$A:$AU,column(Q186)-$A$5,0)/mid(VLOOKUP($A186,'Dados ClubeFII'!$A:$AU,2,0),3,SEARCH(",",VLOOKUP($A186,'Dados ClubeFII'!$A:$AU,2,0)))*B186</f>
        <v>0.1405290497</v>
      </c>
      <c r="R186" s="44">
        <f>VLOOKUP($A186,'Dados ClubeFII'!$A:$AU,column(R186)-$A$5,0)/mid(VLOOKUP($A186,'Dados ClubeFII'!$A:$AU,2,0),3,SEARCH(",",VLOOKUP($A186,'Dados ClubeFII'!$A:$AU,2,0)))*B186</f>
        <v>0.1489588092</v>
      </c>
      <c r="S186" s="43">
        <f>VLOOKUP($A186,'Dados ClubeFII'!$A:$AU,column(S186)-$A$5,0)</f>
        <v>44291</v>
      </c>
      <c r="T186" s="41">
        <f>MID(VLOOKUP($A186,'Dados ClubeFII'!$A:$AU,column(T186)-$A$5,0),3,100)/1</f>
        <v>100</v>
      </c>
      <c r="U186" s="45">
        <f>VLOOKUP($A186,'Dados ClubeFII'!$A:$AU,column(U186)-$A$5,0)/mid(VLOOKUP($A186,'Dados ClubeFII'!$A:$AU,2,0),4,SEARCH(",",VLOOKUP($A186,'Dados ClubeFII'!$A:$AU,2,0))-1)*B186</f>
        <v>-0.09382323462</v>
      </c>
      <c r="V186" s="42" t="str">
        <f>VLOOKUP($A186,'Dados ClubeFII'!$A:$AU,column(V186)-$A$5,0)</f>
        <v>N/D</v>
      </c>
      <c r="W186" s="43" t="str">
        <f>VLOOKUP($A186,'Dados ClubeFII'!$A:$AU,column(W186)-$A$5,0)</f>
        <v>N/D</v>
      </c>
      <c r="X186" s="45">
        <f>VLOOKUP($A186,'Dados ClubeFII'!$A:$AU,column(X186)-$A$5,0)</f>
        <v>0.0026</v>
      </c>
      <c r="Y186" s="41">
        <f>MID(VLOOKUP($A186,'Dados ClubeFII'!$A:$AU,column(Y186)-$A$5,0),3,100)/1</f>
        <v>841361.77</v>
      </c>
      <c r="Z186" s="46">
        <f>VLOOKUP($A186,'Dados ClubeFII'!$A:$AU,column(Z186)-$A$5,0)</f>
        <v>18753</v>
      </c>
      <c r="AA186" s="47">
        <f t="shared" si="2"/>
        <v>65052360</v>
      </c>
      <c r="AB186" s="48">
        <f t="shared" si="3"/>
        <v>4.40492953</v>
      </c>
      <c r="AC186" s="48"/>
      <c r="AD186" s="48"/>
      <c r="AE186" s="48"/>
    </row>
    <row r="187">
      <c r="A187" s="54" t="s">
        <v>210</v>
      </c>
      <c r="B187" s="38">
        <f>IFERROR(__xludf.DUMMYFUNCTION("GOOGLEFINANCE(A187)"),80.69)</f>
        <v>80.69</v>
      </c>
      <c r="C187" s="38">
        <f>IFERROR(__xludf.DUMMYFUNCTION("GOOGLEFINANCE($A187,""high52"")"),90.31)</f>
        <v>90.31</v>
      </c>
      <c r="D187" s="39">
        <f t="shared" si="4"/>
        <v>-0.1065219798</v>
      </c>
      <c r="E187" s="40" t="str">
        <f>VLOOKUP($A187,'Dados ClubeFII'!$A:$AU,column(E187)-$A$5,0)</f>
        <v>Bradesco Carteira Imobiliária Ativa</v>
      </c>
      <c r="F187" s="40" t="str">
        <f>VLOOKUP($A187,'Dados ClubeFII'!$A:$AU,column(F187)-$A$5,0)</f>
        <v>BRAM – Bradesco</v>
      </c>
      <c r="G187" s="40" t="str">
        <f>VLOOKUP($A187,'Dados ClubeFII'!$A:$AU,column(G187)-$A$5,0)</f>
        <v>Fundo de Fundos</v>
      </c>
      <c r="H187" s="41">
        <f>MID(VLOOKUP($A187,'Dados ClubeFII'!$A:$AU,column(H187)-$A$5,0),3,100)/mid(VLOOKUP($A187,'Dados ClubeFII'!$A:$AU,2,0),4,SEARCH(",",VLOOKUP($A187,'Dados ClubeFII'!$A:$AU,2,0))-1)*B187</f>
        <v>8536446774</v>
      </c>
      <c r="I187" s="41">
        <f>MID(VLOOKUP($A187,'Dados ClubeFII'!$A:$AU,column(I187)-$A$5,0),3,100)/1</f>
        <v>362632534.1</v>
      </c>
      <c r="J187" s="42">
        <f>VLOOKUP($A187,'Dados ClubeFII'!$A:$AU,column(J187)-$A$5,0)/mid(VLOOKUP($A187,'Dados ClubeFII'!$A:$AU,2,0),3,SEARCH(",",VLOOKUP($A187,'Dados ClubeFII'!$A:$AU,2,0)))*B187</f>
        <v>0.8177053927</v>
      </c>
      <c r="K187" s="41">
        <f>if(VLOOKUP($A187,'Dados ClubeFII'!$A:$AU,column(K187)-$A$5,0)="N/D",0,MID(VLOOKUP($A187,'Dados ClubeFII'!$A:$AU,column(K187)-$A$5,0),3,100)/1)/mid(VLOOKUP($A187,'Dados ClubeFII'!$A:$AU,2,0),3,SEARCH(",",VLOOKUP($A187,'Dados ClubeFII'!$A:$AU,2,0)))*B187</f>
        <v>0</v>
      </c>
      <c r="L187" s="41">
        <f>if(VLOOKUP($A187,'Dados ClubeFII'!$A:$AU,column(L187)-$A$5,0)="N/D",0,MID(VLOOKUP($A187,'Dados ClubeFII'!$A:$AU,column(L187)-$A$5,0),3,100)/1)</f>
        <v>0</v>
      </c>
      <c r="M187" s="41">
        <f>MID(VLOOKUP($A187,'Dados ClubeFII'!$A:$AU,column(M187)-$A$5,0),3,100)/1</f>
        <v>0.76</v>
      </c>
      <c r="N187" s="41">
        <f>MID(VLOOKUP($A187,'Dados ClubeFII'!$A:$AU,column(N187)-$A$5,0),3,100)/1</f>
        <v>0</v>
      </c>
      <c r="O187" s="41">
        <f>LEFT(VLOOKUP($A187,'Dados ClubeFII'!$A:$AU,column(O187)-$A$5,0),len(VLOOKUP($A187,'Dados ClubeFII'!$A:$AU,column(O187)-$A$5,0))-2)/1</f>
        <v>0</v>
      </c>
      <c r="P187" s="43">
        <f>VLOOKUP($A187,'Dados ClubeFII'!$A:$AU,column(P187)-$A$5,0)</f>
        <v>44985</v>
      </c>
      <c r="Q187" s="44">
        <f>VLOOKUP($A187,'Dados ClubeFII'!$A:$AU,column(Q187)-$A$5,0)/mid(VLOOKUP($A187,'Dados ClubeFII'!$A:$AU,2,0),3,SEARCH(",",VLOOKUP($A187,'Dados ClubeFII'!$A:$AU,2,0)))*B187</f>
        <v>0.1136999879</v>
      </c>
      <c r="R187" s="44">
        <f>VLOOKUP($A187,'Dados ClubeFII'!$A:$AU,column(R187)-$A$5,0)/mid(VLOOKUP($A187,'Dados ClubeFII'!$A:$AU,2,0),3,SEARCH(",",VLOOKUP($A187,'Dados ClubeFII'!$A:$AU,2,0)))*B187</f>
        <v>0.1045494752</v>
      </c>
      <c r="S187" s="43">
        <f>VLOOKUP($A187,'Dados ClubeFII'!$A:$AU,column(S187)-$A$5,0)</f>
        <v>42149</v>
      </c>
      <c r="T187" s="41">
        <f>MID(VLOOKUP($A187,'Dados ClubeFII'!$A:$AU,column(T187)-$A$5,0),3,100)/1</f>
        <v>100</v>
      </c>
      <c r="U187" s="45">
        <f>VLOOKUP($A187,'Dados ClubeFII'!$A:$AU,column(U187)-$A$5,0)/mid(VLOOKUP($A187,'Dados ClubeFII'!$A:$AU,2,0),4,SEARCH(",",VLOOKUP($A187,'Dados ClubeFII'!$A:$AU,2,0))-1)*B187</f>
        <v>-0.9129975779</v>
      </c>
      <c r="V187" s="42" t="str">
        <f>VLOOKUP($A187,'Dados ClubeFII'!$A:$AU,column(V187)-$A$5,0)</f>
        <v>N/D</v>
      </c>
      <c r="W187" s="43" t="str">
        <f>VLOOKUP($A187,'Dados ClubeFII'!$A:$AU,column(W187)-$A$5,0)</f>
        <v>N/D</v>
      </c>
      <c r="X187" s="45">
        <f>VLOOKUP($A187,'Dados ClubeFII'!$A:$AU,column(X187)-$A$5,0)</f>
        <v>0.0029</v>
      </c>
      <c r="Y187" s="41">
        <f>MID(VLOOKUP($A187,'Dados ClubeFII'!$A:$AU,column(Y187)-$A$5,0),3,100)/1</f>
        <v>281723.26</v>
      </c>
      <c r="Z187" s="46">
        <f>VLOOKUP($A187,'Dados ClubeFII'!$A:$AU,column(Z187)-$A$5,0)</f>
        <v>14216</v>
      </c>
      <c r="AA187" s="47">
        <f t="shared" si="2"/>
        <v>105793119</v>
      </c>
      <c r="AB187" s="48">
        <f t="shared" si="3"/>
        <v>3.427751611</v>
      </c>
      <c r="AC187" s="48"/>
      <c r="AD187" s="48"/>
      <c r="AE187" s="48"/>
    </row>
    <row r="188">
      <c r="A188" s="54" t="s">
        <v>211</v>
      </c>
      <c r="B188" s="38">
        <f>IFERROR(__xludf.DUMMYFUNCTION("GOOGLEFINANCE(A188)"),83.99)</f>
        <v>83.99</v>
      </c>
      <c r="C188" s="38">
        <f>IFERROR(__xludf.DUMMYFUNCTION("GOOGLEFINANCE($A188,""high52"")"),100.12)</f>
        <v>100.12</v>
      </c>
      <c r="D188" s="39">
        <f t="shared" si="4"/>
        <v>-0.161106672</v>
      </c>
      <c r="E188" s="40" t="str">
        <f>VLOOKUP($A188,'Dados ClubeFII'!$A:$AU,column(E188)-$A$5,0)</f>
        <v>Banestes Recebíveis Imobiliários</v>
      </c>
      <c r="F188" s="40" t="str">
        <f>VLOOKUP($A188,'Dados ClubeFII'!$A:$AU,column(F188)-$A$5,0)</f>
        <v>Banestes DTVM</v>
      </c>
      <c r="G188" s="40" t="str">
        <f>VLOOKUP($A188,'Dados ClubeFII'!$A:$AU,column(G188)-$A$5,0)</f>
        <v>Recebíveis Imobiliários</v>
      </c>
      <c r="H188" s="41">
        <f>MID(VLOOKUP($A188,'Dados ClubeFII'!$A:$AU,column(H188)-$A$5,0),3,100)/mid(VLOOKUP($A188,'Dados ClubeFII'!$A:$AU,2,0),4,SEARCH(",",VLOOKUP($A188,'Dados ClubeFII'!$A:$AU,2,0))-1)*B188</f>
        <v>13169639729</v>
      </c>
      <c r="I188" s="41">
        <f>MID(VLOOKUP($A188,'Dados ClubeFII'!$A:$AU,column(I188)-$A$5,0),3,100)/1</f>
        <v>628182442.2</v>
      </c>
      <c r="J188" s="42">
        <f>VLOOKUP($A188,'Dados ClubeFII'!$A:$AU,column(J188)-$A$5,0)/mid(VLOOKUP($A188,'Dados ClubeFII'!$A:$AU,2,0),3,SEARCH(",",VLOOKUP($A188,'Dados ClubeFII'!$A:$AU,2,0)))*B188</f>
        <v>0.8334475032</v>
      </c>
      <c r="K188" s="41">
        <f>if(VLOOKUP($A188,'Dados ClubeFII'!$A:$AU,column(K188)-$A$5,0)="N/D",0,MID(VLOOKUP($A188,'Dados ClubeFII'!$A:$AU,column(K188)-$A$5,0),3,100)/1)/mid(VLOOKUP($A188,'Dados ClubeFII'!$A:$AU,2,0),3,SEARCH(",",VLOOKUP($A188,'Dados ClubeFII'!$A:$AU,2,0)))*B188</f>
        <v>0</v>
      </c>
      <c r="L188" s="41">
        <f>if(VLOOKUP($A188,'Dados ClubeFII'!$A:$AU,column(L188)-$A$5,0)="N/D",0,MID(VLOOKUP($A188,'Dados ClubeFII'!$A:$AU,column(L188)-$A$5,0),3,100)/1)</f>
        <v>0</v>
      </c>
      <c r="M188" s="41">
        <f>MID(VLOOKUP($A188,'Dados ClubeFII'!$A:$AU,column(M188)-$A$5,0),3,100)/1</f>
        <v>1</v>
      </c>
      <c r="N188" s="41">
        <f>MID(VLOOKUP($A188,'Dados ClubeFII'!$A:$AU,column(N188)-$A$5,0),3,100)/1</f>
        <v>0</v>
      </c>
      <c r="O188" s="41">
        <f>LEFT(VLOOKUP($A188,'Dados ClubeFII'!$A:$AU,column(O188)-$A$5,0),len(VLOOKUP($A188,'Dados ClubeFII'!$A:$AU,column(O188)-$A$5,0))-2)/1</f>
        <v>0</v>
      </c>
      <c r="P188" s="43">
        <f>VLOOKUP($A188,'Dados ClubeFII'!$A:$AU,column(P188)-$A$5,0)</f>
        <v>44972</v>
      </c>
      <c r="Q188" s="44">
        <f>VLOOKUP($A188,'Dados ClubeFII'!$A:$AU,column(Q188)-$A$5,0)/mid(VLOOKUP($A188,'Dados ClubeFII'!$A:$AU,2,0),3,SEARCH(",",VLOOKUP($A188,'Dados ClubeFII'!$A:$AU,2,0)))*B188</f>
        <v>0.1224182032</v>
      </c>
      <c r="R188" s="44">
        <f>VLOOKUP($A188,'Dados ClubeFII'!$A:$AU,column(R188)-$A$5,0)/mid(VLOOKUP($A188,'Dados ClubeFII'!$A:$AU,2,0),3,SEARCH(",",VLOOKUP($A188,'Dados ClubeFII'!$A:$AU,2,0)))*B188</f>
        <v>0.1398937153</v>
      </c>
      <c r="S188" s="43">
        <f>VLOOKUP($A188,'Dados ClubeFII'!$A:$AU,column(S188)-$A$5,0)</f>
        <v>42186</v>
      </c>
      <c r="T188" s="41">
        <f>MID(VLOOKUP($A188,'Dados ClubeFII'!$A:$AU,column(T188)-$A$5,0),3,100)/1</f>
        <v>100</v>
      </c>
      <c r="U188" s="45">
        <f>VLOOKUP($A188,'Dados ClubeFII'!$A:$AU,column(U188)-$A$5,0)/mid(VLOOKUP($A188,'Dados ClubeFII'!$A:$AU,2,0),4,SEARCH(",",VLOOKUP($A188,'Dados ClubeFII'!$A:$AU,2,0))-1)*B188</f>
        <v>-0.4967150538</v>
      </c>
      <c r="V188" s="42" t="str">
        <f>VLOOKUP($A188,'Dados ClubeFII'!$A:$AU,column(V188)-$A$5,0)</f>
        <v>N/D</v>
      </c>
      <c r="W188" s="43" t="str">
        <f>VLOOKUP($A188,'Dados ClubeFII'!$A:$AU,column(W188)-$A$5,0)</f>
        <v>N/D</v>
      </c>
      <c r="X188" s="45">
        <f>VLOOKUP($A188,'Dados ClubeFII'!$A:$AU,column(X188)-$A$5,0)</f>
        <v>0.0054</v>
      </c>
      <c r="Y188" s="41">
        <f>MID(VLOOKUP($A188,'Dados ClubeFII'!$A:$AU,column(Y188)-$A$5,0),3,100)/1</f>
        <v>532304.01</v>
      </c>
      <c r="Z188" s="46">
        <f>VLOOKUP($A188,'Dados ClubeFII'!$A:$AU,column(Z188)-$A$5,0)</f>
        <v>47224</v>
      </c>
      <c r="AA188" s="47">
        <f t="shared" si="2"/>
        <v>156800092</v>
      </c>
      <c r="AB188" s="48">
        <f t="shared" si="3"/>
        <v>4.006263225</v>
      </c>
      <c r="AC188" s="48"/>
      <c r="AD188" s="48"/>
      <c r="AE188" s="48"/>
    </row>
    <row r="189">
      <c r="A189" s="54" t="s">
        <v>212</v>
      </c>
      <c r="B189" s="38">
        <f>IFERROR(__xludf.DUMMYFUNCTION("GOOGLEFINANCE(A189)"),6.22)</f>
        <v>6.22</v>
      </c>
      <c r="C189" s="38">
        <f>IFERROR(__xludf.DUMMYFUNCTION("GOOGLEFINANCE($A189,""high52"")"),7.66)</f>
        <v>7.66</v>
      </c>
      <c r="D189" s="39">
        <f t="shared" si="4"/>
        <v>-0.1879895561</v>
      </c>
      <c r="E189" s="40" t="str">
        <f>VLOOKUP($A189,'Dados ClubeFII'!$A:$AU,column(E189)-$A$5,0)</f>
        <v>BlueMacaw Renda + FOF</v>
      </c>
      <c r="F189" s="40" t="str">
        <f>VLOOKUP($A189,'Dados ClubeFII'!$A:$AU,column(F189)-$A$5,0)</f>
        <v>BlueMacaw</v>
      </c>
      <c r="G189" s="40" t="str">
        <f>VLOOKUP($A189,'Dados ClubeFII'!$A:$AU,column(G189)-$A$5,0)</f>
        <v>Fundo de Fundos</v>
      </c>
      <c r="H189" s="41">
        <f>MID(VLOOKUP($A189,'Dados ClubeFII'!$A:$AU,column(H189)-$A$5,0),3,100)/mid(VLOOKUP($A189,'Dados ClubeFII'!$A:$AU,2,0),4,SEARCH(",",VLOOKUP($A189,'Dados ClubeFII'!$A:$AU,2,0))-1)*B189</f>
        <v>4484436858</v>
      </c>
      <c r="I189" s="41">
        <f>MID(VLOOKUP($A189,'Dados ClubeFII'!$A:$AU,column(I189)-$A$5,0),3,100)/1</f>
        <v>192139436.5</v>
      </c>
      <c r="J189" s="42">
        <f>VLOOKUP($A189,'Dados ClubeFII'!$A:$AU,column(J189)-$A$5,0)/mid(VLOOKUP($A189,'Dados ClubeFII'!$A:$AU,2,0),3,SEARCH(",",VLOOKUP($A189,'Dados ClubeFII'!$A:$AU,2,0)))*B189</f>
        <v>0.83</v>
      </c>
      <c r="K189" s="41">
        <f>if(VLOOKUP($A189,'Dados ClubeFII'!$A:$AU,column(K189)-$A$5,0)="N/D",0,MID(VLOOKUP($A189,'Dados ClubeFII'!$A:$AU,column(K189)-$A$5,0),3,100)/1)/mid(VLOOKUP($A189,'Dados ClubeFII'!$A:$AU,2,0),3,SEARCH(",",VLOOKUP($A189,'Dados ClubeFII'!$A:$AU,2,0)))*B189</f>
        <v>0</v>
      </c>
      <c r="L189" s="41">
        <f>if(VLOOKUP($A189,'Dados ClubeFII'!$A:$AU,column(L189)-$A$5,0)="N/D",0,MID(VLOOKUP($A189,'Dados ClubeFII'!$A:$AU,column(L189)-$A$5,0),3,100)/1)</f>
        <v>0</v>
      </c>
      <c r="M189" s="41">
        <f>MID(VLOOKUP($A189,'Dados ClubeFII'!$A:$AU,column(M189)-$A$5,0),3,100)/1</f>
        <v>0.07</v>
      </c>
      <c r="N189" s="41">
        <f>MID(VLOOKUP($A189,'Dados ClubeFII'!$A:$AU,column(N189)-$A$5,0),3,100)/1</f>
        <v>0</v>
      </c>
      <c r="O189" s="41">
        <f>LEFT(VLOOKUP($A189,'Dados ClubeFII'!$A:$AU,column(O189)-$A$5,0),len(VLOOKUP($A189,'Dados ClubeFII'!$A:$AU,column(O189)-$A$5,0))-2)/1</f>
        <v>0</v>
      </c>
      <c r="P189" s="43">
        <f>VLOOKUP($A189,'Dados ClubeFII'!$A:$AU,column(P189)-$A$5,0)</f>
        <v>44971</v>
      </c>
      <c r="Q189" s="44">
        <f>VLOOKUP($A189,'Dados ClubeFII'!$A:$AU,column(Q189)-$A$5,0)/mid(VLOOKUP($A189,'Dados ClubeFII'!$A:$AU,2,0),3,SEARCH(",",VLOOKUP($A189,'Dados ClubeFII'!$A:$AU,2,0)))*B189</f>
        <v>0.1331</v>
      </c>
      <c r="R189" s="44">
        <f>VLOOKUP($A189,'Dados ClubeFII'!$A:$AU,column(R189)-$A$5,0)/mid(VLOOKUP($A189,'Dados ClubeFII'!$A:$AU,2,0),3,SEARCH(",",VLOOKUP($A189,'Dados ClubeFII'!$A:$AU,2,0)))*B189</f>
        <v>0.1422</v>
      </c>
      <c r="S189" s="43">
        <f>VLOOKUP($A189,'Dados ClubeFII'!$A:$AU,column(S189)-$A$5,0)</f>
        <v>44056</v>
      </c>
      <c r="T189" s="41">
        <f>MID(VLOOKUP($A189,'Dados ClubeFII'!$A:$AU,column(T189)-$A$5,0),3,100)/1</f>
        <v>10</v>
      </c>
      <c r="U189" s="45">
        <f>VLOOKUP($A189,'Dados ClubeFII'!$A:$AU,column(U189)-$A$5,0)/mid(VLOOKUP($A189,'Dados ClubeFII'!$A:$AU,2,0),4,SEARCH(",",VLOOKUP($A189,'Dados ClubeFII'!$A:$AU,2,0))-1)*B189</f>
        <v>-2.900781818</v>
      </c>
      <c r="V189" s="42" t="str">
        <f>VLOOKUP($A189,'Dados ClubeFII'!$A:$AU,column(V189)-$A$5,0)</f>
        <v>N/D</v>
      </c>
      <c r="W189" s="43" t="str">
        <f>VLOOKUP($A189,'Dados ClubeFII'!$A:$AU,column(W189)-$A$5,0)</f>
        <v>N/D</v>
      </c>
      <c r="X189" s="45">
        <f>VLOOKUP($A189,'Dados ClubeFII'!$A:$AU,column(X189)-$A$5,0)</f>
        <v>0.0016</v>
      </c>
      <c r="Y189" s="41">
        <f>MID(VLOOKUP($A189,'Dados ClubeFII'!$A:$AU,column(Y189)-$A$5,0),3,100)/1</f>
        <v>370154.11</v>
      </c>
      <c r="Z189" s="46">
        <f>VLOOKUP($A189,'Dados ClubeFII'!$A:$AU,column(Z189)-$A$5,0)</f>
        <v>17777</v>
      </c>
      <c r="AA189" s="47">
        <f t="shared" si="2"/>
        <v>720970555</v>
      </c>
      <c r="AB189" s="48">
        <f t="shared" si="3"/>
        <v>0.2665010868</v>
      </c>
      <c r="AC189" s="48"/>
      <c r="AD189" s="48"/>
      <c r="AE189" s="48"/>
    </row>
    <row r="190">
      <c r="A190" s="54" t="s">
        <v>213</v>
      </c>
      <c r="B190" s="38">
        <f>IFERROR(__xludf.DUMMYFUNCTION("GOOGLEFINANCE(A190)"),64.45)</f>
        <v>64.45</v>
      </c>
      <c r="C190" s="38">
        <f>IFERROR(__xludf.DUMMYFUNCTION("GOOGLEFINANCE($A190,""high52"")"),86.46)</f>
        <v>86.46</v>
      </c>
      <c r="D190" s="39">
        <f t="shared" si="4"/>
        <v>-0.2545685866</v>
      </c>
      <c r="E190" s="40" t="str">
        <f>VLOOKUP($A190,'Dados ClubeFII'!$A:$AU,column(E190)-$A$5,0)</f>
        <v>BlueMacaw Logística</v>
      </c>
      <c r="F190" s="40" t="str">
        <f>VLOOKUP($A190,'Dados ClubeFII'!$A:$AU,column(F190)-$A$5,0)</f>
        <v>BlueMacaw</v>
      </c>
      <c r="G190" s="40" t="str">
        <f>VLOOKUP($A190,'Dados ClubeFII'!$A:$AU,column(G190)-$A$5,0)</f>
        <v>Logisticos</v>
      </c>
      <c r="H190" s="41">
        <f>MID(VLOOKUP($A190,'Dados ClubeFII'!$A:$AU,column(H190)-$A$5,0),3,100)/mid(VLOOKUP($A190,'Dados ClubeFII'!$A:$AU,2,0),4,SEARCH(",",VLOOKUP($A190,'Dados ClubeFII'!$A:$AU,2,0))-1)*B190</f>
        <v>2269951241</v>
      </c>
      <c r="I190" s="41">
        <f>MID(VLOOKUP($A190,'Dados ClubeFII'!$A:$AU,column(I190)-$A$5,0),3,100)/1</f>
        <v>361649669.4</v>
      </c>
      <c r="J190" s="42">
        <f>VLOOKUP($A190,'Dados ClubeFII'!$A:$AU,column(J190)-$A$5,0)/mid(VLOOKUP($A190,'Dados ClubeFII'!$A:$AU,2,0),3,SEARCH(",",VLOOKUP($A190,'Dados ClubeFII'!$A:$AU,2,0)))*B190</f>
        <v>0.6804386617</v>
      </c>
      <c r="K190" s="41">
        <f>if(VLOOKUP($A190,'Dados ClubeFII'!$A:$AU,column(K190)-$A$5,0)="N/D",0,MID(VLOOKUP($A190,'Dados ClubeFII'!$A:$AU,column(K190)-$A$5,0),3,100)/1)/mid(VLOOKUP($A190,'Dados ClubeFII'!$A:$AU,2,0),3,SEARCH(",",VLOOKUP($A190,'Dados ClubeFII'!$A:$AU,2,0)))*B190</f>
        <v>918.1896803</v>
      </c>
      <c r="L190" s="41">
        <f>if(VLOOKUP($A190,'Dados ClubeFII'!$A:$AU,column(L190)-$A$5,0)="N/D",0,MID(VLOOKUP($A190,'Dados ClubeFII'!$A:$AU,column(L190)-$A$5,0),3,100)/1)</f>
        <v>1356.93</v>
      </c>
      <c r="M190" s="41">
        <f>MID(VLOOKUP($A190,'Dados ClubeFII'!$A:$AU,column(M190)-$A$5,0),3,100)/1</f>
        <v>0.79</v>
      </c>
      <c r="N190" s="41">
        <f>MID(VLOOKUP($A190,'Dados ClubeFII'!$A:$AU,column(N190)-$A$5,0),3,100)/1</f>
        <v>11.3</v>
      </c>
      <c r="O190" s="41">
        <f>LEFT(VLOOKUP($A190,'Dados ClubeFII'!$A:$AU,column(O190)-$A$5,0),len(VLOOKUP($A190,'Dados ClubeFII'!$A:$AU,column(O190)-$A$5,0))-2)/1</f>
        <v>266521</v>
      </c>
      <c r="P190" s="43">
        <f>VLOOKUP($A190,'Dados ClubeFII'!$A:$AU,column(P190)-$A$5,0)</f>
        <v>44971</v>
      </c>
      <c r="Q190" s="44">
        <f>VLOOKUP($A190,'Dados ClubeFII'!$A:$AU,column(Q190)-$A$5,0)/mid(VLOOKUP($A190,'Dados ClubeFII'!$A:$AU,2,0),3,SEARCH(",",VLOOKUP($A190,'Dados ClubeFII'!$A:$AU,2,0)))*B190</f>
        <v>0.1447130112</v>
      </c>
      <c r="R190" s="44">
        <f>VLOOKUP($A190,'Dados ClubeFII'!$A:$AU,column(R190)-$A$5,0)/mid(VLOOKUP($A190,'Dados ClubeFII'!$A:$AU,2,0),3,SEARCH(",",VLOOKUP($A190,'Dados ClubeFII'!$A:$AU,2,0)))*B190</f>
        <v>0.1371419331</v>
      </c>
      <c r="S190" s="43">
        <f>VLOOKUP($A190,'Dados ClubeFII'!$A:$AU,column(S190)-$A$5,0)</f>
        <v>44134</v>
      </c>
      <c r="T190" s="41">
        <f>MID(VLOOKUP($A190,'Dados ClubeFII'!$A:$AU,column(T190)-$A$5,0),3,100)/1</f>
        <v>100</v>
      </c>
      <c r="U190" s="45">
        <f>VLOOKUP($A190,'Dados ClubeFII'!$A:$AU,column(U190)-$A$5,0)/mid(VLOOKUP($A190,'Dados ClubeFII'!$A:$AU,2,0),4,SEARCH(",",VLOOKUP($A190,'Dados ClubeFII'!$A:$AU,2,0))-1)*B190</f>
        <v>-0.8951882759</v>
      </c>
      <c r="V190" s="42">
        <f>VLOOKUP($A190,'Dados ClubeFII'!$A:$AU,column(V190)-$A$5,0)</f>
        <v>0</v>
      </c>
      <c r="W190" s="43">
        <f>VLOOKUP($A190,'Dados ClubeFII'!$A:$AU,column(W190)-$A$5,0)</f>
        <v>44895</v>
      </c>
      <c r="X190" s="45">
        <f>VLOOKUP($A190,'Dados ClubeFII'!$A:$AU,column(X190)-$A$5,0)</f>
        <v>0.0026</v>
      </c>
      <c r="Y190" s="41">
        <f>MID(VLOOKUP($A190,'Dados ClubeFII'!$A:$AU,column(Y190)-$A$5,0),3,100)/1</f>
        <v>542664.59</v>
      </c>
      <c r="Z190" s="46">
        <f>VLOOKUP($A190,'Dados ClubeFII'!$A:$AU,column(Z190)-$A$5,0)</f>
        <v>12271</v>
      </c>
      <c r="AA190" s="47">
        <f t="shared" si="2"/>
        <v>35220345</v>
      </c>
      <c r="AB190" s="48">
        <f t="shared" si="3"/>
        <v>10.26820349</v>
      </c>
      <c r="AC190" s="48"/>
      <c r="AD190" s="48"/>
      <c r="AE190" s="48"/>
    </row>
    <row r="191">
      <c r="A191" s="54" t="s">
        <v>214</v>
      </c>
      <c r="B191" s="38">
        <f>IFERROR(__xludf.DUMMYFUNCTION("GOOGLEFINANCE(A191)"),86.04)</f>
        <v>86.04</v>
      </c>
      <c r="C191" s="38">
        <f>IFERROR(__xludf.DUMMYFUNCTION("GOOGLEFINANCE($A191,""high52"")"),97.62)</f>
        <v>97.62</v>
      </c>
      <c r="D191" s="39">
        <f t="shared" si="4"/>
        <v>-0.1186232329</v>
      </c>
      <c r="E191" s="40" t="str">
        <f>VLOOKUP($A191,'Dados ClubeFII'!$A:$AU,column(E191)-$A$5,0)</f>
        <v>Btg Pactual Agro Logística</v>
      </c>
      <c r="F191" s="40" t="str">
        <f>VLOOKUP($A191,'Dados ClubeFII'!$A:$AU,column(F191)-$A$5,0)</f>
        <v>BTG PACTUAL</v>
      </c>
      <c r="G191" s="40" t="str">
        <f>VLOOKUP($A191,'Dados ClubeFII'!$A:$AU,column(G191)-$A$5,0)</f>
        <v>Agronegócio</v>
      </c>
      <c r="H191" s="41">
        <f>MID(VLOOKUP($A191,'Dados ClubeFII'!$A:$AU,column(H191)-$A$5,0),3,100)/mid(VLOOKUP($A191,'Dados ClubeFII'!$A:$AU,2,0),4,SEARCH(",",VLOOKUP($A191,'Dados ClubeFII'!$A:$AU,2,0))-1)*B191</f>
        <v>5429653561</v>
      </c>
      <c r="I191" s="41">
        <f>MID(VLOOKUP($A191,'Dados ClubeFII'!$A:$AU,column(I191)-$A$5,0),3,100)/1</f>
        <v>626919387.3</v>
      </c>
      <c r="J191" s="42">
        <f>VLOOKUP($A191,'Dados ClubeFII'!$A:$AU,column(J191)-$A$5,0)/mid(VLOOKUP($A191,'Dados ClubeFII'!$A:$AU,2,0),3,SEARCH(",",VLOOKUP($A191,'Dados ClubeFII'!$A:$AU,2,0)))*B191</f>
        <v>0.827027027</v>
      </c>
      <c r="K191" s="41">
        <f>if(VLOOKUP($A191,'Dados ClubeFII'!$A:$AU,column(K191)-$A$5,0)="N/D",0,MID(VLOOKUP($A191,'Dados ClubeFII'!$A:$AU,column(K191)-$A$5,0),3,100)/1)/mid(VLOOKUP($A191,'Dados ClubeFII'!$A:$AU,2,0),3,SEARCH(",",VLOOKUP($A191,'Dados ClubeFII'!$A:$AU,2,0)))*B191</f>
        <v>0</v>
      </c>
      <c r="L191" s="41">
        <f>if(VLOOKUP($A191,'Dados ClubeFII'!$A:$AU,column(L191)-$A$5,0)="N/D",0,MID(VLOOKUP($A191,'Dados ClubeFII'!$A:$AU,column(L191)-$A$5,0),3,100)/1)</f>
        <v>0</v>
      </c>
      <c r="M191" s="41">
        <f>MID(VLOOKUP($A191,'Dados ClubeFII'!$A:$AU,column(M191)-$A$5,0),3,100)/1</f>
        <v>0.83</v>
      </c>
      <c r="N191" s="41">
        <f>MID(VLOOKUP($A191,'Dados ClubeFII'!$A:$AU,column(N191)-$A$5,0),3,100)/1</f>
        <v>0</v>
      </c>
      <c r="O191" s="41">
        <f>LEFT(VLOOKUP($A191,'Dados ClubeFII'!$A:$AU,column(O191)-$A$5,0),len(VLOOKUP($A191,'Dados ClubeFII'!$A:$AU,column(O191)-$A$5,0))-2)/1</f>
        <v>0</v>
      </c>
      <c r="P191" s="43">
        <f>VLOOKUP($A191,'Dados ClubeFII'!$A:$AU,column(P191)-$A$5,0)</f>
        <v>44985</v>
      </c>
      <c r="Q191" s="44">
        <f>VLOOKUP($A191,'Dados ClubeFII'!$A:$AU,column(Q191)-$A$5,0)/mid(VLOOKUP($A191,'Dados ClubeFII'!$A:$AU,2,0),3,SEARCH(",",VLOOKUP($A191,'Dados ClubeFII'!$A:$AU,2,0)))*B191</f>
        <v>0.1147135135</v>
      </c>
      <c r="R191" s="44">
        <f>VLOOKUP($A191,'Dados ClubeFII'!$A:$AU,column(R191)-$A$5,0)/mid(VLOOKUP($A191,'Dados ClubeFII'!$A:$AU,2,0),3,SEARCH(",",VLOOKUP($A191,'Dados ClubeFII'!$A:$AU,2,0)))*B191</f>
        <v>0.1086810811</v>
      </c>
      <c r="S191" s="43">
        <f>VLOOKUP($A191,'Dados ClubeFII'!$A:$AU,column(S191)-$A$5,0)</f>
        <v>44225</v>
      </c>
      <c r="T191" s="41">
        <f>MID(VLOOKUP($A191,'Dados ClubeFII'!$A:$AU,column(T191)-$A$5,0),3,100)/1</f>
        <v>100</v>
      </c>
      <c r="U191" s="45">
        <f>VLOOKUP($A191,'Dados ClubeFII'!$A:$AU,column(U191)-$A$5,0)/mid(VLOOKUP($A191,'Dados ClubeFII'!$A:$AU,2,0),4,SEARCH(",",VLOOKUP($A191,'Dados ClubeFII'!$A:$AU,2,0))-1)*B191</f>
        <v>-0.6532099644</v>
      </c>
      <c r="V191" s="42" t="str">
        <f>VLOOKUP($A191,'Dados ClubeFII'!$A:$AU,column(V191)-$A$5,0)</f>
        <v>N/D</v>
      </c>
      <c r="W191" s="43" t="str">
        <f>VLOOKUP($A191,'Dados ClubeFII'!$A:$AU,column(W191)-$A$5,0)</f>
        <v>N/D</v>
      </c>
      <c r="X191" s="45">
        <f>VLOOKUP($A191,'Dados ClubeFII'!$A:$AU,column(X191)-$A$5,0)</f>
        <v>0.0052</v>
      </c>
      <c r="Y191" s="41">
        <f>MID(VLOOKUP($A191,'Dados ClubeFII'!$A:$AU,column(Y191)-$A$5,0),3,100)/1</f>
        <v>1150158.07</v>
      </c>
      <c r="Z191" s="46">
        <f>VLOOKUP($A191,'Dados ClubeFII'!$A:$AU,column(Z191)-$A$5,0)</f>
        <v>43979</v>
      </c>
      <c r="AA191" s="47">
        <f t="shared" si="2"/>
        <v>63106154</v>
      </c>
      <c r="AB191" s="48">
        <f t="shared" si="3"/>
        <v>9.934362144</v>
      </c>
      <c r="AC191" s="17"/>
      <c r="AD191" s="17"/>
      <c r="AE191" s="17"/>
    </row>
    <row r="192">
      <c r="A192" s="54" t="s">
        <v>215</v>
      </c>
      <c r="B192" s="38">
        <f>IFERROR(__xludf.DUMMYFUNCTION("GOOGLEFINANCE(A192)"),85.59)</f>
        <v>85.59</v>
      </c>
      <c r="C192" s="38">
        <f>IFERROR(__xludf.DUMMYFUNCTION("GOOGLEFINANCE($A192,""high52"")"),95.27)</f>
        <v>95.27</v>
      </c>
      <c r="D192" s="39">
        <f t="shared" si="4"/>
        <v>-0.101605962</v>
      </c>
      <c r="E192" s="40" t="str">
        <f>VLOOKUP($A192,'Dados ClubeFII'!$A:$AU,column(E192)-$A$5,0)</f>
        <v>BTG Pactual Terras Agrícolas</v>
      </c>
      <c r="F192" s="40" t="str">
        <f>VLOOKUP($A192,'Dados ClubeFII'!$A:$AU,column(F192)-$A$5,0)</f>
        <v>BTG PACTUAL</v>
      </c>
      <c r="G192" s="40" t="str">
        <f>VLOOKUP($A192,'Dados ClubeFII'!$A:$AU,column(G192)-$A$5,0)</f>
        <v>Agronegócio</v>
      </c>
      <c r="H192" s="41">
        <f>MID(VLOOKUP($A192,'Dados ClubeFII'!$A:$AU,column(H192)-$A$5,0),3,100)/mid(VLOOKUP($A192,'Dados ClubeFII'!$A:$AU,2,0),4,SEARCH(",",VLOOKUP($A192,'Dados ClubeFII'!$A:$AU,2,0))-1)*B192</f>
        <v>4568514544</v>
      </c>
      <c r="I192" s="41">
        <f>MID(VLOOKUP($A192,'Dados ClubeFII'!$A:$AU,column(I192)-$A$5,0),3,100)/1</f>
        <v>466641228.3</v>
      </c>
      <c r="J192" s="42">
        <f>VLOOKUP($A192,'Dados ClubeFII'!$A:$AU,column(J192)-$A$5,0)/mid(VLOOKUP($A192,'Dados ClubeFII'!$A:$AU,2,0),3,SEARCH(",",VLOOKUP($A192,'Dados ClubeFII'!$A:$AU,2,0)))*B192</f>
        <v>0.61200211</v>
      </c>
      <c r="K192" s="41">
        <f>if(VLOOKUP($A192,'Dados ClubeFII'!$A:$AU,column(K192)-$A$5,0)="N/D",0,MID(VLOOKUP($A192,'Dados ClubeFII'!$A:$AU,column(K192)-$A$5,0),3,100)/1)/mid(VLOOKUP($A192,'Dados ClubeFII'!$A:$AU,2,0),3,SEARCH(",",VLOOKUP($A192,'Dados ClubeFII'!$A:$AU,2,0)))*B192</f>
        <v>0</v>
      </c>
      <c r="L192" s="41">
        <f>if(VLOOKUP($A192,'Dados ClubeFII'!$A:$AU,column(L192)-$A$5,0)="N/D",0,MID(VLOOKUP($A192,'Dados ClubeFII'!$A:$AU,column(L192)-$A$5,0),3,100)/1)</f>
        <v>0</v>
      </c>
      <c r="M192" s="41">
        <f>MID(VLOOKUP($A192,'Dados ClubeFII'!$A:$AU,column(M192)-$A$5,0),3,100)/1</f>
        <v>0.95</v>
      </c>
      <c r="N192" s="41">
        <f>MID(VLOOKUP($A192,'Dados ClubeFII'!$A:$AU,column(N192)-$A$5,0),3,100)/1</f>
        <v>0</v>
      </c>
      <c r="O192" s="41">
        <f>LEFT(VLOOKUP($A192,'Dados ClubeFII'!$A:$AU,column(O192)-$A$5,0),len(VLOOKUP($A192,'Dados ClubeFII'!$A:$AU,column(O192)-$A$5,0))-2)/1</f>
        <v>0</v>
      </c>
      <c r="P192" s="43">
        <f>VLOOKUP($A192,'Dados ClubeFII'!$A:$AU,column(P192)-$A$5,0)</f>
        <v>44985</v>
      </c>
      <c r="Q192" s="44">
        <f>VLOOKUP($A192,'Dados ClubeFII'!$A:$AU,column(Q192)-$A$5,0)/mid(VLOOKUP($A192,'Dados ClubeFII'!$A:$AU,2,0),3,SEARCH(",",VLOOKUP($A192,'Dados ClubeFII'!$A:$AU,2,0)))*B192</f>
        <v>0.1445729574</v>
      </c>
      <c r="R192" s="44">
        <f>VLOOKUP($A192,'Dados ClubeFII'!$A:$AU,column(R192)-$A$5,0)/mid(VLOOKUP($A192,'Dados ClubeFII'!$A:$AU,2,0),3,SEARCH(",",VLOOKUP($A192,'Dados ClubeFII'!$A:$AU,2,0)))*B192</f>
        <v>0.1179859805</v>
      </c>
      <c r="S192" s="43">
        <f>VLOOKUP($A192,'Dados ClubeFII'!$A:$AU,column(S192)-$A$5,0)</f>
        <v>44407</v>
      </c>
      <c r="T192" s="41">
        <f>MID(VLOOKUP($A192,'Dados ClubeFII'!$A:$AU,column(T192)-$A$5,0),3,100)/1</f>
        <v>100</v>
      </c>
      <c r="U192" s="45">
        <f>VLOOKUP($A192,'Dados ClubeFII'!$A:$AU,column(U192)-$A$5,0)/mid(VLOOKUP($A192,'Dados ClubeFII'!$A:$AU,2,0),4,SEARCH(",",VLOOKUP($A192,'Dados ClubeFII'!$A:$AU,2,0))-1)*B192</f>
        <v>-0.3642813559</v>
      </c>
      <c r="V192" s="42" t="str">
        <f>VLOOKUP($A192,'Dados ClubeFII'!$A:$AU,column(V192)-$A$5,0)</f>
        <v>N/D</v>
      </c>
      <c r="W192" s="43" t="str">
        <f>VLOOKUP($A192,'Dados ClubeFII'!$A:$AU,column(W192)-$A$5,0)</f>
        <v>N/D</v>
      </c>
      <c r="X192" s="45">
        <f>VLOOKUP($A192,'Dados ClubeFII'!$A:$AU,column(X192)-$A$5,0)</f>
        <v>0.0027</v>
      </c>
      <c r="Y192" s="41">
        <f>MID(VLOOKUP($A192,'Dados ClubeFII'!$A:$AU,column(Y192)-$A$5,0),3,100)/1</f>
        <v>565577.63</v>
      </c>
      <c r="Z192" s="46">
        <f>VLOOKUP($A192,'Dados ClubeFII'!$A:$AU,column(Z192)-$A$5,0)</f>
        <v>20770</v>
      </c>
      <c r="AA192" s="47">
        <f t="shared" si="2"/>
        <v>53376732</v>
      </c>
      <c r="AB192" s="48">
        <f t="shared" si="3"/>
        <v>8.742409114</v>
      </c>
      <c r="AC192" s="48"/>
      <c r="AD192" s="48"/>
      <c r="AE192" s="48"/>
    </row>
    <row r="193">
      <c r="A193" s="54" t="s">
        <v>216</v>
      </c>
      <c r="B193" s="38">
        <f>IFERROR(__xludf.DUMMYFUNCTION("GOOGLEFINANCE(A193)"),2.11)</f>
        <v>2.11</v>
      </c>
      <c r="C193" s="38">
        <f>IFERROR(__xludf.DUMMYFUNCTION("GOOGLEFINANCE($A193,""high52"")"),5.93)</f>
        <v>5.93</v>
      </c>
      <c r="D193" s="39">
        <f t="shared" si="4"/>
        <v>-0.6441821248</v>
      </c>
      <c r="E193" s="40" t="str">
        <f>VLOOKUP($A193,'Dados ClubeFII'!$A:$AU,column(E193)-$A$5,0)</f>
        <v>Brazilian GraveyardDeath Care</v>
      </c>
      <c r="F193" s="40" t="str">
        <f>VLOOKUP($A193,'Dados ClubeFII'!$A:$AU,column(F193)-$A$5,0)</f>
        <v>Zion Gestão</v>
      </c>
      <c r="G193" s="40" t="str">
        <f>VLOOKUP($A193,'Dados ClubeFII'!$A:$AU,column(G193)-$A$5,0)</f>
        <v>Outros</v>
      </c>
      <c r="H193" s="41">
        <f>MID(VLOOKUP($A193,'Dados ClubeFII'!$A:$AU,column(H193)-$A$5,0),3,100)/mid(VLOOKUP($A193,'Dados ClubeFII'!$A:$AU,2,0),4,SEARCH(",",VLOOKUP($A193,'Dados ClubeFII'!$A:$AU,2,0))-1)*B193</f>
        <v>500288307.1</v>
      </c>
      <c r="I193" s="41">
        <f>MID(VLOOKUP($A193,'Dados ClubeFII'!$A:$AU,column(I193)-$A$5,0),3,100)/1</f>
        <v>291093995.4</v>
      </c>
      <c r="J193" s="42">
        <f>VLOOKUP($A193,'Dados ClubeFII'!$A:$AU,column(J193)-$A$5,0)/mid(VLOOKUP($A193,'Dados ClubeFII'!$A:$AU,2,0),3,SEARCH(",",VLOOKUP($A193,'Dados ClubeFII'!$A:$AU,2,0)))*B193</f>
        <v>0.2603829787</v>
      </c>
      <c r="K193" s="41">
        <f>if(VLOOKUP($A193,'Dados ClubeFII'!$A:$AU,column(K193)-$A$5,0)="N/D",0,MID(VLOOKUP($A193,'Dados ClubeFII'!$A:$AU,column(K193)-$A$5,0),3,100)/1)/mid(VLOOKUP($A193,'Dados ClubeFII'!$A:$AU,2,0),3,SEARCH(",",VLOOKUP($A193,'Dados ClubeFII'!$A:$AU,2,0)))*B193</f>
        <v>0</v>
      </c>
      <c r="L193" s="41">
        <f>if(VLOOKUP($A193,'Dados ClubeFII'!$A:$AU,column(L193)-$A$5,0)="N/D",0,MID(VLOOKUP($A193,'Dados ClubeFII'!$A:$AU,column(L193)-$A$5,0),3,100)/1)</f>
        <v>0</v>
      </c>
      <c r="M193" s="41">
        <f>MID(VLOOKUP($A193,'Dados ClubeFII'!$A:$AU,column(M193)-$A$5,0),3,100)/1</f>
        <v>0</v>
      </c>
      <c r="N193" s="41">
        <f>MID(VLOOKUP($A193,'Dados ClubeFII'!$A:$AU,column(N193)-$A$5,0),3,100)/1</f>
        <v>0</v>
      </c>
      <c r="O193" s="41">
        <f>LEFT(VLOOKUP($A193,'Dados ClubeFII'!$A:$AU,column(O193)-$A$5,0),len(VLOOKUP($A193,'Dados ClubeFII'!$A:$AU,column(O193)-$A$5,0))-2)/1</f>
        <v>0</v>
      </c>
      <c r="P193" s="43">
        <f>VLOOKUP($A193,'Dados ClubeFII'!$A:$AU,column(P193)-$A$5,0)</f>
        <v>44963</v>
      </c>
      <c r="Q193" s="44">
        <f>VLOOKUP($A193,'Dados ClubeFII'!$A:$AU,column(Q193)-$A$5,0)/mid(VLOOKUP($A193,'Dados ClubeFII'!$A:$AU,2,0),3,SEARCH(",",VLOOKUP($A193,'Dados ClubeFII'!$A:$AU,2,0)))*B193</f>
        <v>0</v>
      </c>
      <c r="R193" s="44">
        <f>VLOOKUP($A193,'Dados ClubeFII'!$A:$AU,column(R193)-$A$5,0)/mid(VLOOKUP($A193,'Dados ClubeFII'!$A:$AU,2,0),3,SEARCH(",",VLOOKUP($A193,'Dados ClubeFII'!$A:$AU,2,0)))*B193</f>
        <v>0</v>
      </c>
      <c r="S193" s="43">
        <f>VLOOKUP($A193,'Dados ClubeFII'!$A:$AU,column(S193)-$A$5,0)</f>
        <v>41334</v>
      </c>
      <c r="T193" s="41">
        <f>MID(VLOOKUP($A193,'Dados ClubeFII'!$A:$AU,column(T193)-$A$5,0),3,100)/1</f>
        <v>5</v>
      </c>
      <c r="U193" s="45">
        <f>VLOOKUP($A193,'Dados ClubeFII'!$A:$AU,column(U193)-$A$5,0)/mid(VLOOKUP($A193,'Dados ClubeFII'!$A:$AU,2,0),4,SEARCH(",",VLOOKUP($A193,'Dados ClubeFII'!$A:$AU,2,0))-1)*B193</f>
        <v>-1.068865714</v>
      </c>
      <c r="V193" s="42" t="str">
        <f>VLOOKUP($A193,'Dados ClubeFII'!$A:$AU,column(V193)-$A$5,0)</f>
        <v>N/D</v>
      </c>
      <c r="W193" s="43" t="str">
        <f>VLOOKUP($A193,'Dados ClubeFII'!$A:$AU,column(W193)-$A$5,0)</f>
        <v>N/D</v>
      </c>
      <c r="X193" s="45">
        <f>VLOOKUP($A193,'Dados ClubeFII'!$A:$AU,column(X193)-$A$5,0)</f>
        <v>0.0009</v>
      </c>
      <c r="Y193" s="41">
        <f>MID(VLOOKUP($A193,'Dados ClubeFII'!$A:$AU,column(Y193)-$A$5,0),3,100)/1</f>
        <v>18070.45</v>
      </c>
      <c r="Z193" s="46">
        <f>VLOOKUP($A193,'Dados ClubeFII'!$A:$AU,column(Z193)-$A$5,0)</f>
        <v>11984</v>
      </c>
      <c r="AA193" s="47">
        <f t="shared" si="2"/>
        <v>237103463</v>
      </c>
      <c r="AB193" s="48">
        <f t="shared" si="3"/>
        <v>1.227708747</v>
      </c>
      <c r="AC193" s="48"/>
      <c r="AD193" s="48"/>
      <c r="AE193" s="48"/>
    </row>
    <row r="194">
      <c r="A194" s="54" t="s">
        <v>217</v>
      </c>
      <c r="B194" s="38">
        <f>IFERROR(__xludf.DUMMYFUNCTION("GOOGLEFINANCE(A194)"),7.9)</f>
        <v>7.9</v>
      </c>
      <c r="C194" s="38">
        <f>IFERROR(__xludf.DUMMYFUNCTION("GOOGLEFINANCE($A194,""high52"")"),8.57)</f>
        <v>8.57</v>
      </c>
      <c r="D194" s="39">
        <f t="shared" si="4"/>
        <v>-0.07817969662</v>
      </c>
      <c r="E194" s="40" t="str">
        <f>VLOOKUP($A194,'Dados ClubeFII'!$A:$AU,column(E194)-$A$5,0)</f>
        <v>Kilima FoF Suno 30</v>
      </c>
      <c r="F194" s="40" t="str">
        <f>VLOOKUP($A194,'Dados ClubeFII'!$A:$AU,column(F194)-$A$5,0)</f>
        <v>KILIMA</v>
      </c>
      <c r="G194" s="40" t="str">
        <f>VLOOKUP($A194,'Dados ClubeFII'!$A:$AU,column(G194)-$A$5,0)</f>
        <v>Fundo de Fundos</v>
      </c>
      <c r="H194" s="41" t="str">
        <f>MID(VLOOKUP($A194,'Dados ClubeFII'!$A:$AU,column(H194)-$A$5,0),3,100)/mid(VLOOKUP($A194,'Dados ClubeFII'!$A:$AU,2,0),4,SEARCH(",",VLOOKUP($A194,'Dados ClubeFII'!$A:$AU,2,0))-1)*B194</f>
        <v>#DIV/0!</v>
      </c>
      <c r="I194" s="41">
        <f>MID(VLOOKUP($A194,'Dados ClubeFII'!$A:$AU,column(I194)-$A$5,0),3,100)/1</f>
        <v>375784403.7</v>
      </c>
      <c r="J194" s="42">
        <f>VLOOKUP($A194,'Dados ClubeFII'!$A:$AU,column(J194)-$A$5,0)/mid(VLOOKUP($A194,'Dados ClubeFII'!$A:$AU,2,0),3,SEARCH(",",VLOOKUP($A194,'Dados ClubeFII'!$A:$AU,2,0)))*B194</f>
        <v>0.92825</v>
      </c>
      <c r="K194" s="41">
        <f>if(VLOOKUP($A194,'Dados ClubeFII'!$A:$AU,column(K194)-$A$5,0)="N/D",0,MID(VLOOKUP($A194,'Dados ClubeFII'!$A:$AU,column(K194)-$A$5,0),3,100)/1)/mid(VLOOKUP($A194,'Dados ClubeFII'!$A:$AU,2,0),3,SEARCH(",",VLOOKUP($A194,'Dados ClubeFII'!$A:$AU,2,0)))*B194</f>
        <v>0</v>
      </c>
      <c r="L194" s="41">
        <f>if(VLOOKUP($A194,'Dados ClubeFII'!$A:$AU,column(L194)-$A$5,0)="N/D",0,MID(VLOOKUP($A194,'Dados ClubeFII'!$A:$AU,column(L194)-$A$5,0),3,100)/1)</f>
        <v>0</v>
      </c>
      <c r="M194" s="41">
        <f>MID(VLOOKUP($A194,'Dados ClubeFII'!$A:$AU,column(M194)-$A$5,0),3,100)/1</f>
        <v>0.08</v>
      </c>
      <c r="N194" s="41">
        <f>MID(VLOOKUP($A194,'Dados ClubeFII'!$A:$AU,column(N194)-$A$5,0),3,100)/1</f>
        <v>0</v>
      </c>
      <c r="O194" s="41">
        <f>LEFT(VLOOKUP($A194,'Dados ClubeFII'!$A:$AU,column(O194)-$A$5,0),len(VLOOKUP($A194,'Dados ClubeFII'!$A:$AU,column(O194)-$A$5,0))-2)/1</f>
        <v>0</v>
      </c>
      <c r="P194" s="43">
        <f>VLOOKUP($A194,'Dados ClubeFII'!$A:$AU,column(P194)-$A$5,0)</f>
        <v>44971</v>
      </c>
      <c r="Q194" s="44">
        <f>VLOOKUP($A194,'Dados ClubeFII'!$A:$AU,column(Q194)-$A$5,0)/mid(VLOOKUP($A194,'Dados ClubeFII'!$A:$AU,2,0),3,SEARCH(",",VLOOKUP($A194,'Dados ClubeFII'!$A:$AU,2,0)))*B194</f>
        <v>0.11761125</v>
      </c>
      <c r="R194" s="44">
        <f>VLOOKUP($A194,'Dados ClubeFII'!$A:$AU,column(R194)-$A$5,0)/mid(VLOOKUP($A194,'Dados ClubeFII'!$A:$AU,2,0),3,SEARCH(",",VLOOKUP($A194,'Dados ClubeFII'!$A:$AU,2,0)))*B194</f>
        <v>0.11168625</v>
      </c>
      <c r="S194" s="43">
        <f>VLOOKUP($A194,'Dados ClubeFII'!$A:$AU,column(S194)-$A$5,0)</f>
        <v>44112</v>
      </c>
      <c r="T194" s="41">
        <f>MID(VLOOKUP($A194,'Dados ClubeFII'!$A:$AU,column(T194)-$A$5,0),3,100)/1</f>
        <v>10</v>
      </c>
      <c r="U194" s="45" t="str">
        <f>VLOOKUP($A194,'Dados ClubeFII'!$A:$AU,column(U194)-$A$5,0)/mid(VLOOKUP($A194,'Dados ClubeFII'!$A:$AU,2,0),4,SEARCH(",",VLOOKUP($A194,'Dados ClubeFII'!$A:$AU,2,0))-1)*B194</f>
        <v>#DIV/0!</v>
      </c>
      <c r="V194" s="42" t="str">
        <f>VLOOKUP($A194,'Dados ClubeFII'!$A:$AU,column(V194)-$A$5,0)</f>
        <v>N/D</v>
      </c>
      <c r="W194" s="43" t="str">
        <f>VLOOKUP($A194,'Dados ClubeFII'!$A:$AU,column(W194)-$A$5,0)</f>
        <v>N/D</v>
      </c>
      <c r="X194" s="45">
        <f>VLOOKUP($A194,'Dados ClubeFII'!$A:$AU,column(X194)-$A$5,0)</f>
        <v>0.0033</v>
      </c>
      <c r="Y194" s="41">
        <f>MID(VLOOKUP($A194,'Dados ClubeFII'!$A:$AU,column(Y194)-$A$5,0),3,100)/1</f>
        <v>862067.53</v>
      </c>
      <c r="Z194" s="46">
        <f>VLOOKUP($A194,'Dados ClubeFII'!$A:$AU,column(Z194)-$A$5,0)</f>
        <v>118229</v>
      </c>
      <c r="AA194" s="47" t="str">
        <f t="shared" si="2"/>
        <v>#DIV/0!</v>
      </c>
      <c r="AB194" s="48" t="str">
        <f t="shared" si="3"/>
        <v>#DIV/0!</v>
      </c>
      <c r="AC194" s="48"/>
      <c r="AD194" s="48"/>
      <c r="AE194" s="48"/>
    </row>
    <row r="195">
      <c r="A195" s="54" t="s">
        <v>218</v>
      </c>
      <c r="B195" s="38">
        <f>IFERROR(__xludf.DUMMYFUNCTION("GOOGLEFINANCE(A195)"),8.8)</f>
        <v>8.8</v>
      </c>
      <c r="C195" s="38">
        <f>IFERROR(__xludf.DUMMYFUNCTION("GOOGLEFINANCE($A195,""high52"")"),9.13)</f>
        <v>9.13</v>
      </c>
      <c r="D195" s="39">
        <f t="shared" si="4"/>
        <v>-0.03614457831</v>
      </c>
      <c r="E195" s="40" t="str">
        <f>VLOOKUP($A195,'Dados ClubeFII'!$A:$AU,column(E195)-$A$5,0)</f>
        <v>Mauá Capital Hedge Fund</v>
      </c>
      <c r="F195" s="40" t="str">
        <f>VLOOKUP($A195,'Dados ClubeFII'!$A:$AU,column(F195)-$A$5,0)</f>
        <v>MAUA CAPITAL REAL ESTATE</v>
      </c>
      <c r="G195" s="40" t="str">
        <f>VLOOKUP($A195,'Dados ClubeFII'!$A:$AU,column(G195)-$A$5,0)</f>
        <v>Recebíveis Imobiliários</v>
      </c>
      <c r="H195" s="41">
        <f>MID(VLOOKUP($A195,'Dados ClubeFII'!$A:$AU,column(H195)-$A$5,0),3,100)/mid(VLOOKUP($A195,'Dados ClubeFII'!$A:$AU,2,0),4,SEARCH(",",VLOOKUP($A195,'Dados ClubeFII'!$A:$AU,2,0))-1)*B195</f>
        <v>2833595939</v>
      </c>
      <c r="I195" s="41">
        <f>MID(VLOOKUP($A195,'Dados ClubeFII'!$A:$AU,column(I195)-$A$5,0),3,100)/1</f>
        <v>304515100.9</v>
      </c>
      <c r="J195" s="42">
        <f>VLOOKUP($A195,'Dados ClubeFII'!$A:$AU,column(J195)-$A$5,0)/mid(VLOOKUP($A195,'Dados ClubeFII'!$A:$AU,2,0),3,SEARCH(",",VLOOKUP($A195,'Dados ClubeFII'!$A:$AU,2,0)))*B195</f>
        <v>0.9393258427</v>
      </c>
      <c r="K195" s="41">
        <f>if(VLOOKUP($A195,'Dados ClubeFII'!$A:$AU,column(K195)-$A$5,0)="N/D",0,MID(VLOOKUP($A195,'Dados ClubeFII'!$A:$AU,column(K195)-$A$5,0),3,100)/1)/mid(VLOOKUP($A195,'Dados ClubeFII'!$A:$AU,2,0),3,SEARCH(",",VLOOKUP($A195,'Dados ClubeFII'!$A:$AU,2,0)))*B195</f>
        <v>0</v>
      </c>
      <c r="L195" s="41">
        <f>if(VLOOKUP($A195,'Dados ClubeFII'!$A:$AU,column(L195)-$A$5,0)="N/D",0,MID(VLOOKUP($A195,'Dados ClubeFII'!$A:$AU,column(L195)-$A$5,0),3,100)/1)</f>
        <v>0</v>
      </c>
      <c r="M195" s="41">
        <f>MID(VLOOKUP($A195,'Dados ClubeFII'!$A:$AU,column(M195)-$A$5,0),3,100)/1</f>
        <v>0.1</v>
      </c>
      <c r="N195" s="41">
        <f>MID(VLOOKUP($A195,'Dados ClubeFII'!$A:$AU,column(N195)-$A$5,0),3,100)/1</f>
        <v>0</v>
      </c>
      <c r="O195" s="41">
        <f>LEFT(VLOOKUP($A195,'Dados ClubeFII'!$A:$AU,column(O195)-$A$5,0),len(VLOOKUP($A195,'Dados ClubeFII'!$A:$AU,column(O195)-$A$5,0))-2)/1</f>
        <v>0</v>
      </c>
      <c r="P195" s="43">
        <f>VLOOKUP($A195,'Dados ClubeFII'!$A:$AU,column(P195)-$A$5,0)</f>
        <v>44974</v>
      </c>
      <c r="Q195" s="44">
        <f>VLOOKUP($A195,'Dados ClubeFII'!$A:$AU,column(Q195)-$A$5,0)/mid(VLOOKUP($A195,'Dados ClubeFII'!$A:$AU,2,0),3,SEARCH(",",VLOOKUP($A195,'Dados ClubeFII'!$A:$AU,2,0)))*B195</f>
        <v>0.1407011236</v>
      </c>
      <c r="R195" s="44">
        <f>VLOOKUP($A195,'Dados ClubeFII'!$A:$AU,column(R195)-$A$5,0)/mid(VLOOKUP($A195,'Dados ClubeFII'!$A:$AU,2,0),3,SEARCH(",",VLOOKUP($A195,'Dados ClubeFII'!$A:$AU,2,0)))*B195</f>
        <v>0.1455460674</v>
      </c>
      <c r="S195" s="43">
        <f>VLOOKUP($A195,'Dados ClubeFII'!$A:$AU,column(S195)-$A$5,0)</f>
        <v>44384</v>
      </c>
      <c r="T195" s="41">
        <f>MID(VLOOKUP($A195,'Dados ClubeFII'!$A:$AU,column(T195)-$A$5,0),3,100)/1</f>
        <v>10</v>
      </c>
      <c r="U195" s="45">
        <f>VLOOKUP($A195,'Dados ClubeFII'!$A:$AU,column(U195)-$A$5,0)/mid(VLOOKUP($A195,'Dados ClubeFII'!$A:$AU,2,0),4,SEARCH(",",VLOOKUP($A195,'Dados ClubeFII'!$A:$AU,2,0))-1)*B195</f>
        <v>-0.2336888889</v>
      </c>
      <c r="V195" s="42" t="str">
        <f>VLOOKUP($A195,'Dados ClubeFII'!$A:$AU,column(V195)-$A$5,0)</f>
        <v>N/D</v>
      </c>
      <c r="W195" s="43" t="str">
        <f>VLOOKUP($A195,'Dados ClubeFII'!$A:$AU,column(W195)-$A$5,0)</f>
        <v>N/D</v>
      </c>
      <c r="X195" s="45">
        <f>VLOOKUP($A195,'Dados ClubeFII'!$A:$AU,column(X195)-$A$5,0)</f>
        <v>0.0027</v>
      </c>
      <c r="Y195" s="41">
        <f>MID(VLOOKUP($A195,'Dados ClubeFII'!$A:$AU,column(Y195)-$A$5,0),3,100)/1</f>
        <v>1120067.37</v>
      </c>
      <c r="Z195" s="46">
        <f>VLOOKUP($A195,'Dados ClubeFII'!$A:$AU,column(Z195)-$A$5,0)</f>
        <v>38439</v>
      </c>
      <c r="AA195" s="47">
        <f t="shared" si="2"/>
        <v>321999538</v>
      </c>
      <c r="AB195" s="48">
        <f t="shared" si="3"/>
        <v>0.9457004279</v>
      </c>
      <c r="AC195" s="48"/>
      <c r="AD195" s="48"/>
      <c r="AE195" s="48"/>
    </row>
    <row r="196">
      <c r="A196" s="54" t="s">
        <v>219</v>
      </c>
      <c r="B196" s="38">
        <f>IFERROR(__xludf.DUMMYFUNCTION("GOOGLEFINANCE(A196)"),94.5)</f>
        <v>94.5</v>
      </c>
      <c r="C196" s="38">
        <f>IFERROR(__xludf.DUMMYFUNCTION("GOOGLEFINANCE($A196,""high52"")"),95.38)</f>
        <v>95.38</v>
      </c>
      <c r="D196" s="39">
        <f t="shared" si="4"/>
        <v>-0.009226252883</v>
      </c>
      <c r="E196" s="40" t="str">
        <f>VLOOKUP($A196,'Dados ClubeFII'!$A:$AU,column(E196)-$A$5,0)</f>
        <v>Mérito Desenvolvimento Imobiliário I</v>
      </c>
      <c r="F196" s="40" t="str">
        <f>VLOOKUP($A196,'Dados ClubeFII'!$A:$AU,column(F196)-$A$5,0)</f>
        <v>MÉRITO INVESTIMENTOS</v>
      </c>
      <c r="G196" s="40" t="str">
        <f>VLOOKUP($A196,'Dados ClubeFII'!$A:$AU,column(G196)-$A$5,0)</f>
        <v>Incorporação Residencial</v>
      </c>
      <c r="H196" s="41">
        <f>MID(VLOOKUP($A196,'Dados ClubeFII'!$A:$AU,column(H196)-$A$5,0),3,100)/mid(VLOOKUP($A196,'Dados ClubeFII'!$A:$AU,2,0),4,SEARCH(",",VLOOKUP($A196,'Dados ClubeFII'!$A:$AU,2,0))-1)*B196</f>
        <v>9875847909</v>
      </c>
      <c r="I196" s="41">
        <f>MID(VLOOKUP($A196,'Dados ClubeFII'!$A:$AU,column(I196)-$A$5,0),3,100)/1</f>
        <v>427711423.5</v>
      </c>
      <c r="J196" s="42">
        <f>VLOOKUP($A196,'Dados ClubeFII'!$A:$AU,column(J196)-$A$5,0)/mid(VLOOKUP($A196,'Dados ClubeFII'!$A:$AU,2,0),3,SEARCH(",",VLOOKUP($A196,'Dados ClubeFII'!$A:$AU,2,0)))*B196</f>
        <v>0.9174757282</v>
      </c>
      <c r="K196" s="41">
        <f>if(VLOOKUP($A196,'Dados ClubeFII'!$A:$AU,column(K196)-$A$5,0)="N/D",0,MID(VLOOKUP($A196,'Dados ClubeFII'!$A:$AU,column(K196)-$A$5,0),3,100)/1)/mid(VLOOKUP($A196,'Dados ClubeFII'!$A:$AU,2,0),3,SEARCH(",",VLOOKUP($A196,'Dados ClubeFII'!$A:$AU,2,0)))*B196</f>
        <v>0</v>
      </c>
      <c r="L196" s="41">
        <f>if(VLOOKUP($A196,'Dados ClubeFII'!$A:$AU,column(L196)-$A$5,0)="N/D",0,MID(VLOOKUP($A196,'Dados ClubeFII'!$A:$AU,column(L196)-$A$5,0),3,100)/1)</f>
        <v>0</v>
      </c>
      <c r="M196" s="41">
        <f>MID(VLOOKUP($A196,'Dados ClubeFII'!$A:$AU,column(M196)-$A$5,0),3,100)/1</f>
        <v>1.1</v>
      </c>
      <c r="N196" s="41">
        <f>MID(VLOOKUP($A196,'Dados ClubeFII'!$A:$AU,column(N196)-$A$5,0),3,100)/1</f>
        <v>0</v>
      </c>
      <c r="O196" s="41">
        <f>LEFT(VLOOKUP($A196,'Dados ClubeFII'!$A:$AU,column(O196)-$A$5,0),len(VLOOKUP($A196,'Dados ClubeFII'!$A:$AU,column(O196)-$A$5,0))-2)/1</f>
        <v>0</v>
      </c>
      <c r="P196" s="43">
        <f>VLOOKUP($A196,'Dados ClubeFII'!$A:$AU,column(P196)-$A$5,0)</f>
        <v>44971</v>
      </c>
      <c r="Q196" s="44">
        <f>VLOOKUP($A196,'Dados ClubeFII'!$A:$AU,column(Q196)-$A$5,0)/mid(VLOOKUP($A196,'Dados ClubeFII'!$A:$AU,2,0),3,SEARCH(",",VLOOKUP($A196,'Dados ClubeFII'!$A:$AU,2,0)))*B196</f>
        <v>0.1510306199</v>
      </c>
      <c r="R196" s="44">
        <f>VLOOKUP($A196,'Dados ClubeFII'!$A:$AU,column(R196)-$A$5,0)/mid(VLOOKUP($A196,'Dados ClubeFII'!$A:$AU,2,0),3,SEARCH(",",VLOOKUP($A196,'Dados ClubeFII'!$A:$AU,2,0)))*B196</f>
        <v>0.1434690067</v>
      </c>
      <c r="S196" s="43">
        <f>VLOOKUP($A196,'Dados ClubeFII'!$A:$AU,column(S196)-$A$5,0)</f>
        <v>41487</v>
      </c>
      <c r="T196" s="41">
        <f>MID(VLOOKUP($A196,'Dados ClubeFII'!$A:$AU,column(T196)-$A$5,0),3,100)/1</f>
        <v>100</v>
      </c>
      <c r="U196" s="45">
        <f>VLOOKUP($A196,'Dados ClubeFII'!$A:$AU,column(U196)-$A$5,0)/mid(VLOOKUP($A196,'Dados ClubeFII'!$A:$AU,2,0),4,SEARCH(",",VLOOKUP($A196,'Dados ClubeFII'!$A:$AU,2,0))-1)*B196</f>
        <v>0.1418766756</v>
      </c>
      <c r="V196" s="42" t="str">
        <f>VLOOKUP($A196,'Dados ClubeFII'!$A:$AU,column(V196)-$A$5,0)</f>
        <v>N/D</v>
      </c>
      <c r="W196" s="43" t="str">
        <f>VLOOKUP($A196,'Dados ClubeFII'!$A:$AU,column(W196)-$A$5,0)</f>
        <v>N/D</v>
      </c>
      <c r="X196" s="45">
        <f>VLOOKUP($A196,'Dados ClubeFII'!$A:$AU,column(X196)-$A$5,0)</f>
        <v>0.0035</v>
      </c>
      <c r="Y196" s="41">
        <f>MID(VLOOKUP($A196,'Dados ClubeFII'!$A:$AU,column(Y196)-$A$5,0),3,100)/1</f>
        <v>285904.64</v>
      </c>
      <c r="Z196" s="46">
        <f>VLOOKUP($A196,'Dados ClubeFII'!$A:$AU,column(Z196)-$A$5,0)</f>
        <v>28587</v>
      </c>
      <c r="AA196" s="47">
        <f t="shared" si="2"/>
        <v>104506327</v>
      </c>
      <c r="AB196" s="48">
        <f t="shared" si="3"/>
        <v>4.092684489</v>
      </c>
      <c r="AC196" s="48"/>
      <c r="AD196" s="48"/>
      <c r="AE196" s="48"/>
    </row>
    <row r="197">
      <c r="A197" s="54" t="s">
        <v>220</v>
      </c>
      <c r="B197" s="38">
        <f>IFERROR(__xludf.DUMMYFUNCTION("GOOGLEFINANCE(A197)"),81.02)</f>
        <v>81.02</v>
      </c>
      <c r="C197" s="38">
        <f>IFERROR(__xludf.DUMMYFUNCTION("GOOGLEFINANCE($A197,""high52"")"),89.53)</f>
        <v>89.53</v>
      </c>
      <c r="D197" s="39">
        <f t="shared" si="4"/>
        <v>-0.0950519379</v>
      </c>
      <c r="E197" s="40" t="str">
        <f>VLOOKUP($A197,'Dados ClubeFII'!$A:$AU,column(E197)-$A$5,0)</f>
        <v>NCH Brasil Recebíveis Imobiliários</v>
      </c>
      <c r="F197" s="40" t="str">
        <f>VLOOKUP($A197,'Dados ClubeFII'!$A:$AU,column(F197)-$A$5,0)</f>
        <v>nch brasil</v>
      </c>
      <c r="G197" s="40" t="str">
        <f>VLOOKUP($A197,'Dados ClubeFII'!$A:$AU,column(G197)-$A$5,0)</f>
        <v>Recebíveis Imobiliários</v>
      </c>
      <c r="H197" s="41">
        <f>MID(VLOOKUP($A197,'Dados ClubeFII'!$A:$AU,column(H197)-$A$5,0),3,100)/mid(VLOOKUP($A197,'Dados ClubeFII'!$A:$AU,2,0),4,SEARCH(",",VLOOKUP($A197,'Dados ClubeFII'!$A:$AU,2,0))-1)*B197</f>
        <v>2476490057</v>
      </c>
      <c r="I197" s="41">
        <f>MID(VLOOKUP($A197,'Dados ClubeFII'!$A:$AU,column(I197)-$A$5,0),3,100)/1</f>
        <v>151737387.6</v>
      </c>
      <c r="J197" s="42">
        <f>VLOOKUP($A197,'Dados ClubeFII'!$A:$AU,column(J197)-$A$5,0)/mid(VLOOKUP($A197,'Dados ClubeFII'!$A:$AU,2,0),3,SEARCH(",",VLOOKUP($A197,'Dados ClubeFII'!$A:$AU,2,0)))*B197</f>
        <v>0.8993717525</v>
      </c>
      <c r="K197" s="41">
        <f>if(VLOOKUP($A197,'Dados ClubeFII'!$A:$AU,column(K197)-$A$5,0)="N/D",0,MID(VLOOKUP($A197,'Dados ClubeFII'!$A:$AU,column(K197)-$A$5,0),3,100)/1)/mid(VLOOKUP($A197,'Dados ClubeFII'!$A:$AU,2,0),3,SEARCH(",",VLOOKUP($A197,'Dados ClubeFII'!$A:$AU,2,0)))*B197</f>
        <v>0</v>
      </c>
      <c r="L197" s="41">
        <f>if(VLOOKUP($A197,'Dados ClubeFII'!$A:$AU,column(L197)-$A$5,0)="N/D",0,MID(VLOOKUP($A197,'Dados ClubeFII'!$A:$AU,column(L197)-$A$5,0),3,100)/1)</f>
        <v>0</v>
      </c>
      <c r="M197" s="41">
        <f>MID(VLOOKUP($A197,'Dados ClubeFII'!$A:$AU,column(M197)-$A$5,0),3,100)/1</f>
        <v>1</v>
      </c>
      <c r="N197" s="41">
        <f>MID(VLOOKUP($A197,'Dados ClubeFII'!$A:$AU,column(N197)-$A$5,0),3,100)/1</f>
        <v>0</v>
      </c>
      <c r="O197" s="41">
        <f>LEFT(VLOOKUP($A197,'Dados ClubeFII'!$A:$AU,column(O197)-$A$5,0),len(VLOOKUP($A197,'Dados ClubeFII'!$A:$AU,column(O197)-$A$5,0))-2)/1</f>
        <v>0</v>
      </c>
      <c r="P197" s="43">
        <f>VLOOKUP($A197,'Dados ClubeFII'!$A:$AU,column(P197)-$A$5,0)</f>
        <v>44971</v>
      </c>
      <c r="Q197" s="44">
        <f>VLOOKUP($A197,'Dados ClubeFII'!$A:$AU,column(Q197)-$A$5,0)/mid(VLOOKUP($A197,'Dados ClubeFII'!$A:$AU,2,0),3,SEARCH(",",VLOOKUP($A197,'Dados ClubeFII'!$A:$AU,2,0)))*B197</f>
        <v>0.1455260038</v>
      </c>
      <c r="R197" s="44">
        <f>VLOOKUP($A197,'Dados ClubeFII'!$A:$AU,column(R197)-$A$5,0)/mid(VLOOKUP($A197,'Dados ClubeFII'!$A:$AU,2,0),3,SEARCH(",",VLOOKUP($A197,'Dados ClubeFII'!$A:$AU,2,0)))*B197</f>
        <v>0.1756645253</v>
      </c>
      <c r="S197" s="43">
        <f>VLOOKUP($A197,'Dados ClubeFII'!$A:$AU,column(S197)-$A$5,0)</f>
        <v>41550</v>
      </c>
      <c r="T197" s="41">
        <f>MID(VLOOKUP($A197,'Dados ClubeFII'!$A:$AU,column(T197)-$A$5,0),3,100)/1</f>
        <v>1000</v>
      </c>
      <c r="U197" s="45">
        <f>VLOOKUP($A197,'Dados ClubeFII'!$A:$AU,column(U197)-$A$5,0)/mid(VLOOKUP($A197,'Dados ClubeFII'!$A:$AU,2,0),4,SEARCH(",",VLOOKUP($A197,'Dados ClubeFII'!$A:$AU,2,0))-1)*B197</f>
        <v>-0.9140717949</v>
      </c>
      <c r="V197" s="42" t="str">
        <f>VLOOKUP($A197,'Dados ClubeFII'!$A:$AU,column(V197)-$A$5,0)</f>
        <v>N/D</v>
      </c>
      <c r="W197" s="43" t="str">
        <f>VLOOKUP($A197,'Dados ClubeFII'!$A:$AU,column(W197)-$A$5,0)</f>
        <v>N/D</v>
      </c>
      <c r="X197" s="45">
        <f>VLOOKUP($A197,'Dados ClubeFII'!$A:$AU,column(X197)-$A$5,0)</f>
        <v>0.0015</v>
      </c>
      <c r="Y197" s="41">
        <f>MID(VLOOKUP($A197,'Dados ClubeFII'!$A:$AU,column(Y197)-$A$5,0),3,100)/1</f>
        <v>362237.62</v>
      </c>
      <c r="Z197" s="46">
        <f>VLOOKUP($A197,'Dados ClubeFII'!$A:$AU,column(Z197)-$A$5,0)</f>
        <v>12079</v>
      </c>
      <c r="AA197" s="47">
        <f t="shared" si="2"/>
        <v>30566404</v>
      </c>
      <c r="AB197" s="48">
        <f t="shared" si="3"/>
        <v>4.964188382</v>
      </c>
      <c r="AC197" s="48"/>
      <c r="AD197" s="48"/>
      <c r="AE197" s="48"/>
    </row>
    <row r="198">
      <c r="A198" s="54" t="s">
        <v>221</v>
      </c>
      <c r="B198" s="38">
        <f>IFERROR(__xludf.DUMMYFUNCTION("GOOGLEFINANCE(A198)"),83.8)</f>
        <v>83.8</v>
      </c>
      <c r="C198" s="38">
        <f>IFERROR(__xludf.DUMMYFUNCTION("GOOGLEFINANCE($A198,""high52"")"),91.92)</f>
        <v>91.92</v>
      </c>
      <c r="D198" s="39">
        <f t="shared" si="4"/>
        <v>-0.08833768494</v>
      </c>
      <c r="E198" s="40" t="str">
        <f>VLOOKUP($A198,'Dados ClubeFII'!$A:$AU,column(E198)-$A$5,0)</f>
        <v>Polo Crédito Imobiliário</v>
      </c>
      <c r="F198" s="40" t="str">
        <f>VLOOKUP($A198,'Dados ClubeFII'!$A:$AU,column(F198)-$A$5,0)</f>
        <v>POLO CAPITAL</v>
      </c>
      <c r="G198" s="40" t="str">
        <f>VLOOKUP($A198,'Dados ClubeFII'!$A:$AU,column(G198)-$A$5,0)</f>
        <v>Recebíveis Imobiliários</v>
      </c>
      <c r="H198" s="41">
        <f>MID(VLOOKUP($A198,'Dados ClubeFII'!$A:$AU,column(H198)-$A$5,0),3,100)/mid(VLOOKUP($A198,'Dados ClubeFII'!$A:$AU,2,0),4,SEARCH(",",VLOOKUP($A198,'Dados ClubeFII'!$A:$AU,2,0))-1)*B198</f>
        <v>3612872310</v>
      </c>
      <c r="I198" s="41">
        <f>MID(VLOOKUP($A198,'Dados ClubeFII'!$A:$AU,column(I198)-$A$5,0),3,100)/1</f>
        <v>363550200.2</v>
      </c>
      <c r="J198" s="42">
        <f>VLOOKUP($A198,'Dados ClubeFII'!$A:$AU,column(J198)-$A$5,0)/mid(VLOOKUP($A198,'Dados ClubeFII'!$A:$AU,2,0),3,SEARCH(",",VLOOKUP($A198,'Dados ClubeFII'!$A:$AU,2,0)))*B198</f>
        <v>0.8613522156</v>
      </c>
      <c r="K198" s="41">
        <f>if(VLOOKUP($A198,'Dados ClubeFII'!$A:$AU,column(K198)-$A$5,0)="N/D",0,MID(VLOOKUP($A198,'Dados ClubeFII'!$A:$AU,column(K198)-$A$5,0),3,100)/1)/mid(VLOOKUP($A198,'Dados ClubeFII'!$A:$AU,2,0),3,SEARCH(",",VLOOKUP($A198,'Dados ClubeFII'!$A:$AU,2,0)))*B198</f>
        <v>0</v>
      </c>
      <c r="L198" s="41">
        <f>if(VLOOKUP($A198,'Dados ClubeFII'!$A:$AU,column(L198)-$A$5,0)="N/D",0,MID(VLOOKUP($A198,'Dados ClubeFII'!$A:$AU,column(L198)-$A$5,0),3,100)/1)</f>
        <v>0</v>
      </c>
      <c r="M198" s="41">
        <f>MID(VLOOKUP($A198,'Dados ClubeFII'!$A:$AU,column(M198)-$A$5,0),3,100)/1</f>
        <v>1.12</v>
      </c>
      <c r="N198" s="41">
        <f>MID(VLOOKUP($A198,'Dados ClubeFII'!$A:$AU,column(N198)-$A$5,0),3,100)/1</f>
        <v>0</v>
      </c>
      <c r="O198" s="41">
        <f>LEFT(VLOOKUP($A198,'Dados ClubeFII'!$A:$AU,column(O198)-$A$5,0),len(VLOOKUP($A198,'Dados ClubeFII'!$A:$AU,column(O198)-$A$5,0))-2)/1</f>
        <v>0</v>
      </c>
      <c r="P198" s="43">
        <f>VLOOKUP($A198,'Dados ClubeFII'!$A:$AU,column(P198)-$A$5,0)</f>
        <v>44964</v>
      </c>
      <c r="Q198" s="44">
        <f>VLOOKUP($A198,'Dados ClubeFII'!$A:$AU,column(Q198)-$A$5,0)/mid(VLOOKUP($A198,'Dados ClubeFII'!$A:$AU,2,0),3,SEARCH(",",VLOOKUP($A198,'Dados ClubeFII'!$A:$AU,2,0)))*B198</f>
        <v>0.1580102787</v>
      </c>
      <c r="R198" s="44">
        <f>VLOOKUP($A198,'Dados ClubeFII'!$A:$AU,column(R198)-$A$5,0)/mid(VLOOKUP($A198,'Dados ClubeFII'!$A:$AU,2,0),3,SEARCH(",",VLOOKUP($A198,'Dados ClubeFII'!$A:$AU,2,0)))*B198</f>
        <v>0.1592544541</v>
      </c>
      <c r="S198" s="43">
        <f>VLOOKUP($A198,'Dados ClubeFII'!$A:$AU,column(S198)-$A$5,0)</f>
        <v>41278</v>
      </c>
      <c r="T198" s="41">
        <f>MID(VLOOKUP($A198,'Dados ClubeFII'!$A:$AU,column(T198)-$A$5,0),3,100)/1</f>
        <v>100</v>
      </c>
      <c r="U198" s="45">
        <f>VLOOKUP($A198,'Dados ClubeFII'!$A:$AU,column(U198)-$A$5,0)/mid(VLOOKUP($A198,'Dados ClubeFII'!$A:$AU,2,0),4,SEARCH(",",VLOOKUP($A198,'Dados ClubeFII'!$A:$AU,2,0))-1)*B198</f>
        <v>-0.4167830688</v>
      </c>
      <c r="V198" s="42" t="str">
        <f>VLOOKUP($A198,'Dados ClubeFII'!$A:$AU,column(V198)-$A$5,0)</f>
        <v>N/D</v>
      </c>
      <c r="W198" s="43" t="str">
        <f>VLOOKUP($A198,'Dados ClubeFII'!$A:$AU,column(W198)-$A$5,0)</f>
        <v>N/D</v>
      </c>
      <c r="X198" s="45">
        <f>VLOOKUP($A198,'Dados ClubeFII'!$A:$AU,column(X198)-$A$5,0)</f>
        <v>0.0031</v>
      </c>
      <c r="Y198" s="41">
        <f>MID(VLOOKUP($A198,'Dados ClubeFII'!$A:$AU,column(Y198)-$A$5,0),3,100)/1</f>
        <v>519397.49</v>
      </c>
      <c r="Z198" s="46">
        <f>VLOOKUP($A198,'Dados ClubeFII'!$A:$AU,column(Z198)-$A$5,0)</f>
        <v>22564</v>
      </c>
      <c r="AA198" s="47">
        <f t="shared" si="2"/>
        <v>43113034</v>
      </c>
      <c r="AB198" s="48">
        <f t="shared" si="3"/>
        <v>8.432489353</v>
      </c>
      <c r="AC198" s="48"/>
      <c r="AD198" s="48"/>
      <c r="AE198" s="48"/>
    </row>
    <row r="199">
      <c r="A199" s="54" t="s">
        <v>222</v>
      </c>
      <c r="B199" s="38">
        <f>IFERROR(__xludf.DUMMYFUNCTION("GOOGLEFINANCE(A199)"),62.85)</f>
        <v>62.85</v>
      </c>
      <c r="C199" s="38">
        <f>IFERROR(__xludf.DUMMYFUNCTION("GOOGLEFINANCE($A199,""high52"")"),75.61)</f>
        <v>75.61</v>
      </c>
      <c r="D199" s="39">
        <f t="shared" si="4"/>
        <v>-0.1687607459</v>
      </c>
      <c r="E199" s="40" t="str">
        <f>VLOOKUP($A199,'Dados ClubeFII'!$A:$AU,column(E199)-$A$5,0)</f>
        <v>RBR Alpha Multiestratégia Real Estate</v>
      </c>
      <c r="F199" s="40" t="str">
        <f>VLOOKUP($A199,'Dados ClubeFII'!$A:$AU,column(F199)-$A$5,0)</f>
        <v>RBR GESTÃO</v>
      </c>
      <c r="G199" s="40" t="str">
        <f>VLOOKUP($A199,'Dados ClubeFII'!$A:$AU,column(G199)-$A$5,0)</f>
        <v>Fundo de Fundos</v>
      </c>
      <c r="H199" s="41">
        <f>MID(VLOOKUP($A199,'Dados ClubeFII'!$A:$AU,column(H199)-$A$5,0),3,100)/mid(VLOOKUP($A199,'Dados ClubeFII'!$A:$AU,2,0),4,SEARCH(",",VLOOKUP($A199,'Dados ClubeFII'!$A:$AU,2,0))-1)*B199</f>
        <v>11856979580</v>
      </c>
      <c r="I199" s="41">
        <f>MID(VLOOKUP($A199,'Dados ClubeFII'!$A:$AU,column(I199)-$A$5,0),3,100)/1</f>
        <v>1094140072</v>
      </c>
      <c r="J199" s="42">
        <f>VLOOKUP($A199,'Dados ClubeFII'!$A:$AU,column(J199)-$A$5,0)/mid(VLOOKUP($A199,'Dados ClubeFII'!$A:$AU,2,0),3,SEARCH(",",VLOOKUP($A199,'Dados ClubeFII'!$A:$AU,2,0)))*B199</f>
        <v>0.7867176634</v>
      </c>
      <c r="K199" s="41">
        <f>if(VLOOKUP($A199,'Dados ClubeFII'!$A:$AU,column(K199)-$A$5,0)="N/D",0,MID(VLOOKUP($A199,'Dados ClubeFII'!$A:$AU,column(K199)-$A$5,0),3,100)/1)/mid(VLOOKUP($A199,'Dados ClubeFII'!$A:$AU,2,0),3,SEARCH(",",VLOOKUP($A199,'Dados ClubeFII'!$A:$AU,2,0)))*B199</f>
        <v>0</v>
      </c>
      <c r="L199" s="41">
        <f>if(VLOOKUP($A199,'Dados ClubeFII'!$A:$AU,column(L199)-$A$5,0)="N/D",0,MID(VLOOKUP($A199,'Dados ClubeFII'!$A:$AU,column(L199)-$A$5,0),3,100)/1)</f>
        <v>0</v>
      </c>
      <c r="M199" s="41">
        <f>MID(VLOOKUP($A199,'Dados ClubeFII'!$A:$AU,column(M199)-$A$5,0),3,100)/1</f>
        <v>0.63</v>
      </c>
      <c r="N199" s="41">
        <f>MID(VLOOKUP($A199,'Dados ClubeFII'!$A:$AU,column(N199)-$A$5,0),3,100)/1</f>
        <v>0</v>
      </c>
      <c r="O199" s="41">
        <f>LEFT(VLOOKUP($A199,'Dados ClubeFII'!$A:$AU,column(O199)-$A$5,0),len(VLOOKUP($A199,'Dados ClubeFII'!$A:$AU,column(O199)-$A$5,0))-2)/1</f>
        <v>0</v>
      </c>
      <c r="P199" s="43">
        <f>VLOOKUP($A199,'Dados ClubeFII'!$A:$AU,column(P199)-$A$5,0)</f>
        <v>44973</v>
      </c>
      <c r="Q199" s="44">
        <f>VLOOKUP($A199,'Dados ClubeFII'!$A:$AU,column(Q199)-$A$5,0)/mid(VLOOKUP($A199,'Dados ClubeFII'!$A:$AU,2,0),3,SEARCH(",",VLOOKUP($A199,'Dados ClubeFII'!$A:$AU,2,0)))*B199</f>
        <v>0.1192702828</v>
      </c>
      <c r="R199" s="44">
        <f>VLOOKUP($A199,'Dados ClubeFII'!$A:$AU,column(R199)-$A$5,0)/mid(VLOOKUP($A199,'Dados ClubeFII'!$A:$AU,2,0),3,SEARCH(",",VLOOKUP($A199,'Dados ClubeFII'!$A:$AU,2,0)))*B199</f>
        <v>0.1115973574</v>
      </c>
      <c r="S199" s="43">
        <f>VLOOKUP($A199,'Dados ClubeFII'!$A:$AU,column(S199)-$A$5,0)</f>
        <v>42992</v>
      </c>
      <c r="T199" s="41">
        <f>MID(VLOOKUP($A199,'Dados ClubeFII'!$A:$AU,column(T199)-$A$5,0),3,100)/1</f>
        <v>100</v>
      </c>
      <c r="U199" s="45">
        <f>VLOOKUP($A199,'Dados ClubeFII'!$A:$AU,column(U199)-$A$5,0)/mid(VLOOKUP($A199,'Dados ClubeFII'!$A:$AU,2,0),4,SEARCH(",",VLOOKUP($A199,'Dados ClubeFII'!$A:$AU,2,0))-1)*B199</f>
        <v>-0.7499299363</v>
      </c>
      <c r="V199" s="42" t="str">
        <f>VLOOKUP($A199,'Dados ClubeFII'!$A:$AU,column(V199)-$A$5,0)</f>
        <v>N/D</v>
      </c>
      <c r="W199" s="43" t="str">
        <f>VLOOKUP($A199,'Dados ClubeFII'!$A:$AU,column(W199)-$A$5,0)</f>
        <v>N/D</v>
      </c>
      <c r="X199" s="45">
        <f>VLOOKUP($A199,'Dados ClubeFII'!$A:$AU,column(X199)-$A$5,0)</f>
        <v>0.0087</v>
      </c>
      <c r="Y199" s="41">
        <f>MID(VLOOKUP($A199,'Dados ClubeFII'!$A:$AU,column(Y199)-$A$5,0),3,100)/1</f>
        <v>2374923.59</v>
      </c>
      <c r="Z199" s="46">
        <f>VLOOKUP($A199,'Dados ClubeFII'!$A:$AU,column(Z199)-$A$5,0)</f>
        <v>96974</v>
      </c>
      <c r="AA199" s="47">
        <f t="shared" si="2"/>
        <v>188655204</v>
      </c>
      <c r="AB199" s="48">
        <f t="shared" si="3"/>
        <v>5.79968137</v>
      </c>
      <c r="AC199" s="48"/>
      <c r="AD199" s="48"/>
      <c r="AE199" s="48"/>
    </row>
    <row r="200">
      <c r="A200" s="54" t="s">
        <v>223</v>
      </c>
      <c r="B200" s="38">
        <f>IFERROR(__xludf.DUMMYFUNCTION("GOOGLEFINANCE(A200)"),48.33)</f>
        <v>48.33</v>
      </c>
      <c r="C200" s="38">
        <f>IFERROR(__xludf.DUMMYFUNCTION("GOOGLEFINANCE($A200,""high52"")"),58.15)</f>
        <v>58.15</v>
      </c>
      <c r="D200" s="39">
        <f t="shared" si="4"/>
        <v>-0.1688736028</v>
      </c>
      <c r="E200" s="40" t="str">
        <f>VLOOKUP($A200,'Dados ClubeFII'!$A:$AU,column(E200)-$A$5,0)</f>
        <v>Rio Bravo Fundo de Fundos</v>
      </c>
      <c r="F200" s="40" t="str">
        <f>VLOOKUP($A200,'Dados ClubeFII'!$A:$AU,column(F200)-$A$5,0)</f>
        <v>RIO BRAVO</v>
      </c>
      <c r="G200" s="40" t="str">
        <f>VLOOKUP($A200,'Dados ClubeFII'!$A:$AU,column(G200)-$A$5,0)</f>
        <v>Fundo de Fundos</v>
      </c>
      <c r="H200" s="41">
        <f>MID(VLOOKUP($A200,'Dados ClubeFII'!$A:$AU,column(H200)-$A$5,0),3,100)/mid(VLOOKUP($A200,'Dados ClubeFII'!$A:$AU,2,0),4,SEARCH(",",VLOOKUP($A200,'Dados ClubeFII'!$A:$AU,2,0))-1)*B200</f>
        <v>942161180.7</v>
      </c>
      <c r="I200" s="41">
        <f>MID(VLOOKUP($A200,'Dados ClubeFII'!$A:$AU,column(I200)-$A$5,0),3,100)/1</f>
        <v>234029872.2</v>
      </c>
      <c r="J200" s="42">
        <f>VLOOKUP($A200,'Dados ClubeFII'!$A:$AU,column(J200)-$A$5,0)/mid(VLOOKUP($A200,'Dados ClubeFII'!$A:$AU,2,0),3,SEARCH(",",VLOOKUP($A200,'Dados ClubeFII'!$A:$AU,2,0)))*B200</f>
        <v>0.7717950273</v>
      </c>
      <c r="K200" s="41">
        <f>if(VLOOKUP($A200,'Dados ClubeFII'!$A:$AU,column(K200)-$A$5,0)="N/D",0,MID(VLOOKUP($A200,'Dados ClubeFII'!$A:$AU,column(K200)-$A$5,0),3,100)/1)/mid(VLOOKUP($A200,'Dados ClubeFII'!$A:$AU,2,0),3,SEARCH(",",VLOOKUP($A200,'Dados ClubeFII'!$A:$AU,2,0)))*B200</f>
        <v>0</v>
      </c>
      <c r="L200" s="41">
        <f>if(VLOOKUP($A200,'Dados ClubeFII'!$A:$AU,column(L200)-$A$5,0)="N/D",0,MID(VLOOKUP($A200,'Dados ClubeFII'!$A:$AU,column(L200)-$A$5,0),3,100)/1)</f>
        <v>0</v>
      </c>
      <c r="M200" s="41">
        <f>MID(VLOOKUP($A200,'Dados ClubeFII'!$A:$AU,column(M200)-$A$5,0),3,100)/1</f>
        <v>0.49</v>
      </c>
      <c r="N200" s="41">
        <f>MID(VLOOKUP($A200,'Dados ClubeFII'!$A:$AU,column(N200)-$A$5,0),3,100)/1</f>
        <v>0</v>
      </c>
      <c r="O200" s="41">
        <f>LEFT(VLOOKUP($A200,'Dados ClubeFII'!$A:$AU,column(O200)-$A$5,0),len(VLOOKUP($A200,'Dados ClubeFII'!$A:$AU,column(O200)-$A$5,0))-2)/1</f>
        <v>0</v>
      </c>
      <c r="P200" s="43">
        <f>VLOOKUP($A200,'Dados ClubeFII'!$A:$AU,column(P200)-$A$5,0)</f>
        <v>44972</v>
      </c>
      <c r="Q200" s="44">
        <f>VLOOKUP($A200,'Dados ClubeFII'!$A:$AU,column(Q200)-$A$5,0)/mid(VLOOKUP($A200,'Dados ClubeFII'!$A:$AU,2,0),3,SEARCH(",",VLOOKUP($A200,'Dados ClubeFII'!$A:$AU,2,0)))*B200</f>
        <v>0.1232918132</v>
      </c>
      <c r="R200" s="44">
        <f>VLOOKUP($A200,'Dados ClubeFII'!$A:$AU,column(R200)-$A$5,0)/mid(VLOOKUP($A200,'Dados ClubeFII'!$A:$AU,2,0),3,SEARCH(",",VLOOKUP($A200,'Dados ClubeFII'!$A:$AU,2,0)))*B200</f>
        <v>0.1184070346</v>
      </c>
      <c r="S200" s="43">
        <f>VLOOKUP($A200,'Dados ClubeFII'!$A:$AU,column(S200)-$A$5,0)</f>
        <v>41425</v>
      </c>
      <c r="T200" s="41">
        <f>MID(VLOOKUP($A200,'Dados ClubeFII'!$A:$AU,column(T200)-$A$5,0),3,100)/1</f>
        <v>100</v>
      </c>
      <c r="U200" s="45">
        <f>VLOOKUP($A200,'Dados ClubeFII'!$A:$AU,column(U200)-$A$5,0)/mid(VLOOKUP($A200,'Dados ClubeFII'!$A:$AU,2,0),4,SEARCH(",",VLOOKUP($A200,'Dados ClubeFII'!$A:$AU,2,0))-1)*B200</f>
        <v>-0.3582646251</v>
      </c>
      <c r="V200" s="42" t="str">
        <f>VLOOKUP($A200,'Dados ClubeFII'!$A:$AU,column(V200)-$A$5,0)</f>
        <v>N/D</v>
      </c>
      <c r="W200" s="43" t="str">
        <f>VLOOKUP($A200,'Dados ClubeFII'!$A:$AU,column(W200)-$A$5,0)</f>
        <v>N/D</v>
      </c>
      <c r="X200" s="45">
        <f>VLOOKUP($A200,'Dados ClubeFII'!$A:$AU,column(X200)-$A$5,0)</f>
        <v>0.0018</v>
      </c>
      <c r="Y200" s="41">
        <f>MID(VLOOKUP($A200,'Dados ClubeFII'!$A:$AU,column(Y200)-$A$5,0),3,100)/1</f>
        <v>247572.99</v>
      </c>
      <c r="Z200" s="46">
        <f>VLOOKUP($A200,'Dados ClubeFII'!$A:$AU,column(Z200)-$A$5,0)</f>
        <v>20221</v>
      </c>
      <c r="AA200" s="47">
        <f t="shared" si="2"/>
        <v>19494334</v>
      </c>
      <c r="AB200" s="48">
        <f t="shared" si="3"/>
        <v>12.00502014</v>
      </c>
      <c r="AC200" s="48"/>
      <c r="AD200" s="48"/>
      <c r="AE200" s="48"/>
    </row>
    <row r="201">
      <c r="A201" s="54" t="s">
        <v>224</v>
      </c>
      <c r="B201" s="38">
        <f>IFERROR(__xludf.DUMMYFUNCTION("GOOGLEFINANCE(A201)"),96.35)</f>
        <v>96.35</v>
      </c>
      <c r="C201" s="38">
        <f>IFERROR(__xludf.DUMMYFUNCTION("GOOGLEFINANCE($A201,""high52"")"),101.26)</f>
        <v>101.26</v>
      </c>
      <c r="D201" s="39">
        <f t="shared" si="4"/>
        <v>-0.04848903812</v>
      </c>
      <c r="E201" s="40" t="str">
        <f>VLOOKUP($A201,'Dados ClubeFII'!$A:$AU,column(E201)-$A$5,0)</f>
        <v>Suno Recebíveis</v>
      </c>
      <c r="F201" s="40" t="str">
        <f>VLOOKUP($A201,'Dados ClubeFII'!$A:$AU,column(F201)-$A$5,0)</f>
        <v>Suno Gestora de Recursos LTDA.</v>
      </c>
      <c r="G201" s="40" t="str">
        <f>VLOOKUP($A201,'Dados ClubeFII'!$A:$AU,column(G201)-$A$5,0)</f>
        <v>Recebíveis Imobiliários</v>
      </c>
      <c r="H201" s="41">
        <f>MID(VLOOKUP($A201,'Dados ClubeFII'!$A:$AU,column(H201)-$A$5,0),3,100)/mid(VLOOKUP($A201,'Dados ClubeFII'!$A:$AU,2,0),4,SEARCH(",",VLOOKUP($A201,'Dados ClubeFII'!$A:$AU,2,0))-1)*B201</f>
        <v>7713819540</v>
      </c>
      <c r="I201" s="41">
        <f>MID(VLOOKUP($A201,'Dados ClubeFII'!$A:$AU,column(I201)-$A$5,0),3,100)/1</f>
        <v>409072527.2</v>
      </c>
      <c r="J201" s="42">
        <f>VLOOKUP($A201,'Dados ClubeFII'!$A:$AU,column(J201)-$A$5,0)/mid(VLOOKUP($A201,'Dados ClubeFII'!$A:$AU,2,0),3,SEARCH(",",VLOOKUP($A201,'Dados ClubeFII'!$A:$AU,2,0)))*B201</f>
        <v>0.9939263158</v>
      </c>
      <c r="K201" s="41">
        <f>if(VLOOKUP($A201,'Dados ClubeFII'!$A:$AU,column(K201)-$A$5,0)="N/D",0,MID(VLOOKUP($A201,'Dados ClubeFII'!$A:$AU,column(K201)-$A$5,0),3,100)/1)/mid(VLOOKUP($A201,'Dados ClubeFII'!$A:$AU,2,0),3,SEARCH(",",VLOOKUP($A201,'Dados ClubeFII'!$A:$AU,2,0)))*B201</f>
        <v>0</v>
      </c>
      <c r="L201" s="41">
        <f>if(VLOOKUP($A201,'Dados ClubeFII'!$A:$AU,column(L201)-$A$5,0)="N/D",0,MID(VLOOKUP($A201,'Dados ClubeFII'!$A:$AU,column(L201)-$A$5,0),3,100)/1)</f>
        <v>0</v>
      </c>
      <c r="M201" s="41">
        <f>MID(VLOOKUP($A201,'Dados ClubeFII'!$A:$AU,column(M201)-$A$5,0),3,100)/1</f>
        <v>1</v>
      </c>
      <c r="N201" s="41">
        <f>MID(VLOOKUP($A201,'Dados ClubeFII'!$A:$AU,column(N201)-$A$5,0),3,100)/1</f>
        <v>0</v>
      </c>
      <c r="O201" s="41">
        <f>LEFT(VLOOKUP($A201,'Dados ClubeFII'!$A:$AU,column(O201)-$A$5,0),len(VLOOKUP($A201,'Dados ClubeFII'!$A:$AU,column(O201)-$A$5,0))-2)/1</f>
        <v>0</v>
      </c>
      <c r="P201" s="43">
        <f>VLOOKUP($A201,'Dados ClubeFII'!$A:$AU,column(P201)-$A$5,0)</f>
        <v>44981</v>
      </c>
      <c r="Q201" s="44">
        <f>VLOOKUP($A201,'Dados ClubeFII'!$A:$AU,column(Q201)-$A$5,0)/mid(VLOOKUP($A201,'Dados ClubeFII'!$A:$AU,2,0),3,SEARCH(",",VLOOKUP($A201,'Dados ClubeFII'!$A:$AU,2,0)))*B201</f>
        <v>0.1352956842</v>
      </c>
      <c r="R201" s="44">
        <f>VLOOKUP($A201,'Dados ClubeFII'!$A:$AU,column(R201)-$A$5,0)/mid(VLOOKUP($A201,'Dados ClubeFII'!$A:$AU,2,0),3,SEARCH(",",VLOOKUP($A201,'Dados ClubeFII'!$A:$AU,2,0)))*B201</f>
        <v>0.1516244737</v>
      </c>
      <c r="S201" s="43">
        <f>VLOOKUP($A201,'Dados ClubeFII'!$A:$AU,column(S201)-$A$5,0)</f>
        <v>44484</v>
      </c>
      <c r="T201" s="41">
        <f>MID(VLOOKUP($A201,'Dados ClubeFII'!$A:$AU,column(T201)-$A$5,0),3,100)/1</f>
        <v>100</v>
      </c>
      <c r="U201" s="45">
        <f>VLOOKUP($A201,'Dados ClubeFII'!$A:$AU,column(U201)-$A$5,0)/mid(VLOOKUP($A201,'Dados ClubeFII'!$A:$AU,2,0),4,SEARCH(",",VLOOKUP($A201,'Dados ClubeFII'!$A:$AU,2,0))-1)*B201</f>
        <v>-0.61664</v>
      </c>
      <c r="V201" s="42" t="str">
        <f>VLOOKUP($A201,'Dados ClubeFII'!$A:$AU,column(V201)-$A$5,0)</f>
        <v>N/D</v>
      </c>
      <c r="W201" s="43" t="str">
        <f>VLOOKUP($A201,'Dados ClubeFII'!$A:$AU,column(W201)-$A$5,0)</f>
        <v>N/D</v>
      </c>
      <c r="X201" s="45">
        <f>VLOOKUP($A201,'Dados ClubeFII'!$A:$AU,column(X201)-$A$5,0)</f>
        <v>0.0038</v>
      </c>
      <c r="Y201" s="41">
        <f>MID(VLOOKUP($A201,'Dados ClubeFII'!$A:$AU,column(Y201)-$A$5,0),3,100)/1</f>
        <v>877768.33</v>
      </c>
      <c r="Z201" s="46">
        <f>VLOOKUP($A201,'Dados ClubeFII'!$A:$AU,column(Z201)-$A$5,0)</f>
        <v>44488</v>
      </c>
      <c r="AA201" s="47">
        <f t="shared" si="2"/>
        <v>80060400</v>
      </c>
      <c r="AB201" s="48">
        <f t="shared" si="3"/>
        <v>5.109548881</v>
      </c>
      <c r="AC201" s="48"/>
      <c r="AD201" s="48"/>
      <c r="AE201" s="48"/>
    </row>
    <row r="202">
      <c r="A202" s="54" t="s">
        <v>225</v>
      </c>
      <c r="B202" s="38">
        <f>IFERROR(__xludf.DUMMYFUNCTION("GOOGLEFINANCE(A202)"),84.12)</f>
        <v>84.12</v>
      </c>
      <c r="C202" s="38">
        <f>IFERROR(__xludf.DUMMYFUNCTION("GOOGLEFINANCE($A202,""high52"")"),89.32)</f>
        <v>89.32</v>
      </c>
      <c r="D202" s="39">
        <f t="shared" si="4"/>
        <v>-0.05821764442</v>
      </c>
      <c r="E202" s="40" t="str">
        <f>VLOOKUP($A202,'Dados ClubeFII'!$A:$AU,column(E202)-$A$5,0)</f>
        <v>Suno Fundo de Fundos</v>
      </c>
      <c r="F202" s="40" t="str">
        <f>VLOOKUP($A202,'Dados ClubeFII'!$A:$AU,column(F202)-$A$5,0)</f>
        <v>Suno Gestora de Recursos LTDA.</v>
      </c>
      <c r="G202" s="40" t="str">
        <f>VLOOKUP($A202,'Dados ClubeFII'!$A:$AU,column(G202)-$A$5,0)</f>
        <v>Fundo de Fundos</v>
      </c>
      <c r="H202" s="41">
        <f>MID(VLOOKUP($A202,'Dados ClubeFII'!$A:$AU,column(H202)-$A$5,0),3,100)/mid(VLOOKUP($A202,'Dados ClubeFII'!$A:$AU,2,0),4,SEARCH(",",VLOOKUP($A202,'Dados ClubeFII'!$A:$AU,2,0))-1)*B202</f>
        <v>3728879007</v>
      </c>
      <c r="I202" s="41">
        <f>MID(VLOOKUP($A202,'Dados ClubeFII'!$A:$AU,column(I202)-$A$5,0),3,100)/1</f>
        <v>244578976.3</v>
      </c>
      <c r="J202" s="42">
        <f>VLOOKUP($A202,'Dados ClubeFII'!$A:$AU,column(J202)-$A$5,0)/mid(VLOOKUP($A202,'Dados ClubeFII'!$A:$AU,2,0),3,SEARCH(",",VLOOKUP($A202,'Dados ClubeFII'!$A:$AU,2,0)))*B202</f>
        <v>0.9838596491</v>
      </c>
      <c r="K202" s="41">
        <f>if(VLOOKUP($A202,'Dados ClubeFII'!$A:$AU,column(K202)-$A$5,0)="N/D",0,MID(VLOOKUP($A202,'Dados ClubeFII'!$A:$AU,column(K202)-$A$5,0),3,100)/1)/mid(VLOOKUP($A202,'Dados ClubeFII'!$A:$AU,2,0),3,SEARCH(",",VLOOKUP($A202,'Dados ClubeFII'!$A:$AU,2,0)))*B202</f>
        <v>0</v>
      </c>
      <c r="L202" s="41">
        <f>if(VLOOKUP($A202,'Dados ClubeFII'!$A:$AU,column(L202)-$A$5,0)="N/D",0,MID(VLOOKUP($A202,'Dados ClubeFII'!$A:$AU,column(L202)-$A$5,0),3,100)/1)</f>
        <v>0</v>
      </c>
      <c r="M202" s="41">
        <f>MID(VLOOKUP($A202,'Dados ClubeFII'!$A:$AU,column(M202)-$A$5,0),3,100)/1</f>
        <v>0.65</v>
      </c>
      <c r="N202" s="41">
        <f>MID(VLOOKUP($A202,'Dados ClubeFII'!$A:$AU,column(N202)-$A$5,0),3,100)/1</f>
        <v>0</v>
      </c>
      <c r="O202" s="41">
        <f>LEFT(VLOOKUP($A202,'Dados ClubeFII'!$A:$AU,column(O202)-$A$5,0),len(VLOOKUP($A202,'Dados ClubeFII'!$A:$AU,column(O202)-$A$5,0))-2)/1</f>
        <v>0</v>
      </c>
      <c r="P202" s="43">
        <f>VLOOKUP($A202,'Dados ClubeFII'!$A:$AU,column(P202)-$A$5,0)</f>
        <v>44981</v>
      </c>
      <c r="Q202" s="44">
        <f>VLOOKUP($A202,'Dados ClubeFII'!$A:$AU,column(Q202)-$A$5,0)/mid(VLOOKUP($A202,'Dados ClubeFII'!$A:$AU,2,0),3,SEARCH(",",VLOOKUP($A202,'Dados ClubeFII'!$A:$AU,2,0)))*B202</f>
        <v>0.09287635088</v>
      </c>
      <c r="R202" s="44">
        <f>VLOOKUP($A202,'Dados ClubeFII'!$A:$AU,column(R202)-$A$5,0)/mid(VLOOKUP($A202,'Dados ClubeFII'!$A:$AU,2,0),3,SEARCH(",",VLOOKUP($A202,'Dados ClubeFII'!$A:$AU,2,0)))*B202</f>
        <v>0.1056665263</v>
      </c>
      <c r="S202" s="43">
        <f>VLOOKUP($A202,'Dados ClubeFII'!$A:$AU,column(S202)-$A$5,0)</f>
        <v>44319</v>
      </c>
      <c r="T202" s="41">
        <f>MID(VLOOKUP($A202,'Dados ClubeFII'!$A:$AU,column(T202)-$A$5,0),3,100)/1</f>
        <v>100</v>
      </c>
      <c r="U202" s="45">
        <f>VLOOKUP($A202,'Dados ClubeFII'!$A:$AU,column(U202)-$A$5,0)/mid(VLOOKUP($A202,'Dados ClubeFII'!$A:$AU,2,0),4,SEARCH(",",VLOOKUP($A202,'Dados ClubeFII'!$A:$AU,2,0))-1)*B202</f>
        <v>-0.3120087273</v>
      </c>
      <c r="V202" s="42" t="str">
        <f>VLOOKUP($A202,'Dados ClubeFII'!$A:$AU,column(V202)-$A$5,0)</f>
        <v>N/D</v>
      </c>
      <c r="W202" s="43" t="str">
        <f>VLOOKUP($A202,'Dados ClubeFII'!$A:$AU,column(W202)-$A$5,0)</f>
        <v>N/D</v>
      </c>
      <c r="X202" s="45">
        <f>VLOOKUP($A202,'Dados ClubeFII'!$A:$AU,column(X202)-$A$5,0)</f>
        <v>0.0023</v>
      </c>
      <c r="Y202" s="41">
        <f>MID(VLOOKUP($A202,'Dados ClubeFII'!$A:$AU,column(Y202)-$A$5,0),3,100)/1</f>
        <v>489455.8</v>
      </c>
      <c r="Z202" s="46">
        <f>VLOOKUP($A202,'Dados ClubeFII'!$A:$AU,column(Z202)-$A$5,0)</f>
        <v>33268</v>
      </c>
      <c r="AA202" s="47">
        <f t="shared" si="2"/>
        <v>44328090</v>
      </c>
      <c r="AB202" s="48">
        <f t="shared" si="3"/>
        <v>5.517471568</v>
      </c>
      <c r="AC202" s="48"/>
      <c r="AD202" s="48"/>
      <c r="AE202" s="48"/>
    </row>
    <row r="203">
      <c r="A203" s="54" t="s">
        <v>226</v>
      </c>
      <c r="B203" s="38">
        <f>IFERROR(__xludf.DUMMYFUNCTION("GOOGLEFINANCE(A203)"),115.0)</f>
        <v>115</v>
      </c>
      <c r="C203" s="38">
        <f>IFERROR(__xludf.DUMMYFUNCTION("GOOGLEFINANCE($A203,""high52"")"),122.69)</f>
        <v>122.69</v>
      </c>
      <c r="D203" s="39">
        <f t="shared" si="4"/>
        <v>-0.06267829489</v>
      </c>
      <c r="E203" s="40" t="str">
        <f>VLOOKUP($A203,'Dados ClubeFII'!$A:$AU,column(E203)-$A$5,0)</f>
        <v>TG Ativo Real</v>
      </c>
      <c r="F203" s="40" t="str">
        <f>VLOOKUP($A203,'Dados ClubeFII'!$A:$AU,column(F203)-$A$5,0)</f>
        <v>TG Core Asset</v>
      </c>
      <c r="G203" s="40" t="str">
        <f>VLOOKUP($A203,'Dados ClubeFII'!$A:$AU,column(G203)-$A$5,0)</f>
        <v>Híbrido</v>
      </c>
      <c r="H203" s="41">
        <f>MID(VLOOKUP($A203,'Dados ClubeFII'!$A:$AU,column(H203)-$A$5,0),3,100)/mid(VLOOKUP($A203,'Dados ClubeFII'!$A:$AU,2,0),4,SEARCH(",",VLOOKUP($A203,'Dados ClubeFII'!$A:$AU,2,0))-1)*B203</f>
        <v>12457589599</v>
      </c>
      <c r="I203" s="41">
        <f>MID(VLOOKUP($A203,'Dados ClubeFII'!$A:$AU,column(I203)-$A$5,0),3,100)/1</f>
        <v>1821734453</v>
      </c>
      <c r="J203" s="42">
        <f>VLOOKUP($A203,'Dados ClubeFII'!$A:$AU,column(J203)-$A$5,0)/mid(VLOOKUP($A203,'Dados ClubeFII'!$A:$AU,2,0),3,SEARCH(",",VLOOKUP($A203,'Dados ClubeFII'!$A:$AU,2,0)))*B203</f>
        <v>0.8721994595</v>
      </c>
      <c r="K203" s="41">
        <f>if(VLOOKUP($A203,'Dados ClubeFII'!$A:$AU,column(K203)-$A$5,0)="N/D",0,MID(VLOOKUP($A203,'Dados ClubeFII'!$A:$AU,column(K203)-$A$5,0),3,100)/1)/mid(VLOOKUP($A203,'Dados ClubeFII'!$A:$AU,2,0),3,SEARCH(",",VLOOKUP($A203,'Dados ClubeFII'!$A:$AU,2,0)))*B203</f>
        <v>6906.446256</v>
      </c>
      <c r="L203" s="41">
        <f>if(VLOOKUP($A203,'Dados ClubeFII'!$A:$AU,column(L203)-$A$5,0)="N/D",0,MID(VLOOKUP($A203,'Dados ClubeFII'!$A:$AU,column(L203)-$A$5,0),3,100)/1)</f>
        <v>7875.8</v>
      </c>
      <c r="M203" s="41">
        <f>MID(VLOOKUP($A203,'Dados ClubeFII'!$A:$AU,column(M203)-$A$5,0),3,100)/1</f>
        <v>1.3</v>
      </c>
      <c r="N203" s="41">
        <f>MID(VLOOKUP($A203,'Dados ClubeFII'!$A:$AU,column(N203)-$A$5,0),3,100)/1</f>
        <v>77.47</v>
      </c>
      <c r="O203" s="41">
        <f>LEFT(VLOOKUP($A203,'Dados ClubeFII'!$A:$AU,column(O203)-$A$5,0),len(VLOOKUP($A203,'Dados ClubeFII'!$A:$AU,column(O203)-$A$5,0))-2)/1</f>
        <v>231308</v>
      </c>
      <c r="P203" s="43">
        <f>VLOOKUP($A203,'Dados ClubeFII'!$A:$AU,column(P203)-$A$5,0)</f>
        <v>44965</v>
      </c>
      <c r="Q203" s="44">
        <f>VLOOKUP($A203,'Dados ClubeFII'!$A:$AU,column(Q203)-$A$5,0)/mid(VLOOKUP($A203,'Dados ClubeFII'!$A:$AU,2,0),3,SEARCH(",",VLOOKUP($A203,'Dados ClubeFII'!$A:$AU,2,0)))*B203</f>
        <v>0.1439630372</v>
      </c>
      <c r="R203" s="44">
        <f>VLOOKUP($A203,'Dados ClubeFII'!$A:$AU,column(R203)-$A$5,0)/mid(VLOOKUP($A203,'Dados ClubeFII'!$A:$AU,2,0),3,SEARCH(",",VLOOKUP($A203,'Dados ClubeFII'!$A:$AU,2,0)))*B203</f>
        <v>0.1512814925</v>
      </c>
      <c r="S203" s="43">
        <f>VLOOKUP($A203,'Dados ClubeFII'!$A:$AU,column(S203)-$A$5,0)</f>
        <v>42920</v>
      </c>
      <c r="T203" s="41">
        <f>MID(VLOOKUP($A203,'Dados ClubeFII'!$A:$AU,column(T203)-$A$5,0),3,100)/1</f>
        <v>100</v>
      </c>
      <c r="U203" s="45">
        <f>VLOOKUP($A203,'Dados ClubeFII'!$A:$AU,column(U203)-$A$5,0)/mid(VLOOKUP($A203,'Dados ClubeFII'!$A:$AU,2,0),4,SEARCH(",",VLOOKUP($A203,'Dados ClubeFII'!$A:$AU,2,0))-1)*B203</f>
        <v>-0.4104350782</v>
      </c>
      <c r="V203" s="42" t="str">
        <f>VLOOKUP($A203,'Dados ClubeFII'!$A:$AU,column(V203)-$A$5,0)</f>
        <v>N/D</v>
      </c>
      <c r="W203" s="43" t="str">
        <f>VLOOKUP($A203,'Dados ClubeFII'!$A:$AU,column(W203)-$A$5,0)</f>
        <v>N/D</v>
      </c>
      <c r="X203" s="45">
        <f>VLOOKUP($A203,'Dados ClubeFII'!$A:$AU,column(X203)-$A$5,0)</f>
        <v>0.0153</v>
      </c>
      <c r="Y203" s="41">
        <f>MID(VLOOKUP($A203,'Dados ClubeFII'!$A:$AU,column(Y203)-$A$5,0),3,100)/1</f>
        <v>3824791.46</v>
      </c>
      <c r="Z203" s="46">
        <f>VLOOKUP($A203,'Dados ClubeFII'!$A:$AU,column(Z203)-$A$5,0)</f>
        <v>97653</v>
      </c>
      <c r="AA203" s="47">
        <f t="shared" si="2"/>
        <v>108326866</v>
      </c>
      <c r="AB203" s="48">
        <f t="shared" si="3"/>
        <v>16.81701428</v>
      </c>
      <c r="AC203" s="48"/>
      <c r="AD203" s="48"/>
      <c r="AE203" s="48"/>
    </row>
    <row r="204">
      <c r="A204" s="54" t="s">
        <v>227</v>
      </c>
      <c r="B204" s="38">
        <f>IFERROR(__xludf.DUMMYFUNCTION("GOOGLEFINANCE(A204)"),9.01)</f>
        <v>9.01</v>
      </c>
      <c r="C204" s="38">
        <f>IFERROR(__xludf.DUMMYFUNCTION("GOOGLEFINANCE($A204,""high52"")"),9.38)</f>
        <v>9.38</v>
      </c>
      <c r="D204" s="39">
        <f t="shared" si="4"/>
        <v>-0.039445629</v>
      </c>
      <c r="E204" s="40" t="str">
        <f>VLOOKUP($A204,'Dados ClubeFII'!$A:$AU,column(E204)-$A$5,0)</f>
        <v>Valora Hedge Fund</v>
      </c>
      <c r="F204" s="40" t="str">
        <f>VLOOKUP($A204,'Dados ClubeFII'!$A:$AU,column(F204)-$A$5,0)</f>
        <v>VALORA GESTÃO</v>
      </c>
      <c r="G204" s="40" t="str">
        <f>VLOOKUP($A204,'Dados ClubeFII'!$A:$AU,column(G204)-$A$5,0)</f>
        <v>Recebíveis Imobiliários</v>
      </c>
      <c r="H204" s="41">
        <f>MID(VLOOKUP($A204,'Dados ClubeFII'!$A:$AU,column(H204)-$A$5,0),3,100)/mid(VLOOKUP($A204,'Dados ClubeFII'!$A:$AU,2,0),4,SEARCH(",",VLOOKUP($A204,'Dados ClubeFII'!$A:$AU,2,0))-1)*B204</f>
        <v>118999859323</v>
      </c>
      <c r="I204" s="41">
        <f>MID(VLOOKUP($A204,'Dados ClubeFII'!$A:$AU,column(I204)-$A$5,0),3,100)/1</f>
        <v>664534710.9</v>
      </c>
      <c r="J204" s="42">
        <f>VLOOKUP($A204,'Dados ClubeFII'!$A:$AU,column(J204)-$A$5,0)/mid(VLOOKUP($A204,'Dados ClubeFII'!$A:$AU,2,0),3,SEARCH(",",VLOOKUP($A204,'Dados ClubeFII'!$A:$AU,2,0)))*B204</f>
        <v>0.9856243094</v>
      </c>
      <c r="K204" s="41">
        <f>if(VLOOKUP($A204,'Dados ClubeFII'!$A:$AU,column(K204)-$A$5,0)="N/D",0,MID(VLOOKUP($A204,'Dados ClubeFII'!$A:$AU,column(K204)-$A$5,0),3,100)/1)/mid(VLOOKUP($A204,'Dados ClubeFII'!$A:$AU,2,0),3,SEARCH(",",VLOOKUP($A204,'Dados ClubeFII'!$A:$AU,2,0)))*B204</f>
        <v>0</v>
      </c>
      <c r="L204" s="41">
        <f>if(VLOOKUP($A204,'Dados ClubeFII'!$A:$AU,column(L204)-$A$5,0)="N/D",0,MID(VLOOKUP($A204,'Dados ClubeFII'!$A:$AU,column(L204)-$A$5,0),3,100)/1)</f>
        <v>0</v>
      </c>
      <c r="M204" s="41">
        <f>MID(VLOOKUP($A204,'Dados ClubeFII'!$A:$AU,column(M204)-$A$5,0),3,100)/1</f>
        <v>0.1</v>
      </c>
      <c r="N204" s="41">
        <f>MID(VLOOKUP($A204,'Dados ClubeFII'!$A:$AU,column(N204)-$A$5,0),3,100)/1</f>
        <v>0</v>
      </c>
      <c r="O204" s="41">
        <f>LEFT(VLOOKUP($A204,'Dados ClubeFII'!$A:$AU,column(O204)-$A$5,0),len(VLOOKUP($A204,'Dados ClubeFII'!$A:$AU,column(O204)-$A$5,0))-2)/1</f>
        <v>0</v>
      </c>
      <c r="P204" s="43">
        <f>VLOOKUP($A204,'Dados ClubeFII'!$A:$AU,column(P204)-$A$5,0)</f>
        <v>44964</v>
      </c>
      <c r="Q204" s="44">
        <f>VLOOKUP($A204,'Dados ClubeFII'!$A:$AU,column(Q204)-$A$5,0)/mid(VLOOKUP($A204,'Dados ClubeFII'!$A:$AU,2,0),3,SEARCH(",",VLOOKUP($A204,'Dados ClubeFII'!$A:$AU,2,0)))*B204</f>
        <v>0.1401776796</v>
      </c>
      <c r="R204" s="44">
        <f>VLOOKUP($A204,'Dados ClubeFII'!$A:$AU,column(R204)-$A$5,0)/mid(VLOOKUP($A204,'Dados ClubeFII'!$A:$AU,2,0),3,SEARCH(",",VLOOKUP($A204,'Dados ClubeFII'!$A:$AU,2,0)))*B204</f>
        <v>0.1549122652</v>
      </c>
      <c r="S204" s="43">
        <f>VLOOKUP($A204,'Dados ClubeFII'!$A:$AU,column(S204)-$A$5,0)</f>
        <v>44256</v>
      </c>
      <c r="T204" s="41">
        <f>MID(VLOOKUP($A204,'Dados ClubeFII'!$A:$AU,column(T204)-$A$5,0),3,100)/1</f>
        <v>10</v>
      </c>
      <c r="U204" s="45">
        <f>VLOOKUP($A204,'Dados ClubeFII'!$A:$AU,column(U204)-$A$5,0)/mid(VLOOKUP($A204,'Dados ClubeFII'!$A:$AU,2,0),4,SEARCH(",",VLOOKUP($A204,'Dados ClubeFII'!$A:$AU,2,0))-1)*B204</f>
        <v>-6.52324</v>
      </c>
      <c r="V204" s="42" t="str">
        <f>VLOOKUP($A204,'Dados ClubeFII'!$A:$AU,column(V204)-$A$5,0)</f>
        <v>N/D</v>
      </c>
      <c r="W204" s="43" t="str">
        <f>VLOOKUP($A204,'Dados ClubeFII'!$A:$AU,column(W204)-$A$5,0)</f>
        <v>N/D</v>
      </c>
      <c r="X204" s="45">
        <f>VLOOKUP($A204,'Dados ClubeFII'!$A:$AU,column(X204)-$A$5,0)</f>
        <v>0.0062</v>
      </c>
      <c r="Y204" s="41">
        <f>MID(VLOOKUP($A204,'Dados ClubeFII'!$A:$AU,column(Y204)-$A$5,0),3,100)/1</f>
        <v>1991947.09</v>
      </c>
      <c r="Z204" s="46">
        <f>VLOOKUP($A204,'Dados ClubeFII'!$A:$AU,column(Z204)-$A$5,0)</f>
        <v>225496</v>
      </c>
      <c r="AA204" s="47">
        <f t="shared" si="2"/>
        <v>13207531556</v>
      </c>
      <c r="AB204" s="48">
        <f t="shared" si="3"/>
        <v>0.05031483045</v>
      </c>
      <c r="AC204" s="48"/>
      <c r="AD204" s="48"/>
      <c r="AE204" s="48"/>
    </row>
    <row r="205">
      <c r="A205" s="54" t="s">
        <v>228</v>
      </c>
      <c r="B205" s="38">
        <f>IFERROR(__xludf.DUMMYFUNCTION("GOOGLEFINANCE(A205)"),7.01)</f>
        <v>7.01</v>
      </c>
      <c r="C205" s="38">
        <f>IFERROR(__xludf.DUMMYFUNCTION("GOOGLEFINANCE($A205,""high52"")"),8.93)</f>
        <v>8.93</v>
      </c>
      <c r="D205" s="39">
        <f t="shared" si="4"/>
        <v>-0.2150055991</v>
      </c>
      <c r="E205" s="40" t="str">
        <f>VLOOKUP($A205,'Dados ClubeFII'!$A:$AU,column(E205)-$A$5,0)</f>
        <v>Versalhes Recebíveis Imobiliários</v>
      </c>
      <c r="F205" s="40" t="str">
        <f>VLOOKUP($A205,'Dados ClubeFII'!$A:$AU,column(F205)-$A$5,0)</f>
        <v>R CAPITAL ASSET</v>
      </c>
      <c r="G205" s="40" t="str">
        <f>VLOOKUP($A205,'Dados ClubeFII'!$A:$AU,column(G205)-$A$5,0)</f>
        <v>Recebíveis Imobiliários</v>
      </c>
      <c r="H205" s="41">
        <f>MID(VLOOKUP($A205,'Dados ClubeFII'!$A:$AU,column(H205)-$A$5,0),3,100)/mid(VLOOKUP($A205,'Dados ClubeFII'!$A:$AU,2,0),4,SEARCH(",",VLOOKUP($A205,'Dados ClubeFII'!$A:$AU,2,0))-1)*B205</f>
        <v>2263213815</v>
      </c>
      <c r="I205" s="41">
        <f>MID(VLOOKUP($A205,'Dados ClubeFII'!$A:$AU,column(I205)-$A$5,0),3,100)/1</f>
        <v>313054506.7</v>
      </c>
      <c r="J205" s="42">
        <f>VLOOKUP($A205,'Dados ClubeFII'!$A:$AU,column(J205)-$A$5,0)/mid(VLOOKUP($A205,'Dados ClubeFII'!$A:$AU,2,0),3,SEARCH(",",VLOOKUP($A205,'Dados ClubeFII'!$A:$AU,2,0)))*B205</f>
        <v>0.6883204134</v>
      </c>
      <c r="K205" s="41">
        <f>if(VLOOKUP($A205,'Dados ClubeFII'!$A:$AU,column(K205)-$A$5,0)="N/D",0,MID(VLOOKUP($A205,'Dados ClubeFII'!$A:$AU,column(K205)-$A$5,0),3,100)/1)/mid(VLOOKUP($A205,'Dados ClubeFII'!$A:$AU,2,0),3,SEARCH(",",VLOOKUP($A205,'Dados ClubeFII'!$A:$AU,2,0)))*B205</f>
        <v>0</v>
      </c>
      <c r="L205" s="41">
        <f>if(VLOOKUP($A205,'Dados ClubeFII'!$A:$AU,column(L205)-$A$5,0)="N/D",0,MID(VLOOKUP($A205,'Dados ClubeFII'!$A:$AU,column(L205)-$A$5,0),3,100)/1)</f>
        <v>0</v>
      </c>
      <c r="M205" s="41">
        <f>MID(VLOOKUP($A205,'Dados ClubeFII'!$A:$AU,column(M205)-$A$5,0),3,100)/1</f>
        <v>0.11</v>
      </c>
      <c r="N205" s="41">
        <f>MID(VLOOKUP($A205,'Dados ClubeFII'!$A:$AU,column(N205)-$A$5,0),3,100)/1</f>
        <v>0</v>
      </c>
      <c r="O205" s="41">
        <f>LEFT(VLOOKUP($A205,'Dados ClubeFII'!$A:$AU,column(O205)-$A$5,0),len(VLOOKUP($A205,'Dados ClubeFII'!$A:$AU,column(O205)-$A$5,0))-2)/1</f>
        <v>0</v>
      </c>
      <c r="P205" s="43">
        <f>VLOOKUP($A205,'Dados ClubeFII'!$A:$AU,column(P205)-$A$5,0)</f>
        <v>44971</v>
      </c>
      <c r="Q205" s="44">
        <f>VLOOKUP($A205,'Dados ClubeFII'!$A:$AU,column(Q205)-$A$5,0)/mid(VLOOKUP($A205,'Dados ClubeFII'!$A:$AU,2,0),3,SEARCH(",",VLOOKUP($A205,'Dados ClubeFII'!$A:$AU,2,0)))*B205</f>
        <v>0.1613024548</v>
      </c>
      <c r="R205" s="44">
        <f>VLOOKUP($A205,'Dados ClubeFII'!$A:$AU,column(R205)-$A$5,0)/mid(VLOOKUP($A205,'Dados ClubeFII'!$A:$AU,2,0),3,SEARCH(",",VLOOKUP($A205,'Dados ClubeFII'!$A:$AU,2,0)))*B205</f>
        <v>0.1472643411</v>
      </c>
      <c r="S205" s="43">
        <f>VLOOKUP($A205,'Dados ClubeFII'!$A:$AU,column(S205)-$A$5,0)</f>
        <v>44204</v>
      </c>
      <c r="T205" s="41">
        <f>MID(VLOOKUP($A205,'Dados ClubeFII'!$A:$AU,column(T205)-$A$5,0),3,100)/1</f>
        <v>10</v>
      </c>
      <c r="U205" s="45">
        <f>VLOOKUP($A205,'Dados ClubeFII'!$A:$AU,column(U205)-$A$5,0)/mid(VLOOKUP($A205,'Dados ClubeFII'!$A:$AU,2,0),4,SEARCH(",",VLOOKUP($A205,'Dados ClubeFII'!$A:$AU,2,0))-1)*B205</f>
        <v>-1.135809459</v>
      </c>
      <c r="V205" s="42" t="str">
        <f>VLOOKUP($A205,'Dados ClubeFII'!$A:$AU,column(V205)-$A$5,0)</f>
        <v>N/D</v>
      </c>
      <c r="W205" s="43" t="str">
        <f>VLOOKUP($A205,'Dados ClubeFII'!$A:$AU,column(W205)-$A$5,0)</f>
        <v>N/D</v>
      </c>
      <c r="X205" s="45">
        <f>VLOOKUP($A205,'Dados ClubeFII'!$A:$AU,column(X205)-$A$5,0)</f>
        <v>0.0025</v>
      </c>
      <c r="Y205" s="41">
        <f>MID(VLOOKUP($A205,'Dados ClubeFII'!$A:$AU,column(Y205)-$A$5,0),3,100)/1</f>
        <v>915725.76</v>
      </c>
      <c r="Z205" s="46">
        <f>VLOOKUP($A205,'Dados ClubeFII'!$A:$AU,column(Z205)-$A$5,0)</f>
        <v>92564</v>
      </c>
      <c r="AA205" s="47">
        <f t="shared" si="2"/>
        <v>322855037</v>
      </c>
      <c r="AB205" s="48">
        <f t="shared" si="3"/>
        <v>0.9696441771</v>
      </c>
      <c r="AC205" s="48"/>
      <c r="AD205" s="48"/>
      <c r="AE205" s="48"/>
    </row>
    <row r="206">
      <c r="A206" s="54" t="s">
        <v>229</v>
      </c>
      <c r="B206" s="38">
        <f>IFERROR(__xludf.DUMMYFUNCTION("GOOGLEFINANCE(A206)"),6.47)</f>
        <v>6.47</v>
      </c>
      <c r="C206" s="38">
        <f>IFERROR(__xludf.DUMMYFUNCTION("GOOGLEFINANCE($A206,""high52"")"),7.95)</f>
        <v>7.95</v>
      </c>
      <c r="D206" s="39">
        <f t="shared" si="4"/>
        <v>-0.186163522</v>
      </c>
      <c r="E206" s="40" t="str">
        <f>VLOOKUP($A206,'Dados ClubeFII'!$A:$AU,column(E206)-$A$5,0)</f>
        <v>Vinci Imóveis Urbanos</v>
      </c>
      <c r="F206" s="40" t="str">
        <f>VLOOKUP($A206,'Dados ClubeFII'!$A:$AU,column(F206)-$A$5,0)</f>
        <v>VINCI REAL ESTATE</v>
      </c>
      <c r="G206" s="40" t="str">
        <f>VLOOKUP($A206,'Dados ClubeFII'!$A:$AU,column(G206)-$A$5,0)</f>
        <v>Híbrido</v>
      </c>
      <c r="H206" s="41">
        <f>MID(VLOOKUP($A206,'Dados ClubeFII'!$A:$AU,column(H206)-$A$5,0),3,100)/mid(VLOOKUP($A206,'Dados ClubeFII'!$A:$AU,2,0),4,SEARCH(",",VLOOKUP($A206,'Dados ClubeFII'!$A:$AU,2,0))-1)*B206</f>
        <v>1702993294</v>
      </c>
      <c r="I206" s="41">
        <f>MID(VLOOKUP($A206,'Dados ClubeFII'!$A:$AU,column(I206)-$A$5,0),3,100)/1</f>
        <v>247505992.5</v>
      </c>
      <c r="J206" s="42">
        <f>VLOOKUP($A206,'Dados ClubeFII'!$A:$AU,column(J206)-$A$5,0)/mid(VLOOKUP($A206,'Dados ClubeFII'!$A:$AU,2,0),3,SEARCH(",",VLOOKUP($A206,'Dados ClubeFII'!$A:$AU,2,0)))*B206</f>
        <v>0.7059940209</v>
      </c>
      <c r="K206" s="41">
        <f>if(VLOOKUP($A206,'Dados ClubeFII'!$A:$AU,column(K206)-$A$5,0)="N/D",0,MID(VLOOKUP($A206,'Dados ClubeFII'!$A:$AU,column(K206)-$A$5,0),3,100)/1)/mid(VLOOKUP($A206,'Dados ClubeFII'!$A:$AU,2,0),3,SEARCH(",",VLOOKUP($A206,'Dados ClubeFII'!$A:$AU,2,0)))*B206</f>
        <v>1808.91142</v>
      </c>
      <c r="L206" s="41">
        <f>if(VLOOKUP($A206,'Dados ClubeFII'!$A:$AU,column(L206)-$A$5,0)="N/D",0,MID(VLOOKUP($A206,'Dados ClubeFII'!$A:$AU,column(L206)-$A$5,0),3,100)/1)</f>
        <v>2548.98</v>
      </c>
      <c r="M206" s="41">
        <f>MID(VLOOKUP($A206,'Dados ClubeFII'!$A:$AU,column(M206)-$A$5,0),3,100)/1</f>
        <v>0.07</v>
      </c>
      <c r="N206" s="41">
        <f>MID(VLOOKUP($A206,'Dados ClubeFII'!$A:$AU,column(N206)-$A$5,0),3,100)/1</f>
        <v>19.98</v>
      </c>
      <c r="O206" s="41">
        <f>LEFT(VLOOKUP($A206,'Dados ClubeFII'!$A:$AU,column(O206)-$A$5,0),len(VLOOKUP($A206,'Dados ClubeFII'!$A:$AU,column(O206)-$A$5,0))-2)/1</f>
        <v>97100</v>
      </c>
      <c r="P206" s="43">
        <f>VLOOKUP($A206,'Dados ClubeFII'!$A:$AU,column(P206)-$A$5,0)</f>
        <v>44971</v>
      </c>
      <c r="Q206" s="44">
        <f>VLOOKUP($A206,'Dados ClubeFII'!$A:$AU,column(Q206)-$A$5,0)/mid(VLOOKUP($A206,'Dados ClubeFII'!$A:$AU,2,0),3,SEARCH(",",VLOOKUP($A206,'Dados ClubeFII'!$A:$AU,2,0)))*B206</f>
        <v>0.1315276532</v>
      </c>
      <c r="R206" s="44">
        <f>VLOOKUP($A206,'Dados ClubeFII'!$A:$AU,column(R206)-$A$5,0)/mid(VLOOKUP($A206,'Dados ClubeFII'!$A:$AU,2,0),3,SEARCH(",",VLOOKUP($A206,'Dados ClubeFII'!$A:$AU,2,0)))*B206</f>
        <v>0.1239841555</v>
      </c>
      <c r="S206" s="43">
        <f>VLOOKUP($A206,'Dados ClubeFII'!$A:$AU,column(S206)-$A$5,0)</f>
        <v>44347</v>
      </c>
      <c r="T206" s="41">
        <f>MID(VLOOKUP($A206,'Dados ClubeFII'!$A:$AU,column(T206)-$A$5,0),3,100)/1</f>
        <v>10</v>
      </c>
      <c r="U206" s="45">
        <f>VLOOKUP($A206,'Dados ClubeFII'!$A:$AU,column(U206)-$A$5,0)/mid(VLOOKUP($A206,'Dados ClubeFII'!$A:$AU,2,0),4,SEARCH(",",VLOOKUP($A206,'Dados ClubeFII'!$A:$AU,2,0))-1)*B206</f>
        <v>-1.397144928</v>
      </c>
      <c r="V206" s="42">
        <f>VLOOKUP($A206,'Dados ClubeFII'!$A:$AU,column(V206)-$A$5,0)</f>
        <v>0</v>
      </c>
      <c r="W206" s="43" t="str">
        <f>VLOOKUP($A206,'Dados ClubeFII'!$A:$AU,column(W206)-$A$5,0)</f>
        <v>N/D</v>
      </c>
      <c r="X206" s="45">
        <f>VLOOKUP($A206,'Dados ClubeFII'!$A:$AU,column(X206)-$A$5,0)</f>
        <v>0.0019</v>
      </c>
      <c r="Y206" s="41">
        <f>MID(VLOOKUP($A206,'Dados ClubeFII'!$A:$AU,column(Y206)-$A$5,0),3,100)/1</f>
        <v>280597.45</v>
      </c>
      <c r="Z206" s="46">
        <f>VLOOKUP($A206,'Dados ClubeFII'!$A:$AU,column(Z206)-$A$5,0)</f>
        <v>13081</v>
      </c>
      <c r="AA206" s="47">
        <f t="shared" si="2"/>
        <v>263213801</v>
      </c>
      <c r="AB206" s="48">
        <f t="shared" si="3"/>
        <v>0.9403230057</v>
      </c>
      <c r="AC206" s="48"/>
      <c r="AD206" s="48"/>
      <c r="AE206" s="48"/>
    </row>
    <row r="207">
      <c r="A207" s="54" t="s">
        <v>230</v>
      </c>
      <c r="B207" s="38">
        <f>IFERROR(__xludf.DUMMYFUNCTION("GOOGLEFINANCE(A207)"),8.98)</f>
        <v>8.98</v>
      </c>
      <c r="C207" s="38">
        <f>IFERROR(__xludf.DUMMYFUNCTION("GOOGLEFINANCE($A207,""high52"")"),10.49)</f>
        <v>10.49</v>
      </c>
      <c r="D207" s="39">
        <f t="shared" si="4"/>
        <v>-0.1439466158</v>
      </c>
      <c r="E207" s="40" t="str">
        <f>VLOOKUP($A207,'Dados ClubeFII'!$A:$AU,column(E207)-$A$5,0)</f>
        <v>EQI Recebíveis Imobiliários</v>
      </c>
      <c r="F207" s="40" t="str">
        <f>VLOOKUP($A207,'Dados ClubeFII'!$A:$AU,column(F207)-$A$5,0)</f>
        <v>EUQUEROINVESTIR GESTÃO</v>
      </c>
      <c r="G207" s="40" t="str">
        <f>VLOOKUP($A207,'Dados ClubeFII'!$A:$AU,column(G207)-$A$5,0)</f>
        <v>Recebíveis Imobiliários</v>
      </c>
      <c r="H207" s="41">
        <f>MID(VLOOKUP($A207,'Dados ClubeFII'!$A:$AU,column(H207)-$A$5,0),3,100)/mid(VLOOKUP($A207,'Dados ClubeFII'!$A:$AU,2,0),4,SEARCH(",",VLOOKUP($A207,'Dados ClubeFII'!$A:$AU,2,0))-1)*B207</f>
        <v>658373852.5</v>
      </c>
      <c r="I207" s="41">
        <f>MID(VLOOKUP($A207,'Dados ClubeFII'!$A:$AU,column(I207)-$A$5,0),3,100)/1</f>
        <v>48471011.55</v>
      </c>
      <c r="J207" s="42">
        <f>VLOOKUP($A207,'Dados ClubeFII'!$A:$AU,column(J207)-$A$5,0)/mid(VLOOKUP($A207,'Dados ClubeFII'!$A:$AU,2,0),3,SEARCH(",",VLOOKUP($A207,'Dados ClubeFII'!$A:$AU,2,0)))*B207</f>
        <v>0.9595354239</v>
      </c>
      <c r="K207" s="41">
        <f>if(VLOOKUP($A207,'Dados ClubeFII'!$A:$AU,column(K207)-$A$5,0)="N/D",0,MID(VLOOKUP($A207,'Dados ClubeFII'!$A:$AU,column(K207)-$A$5,0),3,100)/1)/mid(VLOOKUP($A207,'Dados ClubeFII'!$A:$AU,2,0),3,SEARCH(",",VLOOKUP($A207,'Dados ClubeFII'!$A:$AU,2,0)))*B207</f>
        <v>0</v>
      </c>
      <c r="L207" s="41">
        <f>if(VLOOKUP($A207,'Dados ClubeFII'!$A:$AU,column(L207)-$A$5,0)="N/D",0,MID(VLOOKUP($A207,'Dados ClubeFII'!$A:$AU,column(L207)-$A$5,0),3,100)/1)</f>
        <v>0</v>
      </c>
      <c r="M207" s="41">
        <f>MID(VLOOKUP($A207,'Dados ClubeFII'!$A:$AU,column(M207)-$A$5,0),3,100)/1</f>
        <v>0.11</v>
      </c>
      <c r="N207" s="41">
        <f>MID(VLOOKUP($A207,'Dados ClubeFII'!$A:$AU,column(N207)-$A$5,0),3,100)/1</f>
        <v>0</v>
      </c>
      <c r="O207" s="41">
        <f>LEFT(VLOOKUP($A207,'Dados ClubeFII'!$A:$AU,column(O207)-$A$5,0),len(VLOOKUP($A207,'Dados ClubeFII'!$A:$AU,column(O207)-$A$5,0))-2)/1</f>
        <v>0</v>
      </c>
      <c r="P207" s="43">
        <f>VLOOKUP($A207,'Dados ClubeFII'!$A:$AU,column(P207)-$A$5,0)</f>
        <v>44985</v>
      </c>
      <c r="Q207" s="44">
        <f>VLOOKUP($A207,'Dados ClubeFII'!$A:$AU,column(Q207)-$A$5,0)/mid(VLOOKUP($A207,'Dados ClubeFII'!$A:$AU,2,0),3,SEARCH(",",VLOOKUP($A207,'Dados ClubeFII'!$A:$AU,2,0)))*B207</f>
        <v>0.165624158</v>
      </c>
      <c r="R207" s="44">
        <f>VLOOKUP($A207,'Dados ClubeFII'!$A:$AU,column(R207)-$A$5,0)/mid(VLOOKUP($A207,'Dados ClubeFII'!$A:$AU,2,0),3,SEARCH(",",VLOOKUP($A207,'Dados ClubeFII'!$A:$AU,2,0)))*B207</f>
        <v>0.1552987224</v>
      </c>
      <c r="S207" s="43">
        <f>VLOOKUP($A207,'Dados ClubeFII'!$A:$AU,column(S207)-$A$5,0)</f>
        <v>44522</v>
      </c>
      <c r="T207" s="41">
        <f>MID(VLOOKUP($A207,'Dados ClubeFII'!$A:$AU,column(T207)-$A$5,0),3,100)/1</f>
        <v>10</v>
      </c>
      <c r="U207" s="45">
        <f>VLOOKUP($A207,'Dados ClubeFII'!$A:$AU,column(U207)-$A$5,0)/mid(VLOOKUP($A207,'Dados ClubeFII'!$A:$AU,2,0),4,SEARCH(",",VLOOKUP($A207,'Dados ClubeFII'!$A:$AU,2,0))-1)*B207</f>
        <v>-1.002521311</v>
      </c>
      <c r="V207" s="42" t="str">
        <f>VLOOKUP($A207,'Dados ClubeFII'!$A:$AU,column(V207)-$A$5,0)</f>
        <v>N/D</v>
      </c>
      <c r="W207" s="43" t="str">
        <f>VLOOKUP($A207,'Dados ClubeFII'!$A:$AU,column(W207)-$A$5,0)</f>
        <v>N/D</v>
      </c>
      <c r="X207" s="45">
        <f>VLOOKUP($A207,'Dados ClubeFII'!$A:$AU,column(X207)-$A$5,0)</f>
        <v>0</v>
      </c>
      <c r="Y207" s="41">
        <f>MID(VLOOKUP($A207,'Dados ClubeFII'!$A:$AU,column(Y207)-$A$5,0),3,100)/1</f>
        <v>33040.66</v>
      </c>
      <c r="Z207" s="46">
        <f>VLOOKUP($A207,'Dados ClubeFII'!$A:$AU,column(Z207)-$A$5,0)</f>
        <v>2692</v>
      </c>
      <c r="AA207" s="47">
        <f t="shared" si="2"/>
        <v>73315573</v>
      </c>
      <c r="AB207" s="48">
        <f t="shared" si="3"/>
        <v>0.6611284556</v>
      </c>
      <c r="AC207" s="48"/>
      <c r="AD207" s="48"/>
      <c r="AE207" s="48"/>
    </row>
    <row r="208">
      <c r="A208" s="57"/>
      <c r="B208" s="58"/>
      <c r="C208" s="58"/>
      <c r="D208" s="58"/>
      <c r="E208" s="17"/>
      <c r="F208" s="17"/>
      <c r="G208" s="15"/>
      <c r="H208" s="59"/>
      <c r="I208" s="60"/>
      <c r="J208" s="60"/>
      <c r="K208" s="61"/>
      <c r="L208" s="62"/>
      <c r="M208" s="63"/>
      <c r="N208" s="63"/>
      <c r="O208" s="60"/>
      <c r="P208" s="60"/>
      <c r="Q208" s="63"/>
      <c r="R208" s="63"/>
      <c r="S208" s="60"/>
      <c r="T208" s="61"/>
      <c r="U208" s="63"/>
      <c r="V208" s="64"/>
      <c r="W208" s="65"/>
      <c r="X208" s="65"/>
      <c r="Y208" s="65"/>
      <c r="Z208" s="63"/>
      <c r="AA208" s="47"/>
      <c r="AB208" s="48"/>
      <c r="AC208" s="48"/>
      <c r="AD208" s="48"/>
      <c r="AE208" s="48"/>
    </row>
    <row r="209">
      <c r="A209" s="57"/>
      <c r="B209" s="58"/>
      <c r="C209" s="58"/>
      <c r="D209" s="58"/>
      <c r="E209" s="17"/>
      <c r="F209" s="17"/>
      <c r="G209" s="15"/>
      <c r="H209" s="59"/>
      <c r="I209" s="60"/>
      <c r="J209" s="60"/>
      <c r="K209" s="61"/>
      <c r="L209" s="62"/>
      <c r="M209" s="63"/>
      <c r="N209" s="63"/>
      <c r="O209" s="60"/>
      <c r="P209" s="60"/>
      <c r="Q209" s="63"/>
      <c r="R209" s="63"/>
      <c r="S209" s="60"/>
      <c r="T209" s="61"/>
      <c r="U209" s="63"/>
      <c r="V209" s="64"/>
      <c r="W209" s="65"/>
      <c r="X209" s="65"/>
      <c r="Y209" s="65"/>
      <c r="Z209" s="63"/>
      <c r="AA209" s="48"/>
      <c r="AB209" s="48"/>
      <c r="AC209" s="48"/>
      <c r="AD209" s="48"/>
      <c r="AE209" s="48"/>
    </row>
    <row r="210">
      <c r="A210" s="57"/>
      <c r="B210" s="58"/>
      <c r="C210" s="58"/>
      <c r="D210" s="58"/>
      <c r="E210" s="17"/>
      <c r="F210" s="17"/>
      <c r="G210" s="15"/>
      <c r="H210" s="59"/>
      <c r="I210" s="60"/>
      <c r="J210" s="60"/>
      <c r="K210" s="61"/>
      <c r="L210" s="62"/>
      <c r="M210" s="63"/>
      <c r="N210" s="63"/>
      <c r="O210" s="60"/>
      <c r="P210" s="60"/>
      <c r="Q210" s="63"/>
      <c r="R210" s="63"/>
      <c r="S210" s="60"/>
      <c r="T210" s="61"/>
      <c r="U210" s="63"/>
      <c r="V210" s="64"/>
      <c r="W210" s="65"/>
      <c r="X210" s="65"/>
      <c r="Y210" s="65"/>
      <c r="Z210" s="63"/>
      <c r="AA210" s="48"/>
      <c r="AB210" s="48"/>
      <c r="AC210" s="48"/>
      <c r="AD210" s="48"/>
      <c r="AE210" s="48"/>
    </row>
    <row r="211">
      <c r="A211" s="57"/>
      <c r="B211" s="58"/>
      <c r="C211" s="58"/>
      <c r="D211" s="58"/>
      <c r="E211" s="17"/>
      <c r="F211" s="17"/>
      <c r="G211" s="15"/>
      <c r="H211" s="59"/>
      <c r="I211" s="60"/>
      <c r="J211" s="60"/>
      <c r="K211" s="61"/>
      <c r="L211" s="62"/>
      <c r="M211" s="63"/>
      <c r="N211" s="63"/>
      <c r="O211" s="60"/>
      <c r="P211" s="60"/>
      <c r="Q211" s="63"/>
      <c r="R211" s="63"/>
      <c r="S211" s="60"/>
      <c r="T211" s="61"/>
      <c r="U211" s="63"/>
      <c r="V211" s="64"/>
      <c r="W211" s="65"/>
      <c r="X211" s="65"/>
      <c r="Y211" s="65"/>
      <c r="Z211" s="63"/>
      <c r="AA211" s="48"/>
      <c r="AB211" s="48"/>
      <c r="AC211" s="48"/>
      <c r="AD211" s="48"/>
      <c r="AE211" s="48"/>
    </row>
    <row r="212">
      <c r="A212" s="57"/>
      <c r="B212" s="58"/>
      <c r="C212" s="58"/>
      <c r="D212" s="58"/>
      <c r="E212" s="17"/>
      <c r="F212" s="17"/>
      <c r="G212" s="15"/>
      <c r="H212" s="59"/>
      <c r="I212" s="60"/>
      <c r="J212" s="60"/>
      <c r="K212" s="61"/>
      <c r="L212" s="62"/>
      <c r="M212" s="63"/>
      <c r="N212" s="63"/>
      <c r="O212" s="60"/>
      <c r="P212" s="60"/>
      <c r="Q212" s="63"/>
      <c r="R212" s="63"/>
      <c r="S212" s="60"/>
      <c r="T212" s="61"/>
      <c r="U212" s="63"/>
      <c r="V212" s="64"/>
      <c r="W212" s="65"/>
      <c r="X212" s="65"/>
      <c r="Y212" s="65"/>
      <c r="Z212" s="63"/>
      <c r="AA212" s="48"/>
      <c r="AB212" s="48"/>
      <c r="AC212" s="48"/>
      <c r="AD212" s="48"/>
      <c r="AE212" s="48"/>
    </row>
    <row r="213">
      <c r="A213" s="57"/>
      <c r="B213" s="58"/>
      <c r="C213" s="58"/>
      <c r="D213" s="58"/>
      <c r="E213" s="17"/>
      <c r="F213" s="17"/>
      <c r="G213" s="15"/>
      <c r="H213" s="59"/>
      <c r="I213" s="60"/>
      <c r="J213" s="60"/>
      <c r="K213" s="61"/>
      <c r="L213" s="62"/>
      <c r="M213" s="63"/>
      <c r="N213" s="63"/>
      <c r="O213" s="60"/>
      <c r="P213" s="60"/>
      <c r="Q213" s="63"/>
      <c r="R213" s="63"/>
      <c r="S213" s="60"/>
      <c r="T213" s="61"/>
      <c r="U213" s="63"/>
      <c r="V213" s="64"/>
      <c r="W213" s="65"/>
      <c r="X213" s="65"/>
      <c r="Y213" s="65"/>
      <c r="Z213" s="63"/>
      <c r="AA213" s="48"/>
      <c r="AB213" s="48"/>
      <c r="AC213" s="48"/>
      <c r="AD213" s="48"/>
      <c r="AE213" s="48"/>
    </row>
    <row r="214">
      <c r="A214" s="57"/>
      <c r="B214" s="58"/>
      <c r="C214" s="58"/>
      <c r="D214" s="58"/>
      <c r="E214" s="17"/>
      <c r="F214" s="17"/>
      <c r="G214" s="15"/>
      <c r="H214" s="59"/>
      <c r="I214" s="60"/>
      <c r="J214" s="60"/>
      <c r="K214" s="61"/>
      <c r="L214" s="62"/>
      <c r="M214" s="63"/>
      <c r="N214" s="63"/>
      <c r="O214" s="60"/>
      <c r="P214" s="60"/>
      <c r="Q214" s="63"/>
      <c r="R214" s="63"/>
      <c r="S214" s="60"/>
      <c r="T214" s="61"/>
      <c r="U214" s="63"/>
      <c r="V214" s="64"/>
      <c r="W214" s="65"/>
      <c r="X214" s="65"/>
      <c r="Y214" s="65"/>
      <c r="Z214" s="63"/>
      <c r="AA214" s="48"/>
      <c r="AB214" s="48"/>
      <c r="AC214" s="48"/>
      <c r="AD214" s="48"/>
      <c r="AE214" s="48"/>
    </row>
    <row r="215">
      <c r="A215" s="57"/>
      <c r="B215" s="58"/>
      <c r="C215" s="58"/>
      <c r="D215" s="58"/>
      <c r="E215" s="17"/>
      <c r="F215" s="17"/>
      <c r="G215" s="15"/>
      <c r="H215" s="59"/>
      <c r="I215" s="60"/>
      <c r="J215" s="60"/>
      <c r="K215" s="61"/>
      <c r="L215" s="62"/>
      <c r="M215" s="63"/>
      <c r="N215" s="63"/>
      <c r="O215" s="60"/>
      <c r="P215" s="60"/>
      <c r="Q215" s="63"/>
      <c r="R215" s="63"/>
      <c r="S215" s="60"/>
      <c r="T215" s="61"/>
      <c r="U215" s="63"/>
      <c r="V215" s="64"/>
      <c r="W215" s="65"/>
      <c r="X215" s="65"/>
      <c r="Y215" s="65"/>
      <c r="Z215" s="63"/>
      <c r="AA215" s="48"/>
      <c r="AB215" s="48"/>
      <c r="AC215" s="48"/>
      <c r="AD215" s="48"/>
      <c r="AE215" s="48"/>
    </row>
    <row r="216">
      <c r="A216" s="57"/>
      <c r="B216" s="58"/>
      <c r="C216" s="58"/>
      <c r="D216" s="58"/>
      <c r="E216" s="17"/>
      <c r="F216" s="17"/>
      <c r="G216" s="15"/>
      <c r="H216" s="59"/>
      <c r="I216" s="60"/>
      <c r="J216" s="60"/>
      <c r="K216" s="61"/>
      <c r="L216" s="62"/>
      <c r="M216" s="63"/>
      <c r="N216" s="63"/>
      <c r="O216" s="60"/>
      <c r="P216" s="60"/>
      <c r="Q216" s="63"/>
      <c r="R216" s="63"/>
      <c r="S216" s="60"/>
      <c r="T216" s="61"/>
      <c r="U216" s="63"/>
      <c r="V216" s="64"/>
      <c r="W216" s="65"/>
      <c r="X216" s="65"/>
      <c r="Y216" s="65"/>
      <c r="Z216" s="63"/>
      <c r="AA216" s="48"/>
      <c r="AB216" s="48"/>
      <c r="AC216" s="48"/>
      <c r="AD216" s="48"/>
      <c r="AE216" s="48"/>
    </row>
    <row r="217">
      <c r="A217" s="57"/>
      <c r="B217" s="58"/>
      <c r="C217" s="58"/>
      <c r="D217" s="58"/>
      <c r="E217" s="17"/>
      <c r="F217" s="17"/>
      <c r="G217" s="15"/>
      <c r="H217" s="59"/>
      <c r="I217" s="60"/>
      <c r="J217" s="60"/>
      <c r="K217" s="61"/>
      <c r="L217" s="62"/>
      <c r="M217" s="63"/>
      <c r="N217" s="63"/>
      <c r="O217" s="60"/>
      <c r="P217" s="60"/>
      <c r="Q217" s="63"/>
      <c r="R217" s="63"/>
      <c r="S217" s="60"/>
      <c r="T217" s="61"/>
      <c r="U217" s="63"/>
      <c r="V217" s="64"/>
      <c r="W217" s="65"/>
      <c r="X217" s="65"/>
      <c r="Y217" s="65"/>
      <c r="Z217" s="63"/>
      <c r="AA217" s="48"/>
      <c r="AB217" s="48"/>
      <c r="AC217" s="48"/>
      <c r="AD217" s="48"/>
      <c r="AE217" s="48"/>
    </row>
    <row r="218">
      <c r="A218" s="57"/>
      <c r="B218" s="58"/>
      <c r="C218" s="58"/>
      <c r="D218" s="58"/>
      <c r="E218" s="17"/>
      <c r="F218" s="17"/>
      <c r="G218" s="15"/>
      <c r="H218" s="59"/>
      <c r="I218" s="60"/>
      <c r="J218" s="60"/>
      <c r="K218" s="61"/>
      <c r="L218" s="62"/>
      <c r="M218" s="63"/>
      <c r="N218" s="63"/>
      <c r="O218" s="60"/>
      <c r="P218" s="60"/>
      <c r="Q218" s="63"/>
      <c r="R218" s="63"/>
      <c r="S218" s="60"/>
      <c r="T218" s="61"/>
      <c r="U218" s="63"/>
      <c r="V218" s="64"/>
      <c r="W218" s="65"/>
      <c r="X218" s="65"/>
      <c r="Y218" s="65"/>
      <c r="Z218" s="63"/>
      <c r="AA218" s="48"/>
      <c r="AB218" s="48"/>
      <c r="AC218" s="48"/>
      <c r="AD218" s="48"/>
      <c r="AE218" s="48"/>
    </row>
    <row r="219">
      <c r="A219" s="57"/>
      <c r="B219" s="58"/>
      <c r="C219" s="58"/>
      <c r="D219" s="58"/>
      <c r="E219" s="17"/>
      <c r="F219" s="17"/>
      <c r="G219" s="15"/>
      <c r="H219" s="59"/>
      <c r="I219" s="60"/>
      <c r="J219" s="60"/>
      <c r="K219" s="61"/>
      <c r="L219" s="62"/>
      <c r="M219" s="63"/>
      <c r="N219" s="63"/>
      <c r="O219" s="60"/>
      <c r="P219" s="60"/>
      <c r="Q219" s="63"/>
      <c r="R219" s="63"/>
      <c r="S219" s="60"/>
      <c r="T219" s="61"/>
      <c r="U219" s="63"/>
      <c r="V219" s="64"/>
      <c r="W219" s="65"/>
      <c r="X219" s="65"/>
      <c r="Y219" s="65"/>
      <c r="Z219" s="63"/>
      <c r="AA219" s="48"/>
      <c r="AB219" s="48"/>
      <c r="AC219" s="48"/>
      <c r="AD219" s="48"/>
      <c r="AE219" s="48"/>
    </row>
    <row r="220">
      <c r="A220" s="57"/>
      <c r="B220" s="58"/>
      <c r="C220" s="58"/>
      <c r="D220" s="58"/>
      <c r="E220" s="17"/>
      <c r="F220" s="17"/>
      <c r="G220" s="15"/>
      <c r="H220" s="59"/>
      <c r="I220" s="60"/>
      <c r="J220" s="60"/>
      <c r="K220" s="61"/>
      <c r="L220" s="62"/>
      <c r="M220" s="63"/>
      <c r="N220" s="63"/>
      <c r="O220" s="60"/>
      <c r="P220" s="60"/>
      <c r="Q220" s="63"/>
      <c r="R220" s="63"/>
      <c r="S220" s="60"/>
      <c r="T220" s="61"/>
      <c r="U220" s="63"/>
      <c r="V220" s="64"/>
      <c r="W220" s="65"/>
      <c r="X220" s="65"/>
      <c r="Y220" s="65"/>
      <c r="Z220" s="63"/>
      <c r="AA220" s="48"/>
      <c r="AB220" s="48"/>
      <c r="AC220" s="48"/>
      <c r="AD220" s="48"/>
      <c r="AE220" s="48"/>
    </row>
    <row r="221">
      <c r="A221" s="57"/>
      <c r="B221" s="58"/>
      <c r="C221" s="58"/>
      <c r="D221" s="58"/>
      <c r="E221" s="17"/>
      <c r="F221" s="17"/>
      <c r="G221" s="15"/>
      <c r="H221" s="59"/>
      <c r="I221" s="60"/>
      <c r="J221" s="60"/>
      <c r="K221" s="61"/>
      <c r="L221" s="62"/>
      <c r="M221" s="63"/>
      <c r="N221" s="63"/>
      <c r="O221" s="60"/>
      <c r="P221" s="60"/>
      <c r="Q221" s="63"/>
      <c r="R221" s="63"/>
      <c r="S221" s="60"/>
      <c r="T221" s="61"/>
      <c r="U221" s="63"/>
      <c r="V221" s="64"/>
      <c r="W221" s="65"/>
      <c r="X221" s="65"/>
      <c r="Y221" s="65"/>
      <c r="Z221" s="63"/>
      <c r="AA221" s="48"/>
      <c r="AB221" s="48"/>
      <c r="AC221" s="48"/>
      <c r="AD221" s="48"/>
      <c r="AE221" s="48"/>
    </row>
    <row r="222">
      <c r="A222" s="57"/>
      <c r="B222" s="58"/>
      <c r="C222" s="58"/>
      <c r="D222" s="58"/>
      <c r="E222" s="17"/>
      <c r="F222" s="17"/>
      <c r="G222" s="15"/>
      <c r="H222" s="59"/>
      <c r="I222" s="60"/>
      <c r="J222" s="60"/>
      <c r="K222" s="61"/>
      <c r="L222" s="62"/>
      <c r="M222" s="63"/>
      <c r="N222" s="63"/>
      <c r="O222" s="60"/>
      <c r="P222" s="60"/>
      <c r="Q222" s="63"/>
      <c r="R222" s="63"/>
      <c r="S222" s="60"/>
      <c r="T222" s="61"/>
      <c r="U222" s="63"/>
      <c r="V222" s="64"/>
      <c r="W222" s="65"/>
      <c r="X222" s="65"/>
      <c r="Y222" s="65"/>
      <c r="Z222" s="63"/>
      <c r="AA222" s="48"/>
      <c r="AB222" s="48"/>
      <c r="AC222" s="48"/>
      <c r="AD222" s="48"/>
      <c r="AE222" s="48"/>
    </row>
    <row r="223">
      <c r="A223" s="57"/>
      <c r="B223" s="58"/>
      <c r="C223" s="58"/>
      <c r="D223" s="58"/>
      <c r="E223" s="17"/>
      <c r="F223" s="17"/>
      <c r="G223" s="15"/>
      <c r="H223" s="59"/>
      <c r="I223" s="60"/>
      <c r="J223" s="60"/>
      <c r="K223" s="61"/>
      <c r="L223" s="62"/>
      <c r="M223" s="63"/>
      <c r="N223" s="63"/>
      <c r="O223" s="60"/>
      <c r="P223" s="60"/>
      <c r="Q223" s="63"/>
      <c r="R223" s="63"/>
      <c r="S223" s="60"/>
      <c r="T223" s="61"/>
      <c r="U223" s="63"/>
      <c r="V223" s="64"/>
      <c r="W223" s="65"/>
      <c r="X223" s="65"/>
      <c r="Y223" s="65"/>
      <c r="Z223" s="63"/>
      <c r="AA223" s="48"/>
      <c r="AB223" s="48"/>
      <c r="AC223" s="48"/>
      <c r="AD223" s="48"/>
      <c r="AE223" s="48"/>
    </row>
    <row r="224">
      <c r="A224" s="57"/>
      <c r="B224" s="58"/>
      <c r="C224" s="58"/>
      <c r="D224" s="58"/>
      <c r="E224" s="17"/>
      <c r="F224" s="17"/>
      <c r="G224" s="15"/>
      <c r="H224" s="59"/>
      <c r="I224" s="60"/>
      <c r="J224" s="60"/>
      <c r="K224" s="61"/>
      <c r="L224" s="62"/>
      <c r="M224" s="63"/>
      <c r="N224" s="63"/>
      <c r="O224" s="60"/>
      <c r="P224" s="60"/>
      <c r="Q224" s="63"/>
      <c r="R224" s="63"/>
      <c r="S224" s="60"/>
      <c r="T224" s="61"/>
      <c r="U224" s="63"/>
      <c r="V224" s="64"/>
      <c r="W224" s="65"/>
      <c r="X224" s="65"/>
      <c r="Y224" s="65"/>
      <c r="Z224" s="63"/>
      <c r="AA224" s="48"/>
      <c r="AB224" s="48"/>
      <c r="AC224" s="48"/>
      <c r="AD224" s="48"/>
      <c r="AE224" s="48"/>
    </row>
    <row r="225">
      <c r="A225" s="57"/>
      <c r="B225" s="58"/>
      <c r="C225" s="58"/>
      <c r="D225" s="58"/>
      <c r="E225" s="17"/>
      <c r="F225" s="17"/>
      <c r="G225" s="15"/>
      <c r="H225" s="59"/>
      <c r="I225" s="60"/>
      <c r="J225" s="60"/>
      <c r="K225" s="61"/>
      <c r="L225" s="62"/>
      <c r="M225" s="63"/>
      <c r="N225" s="63"/>
      <c r="O225" s="60"/>
      <c r="P225" s="60"/>
      <c r="Q225" s="63"/>
      <c r="R225" s="63"/>
      <c r="S225" s="60"/>
      <c r="T225" s="61"/>
      <c r="U225" s="63"/>
      <c r="V225" s="64"/>
      <c r="W225" s="65"/>
      <c r="X225" s="65"/>
      <c r="Y225" s="65"/>
      <c r="Z225" s="63"/>
      <c r="AA225" s="48"/>
      <c r="AB225" s="48"/>
      <c r="AC225" s="48"/>
      <c r="AD225" s="48"/>
      <c r="AE225" s="48"/>
    </row>
    <row r="226">
      <c r="A226" s="57"/>
      <c r="B226" s="58"/>
      <c r="C226" s="58"/>
      <c r="D226" s="58"/>
      <c r="E226" s="17"/>
      <c r="F226" s="17"/>
      <c r="G226" s="15"/>
      <c r="H226" s="59"/>
      <c r="I226" s="60"/>
      <c r="J226" s="60"/>
      <c r="K226" s="61"/>
      <c r="L226" s="62"/>
      <c r="M226" s="63"/>
      <c r="N226" s="63"/>
      <c r="O226" s="60"/>
      <c r="P226" s="60"/>
      <c r="Q226" s="63"/>
      <c r="R226" s="63"/>
      <c r="S226" s="60"/>
      <c r="T226" s="61"/>
      <c r="U226" s="63"/>
      <c r="V226" s="64"/>
      <c r="W226" s="65"/>
      <c r="X226" s="65"/>
      <c r="Y226" s="65"/>
      <c r="Z226" s="63"/>
      <c r="AA226" s="48"/>
      <c r="AB226" s="48"/>
      <c r="AC226" s="48"/>
      <c r="AD226" s="48"/>
      <c r="AE226" s="48"/>
    </row>
    <row r="227">
      <c r="A227" s="57"/>
      <c r="B227" s="58"/>
      <c r="C227" s="58"/>
      <c r="D227" s="58"/>
      <c r="E227" s="17"/>
      <c r="F227" s="17"/>
      <c r="G227" s="15"/>
      <c r="H227" s="59"/>
      <c r="I227" s="60"/>
      <c r="J227" s="60"/>
      <c r="K227" s="61"/>
      <c r="L227" s="62"/>
      <c r="M227" s="63"/>
      <c r="N227" s="63"/>
      <c r="O227" s="60"/>
      <c r="P227" s="60"/>
      <c r="Q227" s="63"/>
      <c r="R227" s="63"/>
      <c r="S227" s="60"/>
      <c r="T227" s="61"/>
      <c r="U227" s="63"/>
      <c r="V227" s="64"/>
      <c r="W227" s="65"/>
      <c r="X227" s="65"/>
      <c r="Y227" s="65"/>
      <c r="Z227" s="63"/>
      <c r="AA227" s="48"/>
      <c r="AB227" s="48"/>
      <c r="AC227" s="48"/>
      <c r="AD227" s="48"/>
      <c r="AE227" s="48"/>
    </row>
    <row r="228">
      <c r="A228" s="57"/>
      <c r="B228" s="58"/>
      <c r="C228" s="58"/>
      <c r="D228" s="58"/>
      <c r="E228" s="17"/>
      <c r="F228" s="17"/>
      <c r="G228" s="15"/>
      <c r="H228" s="59"/>
      <c r="I228" s="60"/>
      <c r="J228" s="60"/>
      <c r="K228" s="61"/>
      <c r="L228" s="62"/>
      <c r="M228" s="63"/>
      <c r="N228" s="63"/>
      <c r="O228" s="60"/>
      <c r="P228" s="60"/>
      <c r="Q228" s="63"/>
      <c r="R228" s="63"/>
      <c r="S228" s="60"/>
      <c r="T228" s="61"/>
      <c r="U228" s="63"/>
      <c r="V228" s="64"/>
      <c r="W228" s="65"/>
      <c r="X228" s="65"/>
      <c r="Y228" s="65"/>
      <c r="Z228" s="63"/>
      <c r="AA228" s="48"/>
      <c r="AB228" s="48"/>
      <c r="AC228" s="48"/>
      <c r="AD228" s="48"/>
      <c r="AE228" s="48"/>
    </row>
    <row r="229">
      <c r="A229" s="57"/>
      <c r="B229" s="58"/>
      <c r="C229" s="58"/>
      <c r="D229" s="58"/>
      <c r="E229" s="17"/>
      <c r="F229" s="17"/>
      <c r="G229" s="15"/>
      <c r="H229" s="59"/>
      <c r="I229" s="60"/>
      <c r="J229" s="60"/>
      <c r="K229" s="61"/>
      <c r="L229" s="62"/>
      <c r="M229" s="63"/>
      <c r="N229" s="63"/>
      <c r="O229" s="60"/>
      <c r="P229" s="60"/>
      <c r="Q229" s="63"/>
      <c r="R229" s="63"/>
      <c r="S229" s="60"/>
      <c r="T229" s="61"/>
      <c r="U229" s="63"/>
      <c r="V229" s="64"/>
      <c r="W229" s="65"/>
      <c r="X229" s="65"/>
      <c r="Y229" s="65"/>
      <c r="Z229" s="63"/>
      <c r="AA229" s="48"/>
      <c r="AB229" s="48"/>
      <c r="AC229" s="48"/>
      <c r="AD229" s="48"/>
      <c r="AE229" s="48"/>
    </row>
    <row r="230">
      <c r="A230" s="57"/>
      <c r="B230" s="58"/>
      <c r="C230" s="58"/>
      <c r="D230" s="58"/>
      <c r="E230" s="17"/>
      <c r="F230" s="17"/>
      <c r="G230" s="15"/>
      <c r="H230" s="59"/>
      <c r="I230" s="60"/>
      <c r="J230" s="60"/>
      <c r="K230" s="61"/>
      <c r="L230" s="62"/>
      <c r="M230" s="63"/>
      <c r="N230" s="63"/>
      <c r="O230" s="60"/>
      <c r="P230" s="60"/>
      <c r="Q230" s="63"/>
      <c r="R230" s="63"/>
      <c r="S230" s="60"/>
      <c r="T230" s="61"/>
      <c r="U230" s="63"/>
      <c r="V230" s="64"/>
      <c r="W230" s="65"/>
      <c r="X230" s="65"/>
      <c r="Y230" s="65"/>
      <c r="Z230" s="63"/>
      <c r="AA230" s="48"/>
      <c r="AB230" s="48"/>
      <c r="AC230" s="48"/>
      <c r="AD230" s="48"/>
      <c r="AE230" s="48"/>
    </row>
    <row r="231">
      <c r="A231" s="57"/>
      <c r="B231" s="58"/>
      <c r="C231" s="58"/>
      <c r="D231" s="58"/>
      <c r="E231" s="17"/>
      <c r="F231" s="17"/>
      <c r="G231" s="15"/>
      <c r="H231" s="59"/>
      <c r="I231" s="60"/>
      <c r="J231" s="60"/>
      <c r="K231" s="61"/>
      <c r="L231" s="62"/>
      <c r="M231" s="63"/>
      <c r="N231" s="63"/>
      <c r="O231" s="60"/>
      <c r="P231" s="60"/>
      <c r="Q231" s="63"/>
      <c r="R231" s="63"/>
      <c r="S231" s="60"/>
      <c r="T231" s="61"/>
      <c r="U231" s="63"/>
      <c r="V231" s="64"/>
      <c r="W231" s="65"/>
      <c r="X231" s="65"/>
      <c r="Y231" s="65"/>
      <c r="Z231" s="63"/>
      <c r="AA231" s="48"/>
      <c r="AB231" s="48"/>
      <c r="AC231" s="48"/>
      <c r="AD231" s="48"/>
      <c r="AE231" s="48"/>
    </row>
    <row r="232">
      <c r="A232" s="57"/>
      <c r="B232" s="58"/>
      <c r="C232" s="58"/>
      <c r="D232" s="58"/>
      <c r="E232" s="17"/>
      <c r="F232" s="17"/>
      <c r="G232" s="15"/>
      <c r="H232" s="59"/>
      <c r="I232" s="60"/>
      <c r="J232" s="60"/>
      <c r="K232" s="61"/>
      <c r="L232" s="62"/>
      <c r="M232" s="63"/>
      <c r="N232" s="63"/>
      <c r="O232" s="60"/>
      <c r="P232" s="60"/>
      <c r="Q232" s="63"/>
      <c r="R232" s="63"/>
      <c r="S232" s="60"/>
      <c r="T232" s="61"/>
      <c r="U232" s="63"/>
      <c r="V232" s="64"/>
      <c r="W232" s="65"/>
      <c r="X232" s="65"/>
      <c r="Y232" s="65"/>
      <c r="Z232" s="63"/>
      <c r="AA232" s="48"/>
      <c r="AB232" s="48"/>
      <c r="AC232" s="48"/>
      <c r="AD232" s="48"/>
      <c r="AE232" s="48"/>
    </row>
    <row r="233">
      <c r="A233" s="57"/>
      <c r="B233" s="58"/>
      <c r="C233" s="58"/>
      <c r="D233" s="58"/>
      <c r="E233" s="17"/>
      <c r="F233" s="17"/>
      <c r="G233" s="15"/>
      <c r="H233" s="59"/>
      <c r="I233" s="60"/>
      <c r="J233" s="60"/>
      <c r="K233" s="61"/>
      <c r="L233" s="62"/>
      <c r="M233" s="63"/>
      <c r="N233" s="63"/>
      <c r="O233" s="60"/>
      <c r="P233" s="60"/>
      <c r="Q233" s="63"/>
      <c r="R233" s="63"/>
      <c r="S233" s="60"/>
      <c r="T233" s="61"/>
      <c r="U233" s="63"/>
      <c r="V233" s="64"/>
      <c r="W233" s="65"/>
      <c r="X233" s="65"/>
      <c r="Y233" s="65"/>
      <c r="Z233" s="63"/>
      <c r="AA233" s="48"/>
      <c r="AB233" s="48"/>
      <c r="AC233" s="48"/>
      <c r="AD233" s="48"/>
      <c r="AE233" s="48"/>
    </row>
    <row r="234">
      <c r="A234" s="57"/>
      <c r="B234" s="58"/>
      <c r="C234" s="58"/>
      <c r="D234" s="58"/>
      <c r="E234" s="17"/>
      <c r="F234" s="17"/>
      <c r="G234" s="15"/>
      <c r="H234" s="59"/>
      <c r="I234" s="60"/>
      <c r="J234" s="60"/>
      <c r="K234" s="61"/>
      <c r="L234" s="62"/>
      <c r="M234" s="63"/>
      <c r="N234" s="63"/>
      <c r="O234" s="60"/>
      <c r="P234" s="60"/>
      <c r="Q234" s="63"/>
      <c r="R234" s="63"/>
      <c r="S234" s="60"/>
      <c r="T234" s="61"/>
      <c r="U234" s="63"/>
      <c r="V234" s="64"/>
      <c r="W234" s="65"/>
      <c r="X234" s="65"/>
      <c r="Y234" s="65"/>
      <c r="Z234" s="63"/>
      <c r="AA234" s="48"/>
      <c r="AB234" s="48"/>
      <c r="AC234" s="48"/>
      <c r="AD234" s="48"/>
      <c r="AE234" s="48"/>
    </row>
    <row r="235">
      <c r="A235" s="57"/>
      <c r="B235" s="58"/>
      <c r="C235" s="58"/>
      <c r="D235" s="58"/>
      <c r="E235" s="17"/>
      <c r="F235" s="17"/>
      <c r="G235" s="15"/>
      <c r="H235" s="59"/>
      <c r="I235" s="60"/>
      <c r="J235" s="60"/>
      <c r="K235" s="61"/>
      <c r="L235" s="62"/>
      <c r="M235" s="63"/>
      <c r="N235" s="63"/>
      <c r="O235" s="60"/>
      <c r="P235" s="60"/>
      <c r="Q235" s="63"/>
      <c r="R235" s="63"/>
      <c r="S235" s="60"/>
      <c r="T235" s="61"/>
      <c r="U235" s="63"/>
      <c r="V235" s="64"/>
      <c r="W235" s="65"/>
      <c r="X235" s="65"/>
      <c r="Y235" s="65"/>
      <c r="Z235" s="63"/>
      <c r="AA235" s="48"/>
      <c r="AB235" s="48"/>
      <c r="AC235" s="48"/>
      <c r="AD235" s="48"/>
      <c r="AE235" s="48"/>
    </row>
    <row r="236">
      <c r="A236" s="57"/>
      <c r="B236" s="58"/>
      <c r="C236" s="58"/>
      <c r="D236" s="58"/>
      <c r="E236" s="17"/>
      <c r="F236" s="17"/>
      <c r="G236" s="15"/>
      <c r="H236" s="59"/>
      <c r="I236" s="60"/>
      <c r="J236" s="60"/>
      <c r="K236" s="61"/>
      <c r="L236" s="62"/>
      <c r="M236" s="63"/>
      <c r="N236" s="63"/>
      <c r="O236" s="60"/>
      <c r="P236" s="60"/>
      <c r="Q236" s="63"/>
      <c r="R236" s="63"/>
      <c r="S236" s="60"/>
      <c r="T236" s="61"/>
      <c r="U236" s="63"/>
      <c r="V236" s="64"/>
      <c r="W236" s="65"/>
      <c r="X236" s="65"/>
      <c r="Y236" s="65"/>
      <c r="Z236" s="63"/>
      <c r="AA236" s="48"/>
      <c r="AB236" s="48"/>
      <c r="AC236" s="48"/>
      <c r="AD236" s="48"/>
      <c r="AE236" s="48"/>
    </row>
    <row r="237">
      <c r="A237" s="57"/>
      <c r="B237" s="58"/>
      <c r="C237" s="58"/>
      <c r="D237" s="58"/>
      <c r="E237" s="17"/>
      <c r="F237" s="17"/>
      <c r="G237" s="15"/>
      <c r="H237" s="59"/>
      <c r="I237" s="60"/>
      <c r="J237" s="60"/>
      <c r="K237" s="61"/>
      <c r="L237" s="62"/>
      <c r="M237" s="63"/>
      <c r="N237" s="63"/>
      <c r="O237" s="60"/>
      <c r="P237" s="60"/>
      <c r="Q237" s="63"/>
      <c r="R237" s="63"/>
      <c r="S237" s="60"/>
      <c r="T237" s="61"/>
      <c r="U237" s="63"/>
      <c r="V237" s="64"/>
      <c r="W237" s="65"/>
      <c r="X237" s="65"/>
      <c r="Y237" s="65"/>
      <c r="Z237" s="63"/>
      <c r="AA237" s="48"/>
      <c r="AB237" s="48"/>
      <c r="AC237" s="48"/>
      <c r="AD237" s="48"/>
      <c r="AE237" s="48"/>
    </row>
    <row r="238">
      <c r="A238" s="57"/>
      <c r="B238" s="58"/>
      <c r="C238" s="58"/>
      <c r="D238" s="58"/>
      <c r="E238" s="17"/>
      <c r="F238" s="17"/>
      <c r="G238" s="15"/>
      <c r="H238" s="59"/>
      <c r="I238" s="60"/>
      <c r="J238" s="60"/>
      <c r="K238" s="61"/>
      <c r="L238" s="62"/>
      <c r="M238" s="63"/>
      <c r="N238" s="63"/>
      <c r="O238" s="60"/>
      <c r="P238" s="60"/>
      <c r="Q238" s="63"/>
      <c r="R238" s="63"/>
      <c r="S238" s="60"/>
      <c r="T238" s="61"/>
      <c r="U238" s="63"/>
      <c r="V238" s="64"/>
      <c r="W238" s="65"/>
      <c r="X238" s="65"/>
      <c r="Y238" s="65"/>
      <c r="Z238" s="63"/>
      <c r="AA238" s="48"/>
      <c r="AB238" s="48"/>
      <c r="AC238" s="48"/>
      <c r="AD238" s="48"/>
      <c r="AE238" s="48"/>
    </row>
    <row r="239">
      <c r="A239" s="57"/>
      <c r="B239" s="58"/>
      <c r="C239" s="58"/>
      <c r="D239" s="58"/>
      <c r="E239" s="17"/>
      <c r="F239" s="17"/>
      <c r="G239" s="15"/>
      <c r="H239" s="59"/>
      <c r="I239" s="60"/>
      <c r="J239" s="60"/>
      <c r="K239" s="61"/>
      <c r="L239" s="62"/>
      <c r="M239" s="63"/>
      <c r="N239" s="63"/>
      <c r="O239" s="60"/>
      <c r="P239" s="60"/>
      <c r="Q239" s="63"/>
      <c r="R239" s="63"/>
      <c r="S239" s="60"/>
      <c r="T239" s="61"/>
      <c r="U239" s="63"/>
      <c r="V239" s="64"/>
      <c r="W239" s="65"/>
      <c r="X239" s="65"/>
      <c r="Y239" s="65"/>
      <c r="Z239" s="63"/>
      <c r="AA239" s="48"/>
      <c r="AB239" s="48"/>
      <c r="AC239" s="48"/>
      <c r="AD239" s="48"/>
      <c r="AE239" s="48"/>
    </row>
    <row r="240">
      <c r="A240" s="57"/>
      <c r="B240" s="58"/>
      <c r="C240" s="58"/>
      <c r="D240" s="58"/>
      <c r="E240" s="17"/>
      <c r="F240" s="17"/>
      <c r="G240" s="15"/>
      <c r="H240" s="59"/>
      <c r="I240" s="60"/>
      <c r="J240" s="60"/>
      <c r="K240" s="61"/>
      <c r="L240" s="62"/>
      <c r="M240" s="63"/>
      <c r="N240" s="63"/>
      <c r="O240" s="60"/>
      <c r="P240" s="60"/>
      <c r="Q240" s="63"/>
      <c r="R240" s="63"/>
      <c r="S240" s="60"/>
      <c r="T240" s="61"/>
      <c r="U240" s="63"/>
      <c r="V240" s="64"/>
      <c r="W240" s="65"/>
      <c r="X240" s="65"/>
      <c r="Y240" s="65"/>
      <c r="Z240" s="63"/>
      <c r="AA240" s="48"/>
      <c r="AB240" s="48"/>
      <c r="AC240" s="48"/>
      <c r="AD240" s="48"/>
      <c r="AE240" s="48"/>
    </row>
    <row r="241">
      <c r="A241" s="57"/>
      <c r="B241" s="58"/>
      <c r="C241" s="58"/>
      <c r="D241" s="58"/>
      <c r="E241" s="17"/>
      <c r="F241" s="17"/>
      <c r="G241" s="15"/>
      <c r="H241" s="59"/>
      <c r="I241" s="60"/>
      <c r="J241" s="60"/>
      <c r="K241" s="61"/>
      <c r="L241" s="62"/>
      <c r="M241" s="63"/>
      <c r="N241" s="63"/>
      <c r="O241" s="60"/>
      <c r="P241" s="60"/>
      <c r="Q241" s="63"/>
      <c r="R241" s="63"/>
      <c r="S241" s="60"/>
      <c r="T241" s="61"/>
      <c r="U241" s="63"/>
      <c r="V241" s="64"/>
      <c r="W241" s="65"/>
      <c r="X241" s="65"/>
      <c r="Y241" s="65"/>
      <c r="Z241" s="63"/>
      <c r="AA241" s="48"/>
      <c r="AB241" s="48"/>
      <c r="AC241" s="48"/>
      <c r="AD241" s="48"/>
      <c r="AE241" s="48"/>
    </row>
    <row r="242">
      <c r="A242" s="57"/>
      <c r="B242" s="58"/>
      <c r="C242" s="58"/>
      <c r="D242" s="58"/>
      <c r="E242" s="17"/>
      <c r="F242" s="17"/>
      <c r="G242" s="15"/>
      <c r="H242" s="59"/>
      <c r="I242" s="60"/>
      <c r="J242" s="60"/>
      <c r="K242" s="61"/>
      <c r="L242" s="62"/>
      <c r="M242" s="63"/>
      <c r="N242" s="63"/>
      <c r="O242" s="60"/>
      <c r="P242" s="60"/>
      <c r="Q242" s="63"/>
      <c r="R242" s="63"/>
      <c r="S242" s="60"/>
      <c r="T242" s="61"/>
      <c r="U242" s="63"/>
      <c r="V242" s="64"/>
      <c r="W242" s="65"/>
      <c r="X242" s="65"/>
      <c r="Y242" s="65"/>
      <c r="Z242" s="63"/>
      <c r="AA242" s="48"/>
      <c r="AB242" s="48"/>
      <c r="AC242" s="48"/>
      <c r="AD242" s="48"/>
      <c r="AE242" s="48"/>
    </row>
    <row r="243">
      <c r="A243" s="57"/>
      <c r="B243" s="58"/>
      <c r="C243" s="58"/>
      <c r="D243" s="58"/>
      <c r="E243" s="17"/>
      <c r="F243" s="17"/>
      <c r="G243" s="15"/>
      <c r="H243" s="59"/>
      <c r="I243" s="60"/>
      <c r="J243" s="60"/>
      <c r="K243" s="61"/>
      <c r="L243" s="62"/>
      <c r="M243" s="63"/>
      <c r="N243" s="63"/>
      <c r="O243" s="60"/>
      <c r="P243" s="60"/>
      <c r="Q243" s="63"/>
      <c r="R243" s="63"/>
      <c r="S243" s="60"/>
      <c r="T243" s="61"/>
      <c r="U243" s="63"/>
      <c r="V243" s="64"/>
      <c r="W243" s="65"/>
      <c r="X243" s="65"/>
      <c r="Y243" s="65"/>
      <c r="Z243" s="63"/>
      <c r="AA243" s="48"/>
      <c r="AB243" s="48"/>
      <c r="AC243" s="48"/>
      <c r="AD243" s="48"/>
      <c r="AE243" s="48"/>
    </row>
    <row r="244">
      <c r="A244" s="57"/>
      <c r="B244" s="58"/>
      <c r="C244" s="58"/>
      <c r="D244" s="58"/>
      <c r="E244" s="17"/>
      <c r="F244" s="17"/>
      <c r="G244" s="15"/>
      <c r="H244" s="59"/>
      <c r="I244" s="60"/>
      <c r="J244" s="60"/>
      <c r="K244" s="61"/>
      <c r="L244" s="62"/>
      <c r="M244" s="63"/>
      <c r="N244" s="63"/>
      <c r="O244" s="60"/>
      <c r="P244" s="60"/>
      <c r="Q244" s="63"/>
      <c r="R244" s="63"/>
      <c r="S244" s="60"/>
      <c r="T244" s="61"/>
      <c r="U244" s="63"/>
      <c r="V244" s="64"/>
      <c r="W244" s="65"/>
      <c r="X244" s="65"/>
      <c r="Y244" s="65"/>
      <c r="Z244" s="63"/>
      <c r="AA244" s="17"/>
      <c r="AB244" s="17"/>
      <c r="AC244" s="17"/>
      <c r="AD244" s="17"/>
      <c r="AE244" s="17"/>
    </row>
    <row r="245">
      <c r="A245" s="57"/>
      <c r="B245" s="58"/>
      <c r="C245" s="58"/>
      <c r="D245" s="58"/>
      <c r="E245" s="17"/>
      <c r="F245" s="17"/>
      <c r="G245" s="15"/>
      <c r="H245" s="59"/>
      <c r="I245" s="60"/>
      <c r="J245" s="60"/>
      <c r="K245" s="61"/>
      <c r="L245" s="62"/>
      <c r="M245" s="63"/>
      <c r="N245" s="63"/>
      <c r="O245" s="60"/>
      <c r="P245" s="60"/>
      <c r="Q245" s="63"/>
      <c r="R245" s="63"/>
      <c r="S245" s="60"/>
      <c r="T245" s="61"/>
      <c r="U245" s="63"/>
      <c r="V245" s="64"/>
      <c r="W245" s="65"/>
      <c r="X245" s="65"/>
      <c r="Y245" s="65"/>
      <c r="Z245" s="63"/>
      <c r="AA245" s="48"/>
      <c r="AB245" s="48"/>
      <c r="AC245" s="48"/>
      <c r="AD245" s="48"/>
      <c r="AE245" s="48"/>
    </row>
    <row r="246">
      <c r="A246" s="57"/>
      <c r="B246" s="58"/>
      <c r="C246" s="58"/>
      <c r="D246" s="58"/>
      <c r="E246" s="17"/>
      <c r="F246" s="17"/>
      <c r="G246" s="15"/>
      <c r="H246" s="59"/>
      <c r="I246" s="60"/>
      <c r="J246" s="60"/>
      <c r="K246" s="61"/>
      <c r="L246" s="62"/>
      <c r="M246" s="63"/>
      <c r="N246" s="63"/>
      <c r="O246" s="60"/>
      <c r="P246" s="60"/>
      <c r="Q246" s="63"/>
      <c r="R246" s="63"/>
      <c r="S246" s="60"/>
      <c r="T246" s="61"/>
      <c r="U246" s="63"/>
      <c r="V246" s="64"/>
      <c r="W246" s="65"/>
      <c r="X246" s="65"/>
      <c r="Y246" s="65"/>
      <c r="Z246" s="63"/>
      <c r="AA246" s="48"/>
      <c r="AB246" s="48"/>
      <c r="AC246" s="48"/>
      <c r="AD246" s="48"/>
      <c r="AE246" s="48"/>
    </row>
    <row r="247">
      <c r="A247" s="57"/>
      <c r="B247" s="58"/>
      <c r="C247" s="58"/>
      <c r="D247" s="58"/>
      <c r="E247" s="17"/>
      <c r="F247" s="17"/>
      <c r="G247" s="15"/>
      <c r="H247" s="59"/>
      <c r="I247" s="60"/>
      <c r="J247" s="60"/>
      <c r="K247" s="61"/>
      <c r="L247" s="66"/>
      <c r="M247" s="67"/>
      <c r="N247" s="67"/>
      <c r="O247" s="60"/>
      <c r="P247" s="60"/>
      <c r="Q247" s="67"/>
      <c r="R247" s="67"/>
      <c r="S247" s="60"/>
      <c r="T247" s="61"/>
      <c r="U247" s="67"/>
      <c r="V247" s="68"/>
      <c r="W247" s="69"/>
      <c r="X247" s="69"/>
      <c r="Y247" s="69"/>
      <c r="Z247" s="67"/>
      <c r="AA247" s="48"/>
      <c r="AB247" s="48"/>
      <c r="AC247" s="48"/>
      <c r="AD247" s="48"/>
      <c r="AE247" s="48"/>
    </row>
    <row r="248">
      <c r="A248" s="57"/>
      <c r="B248" s="58"/>
      <c r="C248" s="58"/>
      <c r="D248" s="58"/>
      <c r="E248" s="17"/>
      <c r="F248" s="17"/>
      <c r="G248" s="15"/>
      <c r="H248" s="59"/>
      <c r="I248" s="60"/>
      <c r="J248" s="60"/>
      <c r="K248" s="61"/>
      <c r="L248" s="62"/>
      <c r="M248" s="63"/>
      <c r="N248" s="63"/>
      <c r="O248" s="60"/>
      <c r="P248" s="60"/>
      <c r="Q248" s="63"/>
      <c r="R248" s="63"/>
      <c r="S248" s="60"/>
      <c r="T248" s="61"/>
      <c r="U248" s="63"/>
      <c r="V248" s="64"/>
      <c r="W248" s="65"/>
      <c r="X248" s="65"/>
      <c r="Y248" s="65"/>
      <c r="Z248" s="63"/>
      <c r="AA248" s="48"/>
      <c r="AB248" s="48"/>
      <c r="AC248" s="48"/>
      <c r="AD248" s="48"/>
      <c r="AE248" s="48"/>
    </row>
    <row r="249">
      <c r="A249" s="57"/>
      <c r="B249" s="58"/>
      <c r="C249" s="58"/>
      <c r="D249" s="58"/>
      <c r="E249" s="17"/>
      <c r="F249" s="17"/>
      <c r="G249" s="15"/>
      <c r="H249" s="59"/>
      <c r="I249" s="60"/>
      <c r="J249" s="60"/>
      <c r="K249" s="61"/>
      <c r="L249" s="62"/>
      <c r="M249" s="63"/>
      <c r="N249" s="63"/>
      <c r="O249" s="60"/>
      <c r="P249" s="60"/>
      <c r="Q249" s="63"/>
      <c r="R249" s="63"/>
      <c r="S249" s="60"/>
      <c r="T249" s="61"/>
      <c r="U249" s="63"/>
      <c r="V249" s="64"/>
      <c r="W249" s="65"/>
      <c r="X249" s="65"/>
      <c r="Y249" s="65"/>
      <c r="Z249" s="63"/>
      <c r="AA249" s="48"/>
      <c r="AB249" s="48"/>
      <c r="AC249" s="48"/>
      <c r="AD249" s="48"/>
      <c r="AE249" s="48"/>
    </row>
    <row r="250">
      <c r="A250" s="57"/>
      <c r="B250" s="58"/>
      <c r="C250" s="58"/>
      <c r="D250" s="58"/>
      <c r="E250" s="17"/>
      <c r="F250" s="17"/>
      <c r="G250" s="15"/>
      <c r="H250" s="59"/>
      <c r="I250" s="60"/>
      <c r="J250" s="60"/>
      <c r="K250" s="61"/>
      <c r="L250" s="62"/>
      <c r="M250" s="63"/>
      <c r="N250" s="63"/>
      <c r="O250" s="60"/>
      <c r="P250" s="60"/>
      <c r="Q250" s="63"/>
      <c r="R250" s="63"/>
      <c r="S250" s="60"/>
      <c r="T250" s="61"/>
      <c r="U250" s="63"/>
      <c r="V250" s="64"/>
      <c r="W250" s="65"/>
      <c r="X250" s="65"/>
      <c r="Y250" s="65"/>
      <c r="Z250" s="63"/>
      <c r="AA250" s="48"/>
      <c r="AB250" s="48"/>
      <c r="AC250" s="48"/>
      <c r="AD250" s="48"/>
      <c r="AE250" s="48"/>
    </row>
    <row r="251">
      <c r="A251" s="57"/>
      <c r="B251" s="58"/>
      <c r="C251" s="58"/>
      <c r="D251" s="58"/>
      <c r="E251" s="17"/>
      <c r="F251" s="17"/>
      <c r="G251" s="15"/>
      <c r="H251" s="59"/>
      <c r="I251" s="60"/>
      <c r="J251" s="60"/>
      <c r="K251" s="61"/>
      <c r="L251" s="62"/>
      <c r="M251" s="63"/>
      <c r="N251" s="63"/>
      <c r="O251" s="60"/>
      <c r="P251" s="60"/>
      <c r="Q251" s="63"/>
      <c r="R251" s="63"/>
      <c r="S251" s="60"/>
      <c r="T251" s="61"/>
      <c r="U251" s="63"/>
      <c r="V251" s="64"/>
      <c r="W251" s="65"/>
      <c r="X251" s="65"/>
      <c r="Y251" s="65"/>
      <c r="Z251" s="63"/>
      <c r="AA251" s="48"/>
      <c r="AB251" s="48"/>
      <c r="AC251" s="48"/>
      <c r="AD251" s="48"/>
      <c r="AE251" s="48"/>
    </row>
    <row r="252">
      <c r="A252" s="57"/>
      <c r="B252" s="58"/>
      <c r="C252" s="58"/>
      <c r="D252" s="58"/>
      <c r="E252" s="17"/>
      <c r="F252" s="17"/>
      <c r="G252" s="15"/>
      <c r="H252" s="59"/>
      <c r="I252" s="60"/>
      <c r="J252" s="60"/>
      <c r="K252" s="61"/>
      <c r="L252" s="62"/>
      <c r="M252" s="63"/>
      <c r="N252" s="63"/>
      <c r="O252" s="60"/>
      <c r="P252" s="60"/>
      <c r="Q252" s="63"/>
      <c r="R252" s="63"/>
      <c r="S252" s="60"/>
      <c r="T252" s="61"/>
      <c r="U252" s="63"/>
      <c r="V252" s="64"/>
      <c r="W252" s="65"/>
      <c r="X252" s="65"/>
      <c r="Y252" s="65"/>
      <c r="Z252" s="63"/>
      <c r="AA252" s="48"/>
      <c r="AB252" s="48"/>
      <c r="AC252" s="48"/>
      <c r="AD252" s="48"/>
      <c r="AE252" s="48"/>
    </row>
    <row r="253">
      <c r="A253" s="57"/>
      <c r="B253" s="58"/>
      <c r="C253" s="58"/>
      <c r="D253" s="58"/>
      <c r="E253" s="17"/>
      <c r="F253" s="17"/>
      <c r="G253" s="15"/>
      <c r="H253" s="59"/>
      <c r="I253" s="60"/>
      <c r="J253" s="60"/>
      <c r="K253" s="61"/>
      <c r="L253" s="62"/>
      <c r="M253" s="63"/>
      <c r="N253" s="63"/>
      <c r="O253" s="60"/>
      <c r="P253" s="60"/>
      <c r="Q253" s="63"/>
      <c r="R253" s="63"/>
      <c r="S253" s="60"/>
      <c r="T253" s="61"/>
      <c r="U253" s="63"/>
      <c r="V253" s="64"/>
      <c r="W253" s="65"/>
      <c r="X253" s="65"/>
      <c r="Y253" s="65"/>
      <c r="Z253" s="63"/>
      <c r="AA253" s="48"/>
      <c r="AB253" s="48"/>
      <c r="AC253" s="48"/>
      <c r="AD253" s="48"/>
      <c r="AE253" s="48"/>
    </row>
    <row r="254">
      <c r="A254" s="57"/>
      <c r="B254" s="58"/>
      <c r="C254" s="58"/>
      <c r="D254" s="58"/>
      <c r="E254" s="17"/>
      <c r="F254" s="17"/>
      <c r="G254" s="15"/>
      <c r="H254" s="59"/>
      <c r="I254" s="60"/>
      <c r="J254" s="60"/>
      <c r="K254" s="61"/>
      <c r="L254" s="62"/>
      <c r="M254" s="63"/>
      <c r="N254" s="63"/>
      <c r="O254" s="60"/>
      <c r="P254" s="60"/>
      <c r="Q254" s="63"/>
      <c r="R254" s="63"/>
      <c r="S254" s="60"/>
      <c r="T254" s="61"/>
      <c r="U254" s="63"/>
      <c r="V254" s="64"/>
      <c r="W254" s="65"/>
      <c r="X254" s="65"/>
      <c r="Y254" s="65"/>
      <c r="Z254" s="63"/>
      <c r="AA254" s="48"/>
      <c r="AB254" s="48"/>
      <c r="AC254" s="48"/>
      <c r="AD254" s="48"/>
      <c r="AE254" s="48"/>
    </row>
    <row r="255">
      <c r="A255" s="57"/>
      <c r="B255" s="58"/>
      <c r="C255" s="58"/>
      <c r="D255" s="58"/>
      <c r="E255" s="17"/>
      <c r="F255" s="17"/>
      <c r="G255" s="15"/>
      <c r="H255" s="59"/>
      <c r="I255" s="60"/>
      <c r="J255" s="60"/>
      <c r="K255" s="61"/>
      <c r="L255" s="62"/>
      <c r="M255" s="63"/>
      <c r="N255" s="63"/>
      <c r="O255" s="60"/>
      <c r="P255" s="60"/>
      <c r="Q255" s="63"/>
      <c r="R255" s="63"/>
      <c r="S255" s="60"/>
      <c r="T255" s="61"/>
      <c r="U255" s="63"/>
      <c r="V255" s="64"/>
      <c r="W255" s="65"/>
      <c r="X255" s="65"/>
      <c r="Y255" s="65"/>
      <c r="Z255" s="63"/>
      <c r="AA255" s="48"/>
      <c r="AB255" s="48"/>
      <c r="AC255" s="48"/>
      <c r="AD255" s="48"/>
      <c r="AE255" s="48"/>
    </row>
    <row r="256">
      <c r="A256" s="57"/>
      <c r="B256" s="58"/>
      <c r="C256" s="58"/>
      <c r="D256" s="58"/>
      <c r="E256" s="17"/>
      <c r="F256" s="17"/>
      <c r="G256" s="15"/>
      <c r="H256" s="59"/>
      <c r="I256" s="60"/>
      <c r="J256" s="60"/>
      <c r="K256" s="61"/>
      <c r="L256" s="62"/>
      <c r="M256" s="63"/>
      <c r="N256" s="63"/>
      <c r="O256" s="60"/>
      <c r="P256" s="60"/>
      <c r="Q256" s="63"/>
      <c r="R256" s="63"/>
      <c r="S256" s="60"/>
      <c r="T256" s="61"/>
      <c r="U256" s="63"/>
      <c r="V256" s="64"/>
      <c r="W256" s="65"/>
      <c r="X256" s="65"/>
      <c r="Y256" s="65"/>
      <c r="Z256" s="63"/>
      <c r="AA256" s="48"/>
      <c r="AB256" s="48"/>
      <c r="AC256" s="48"/>
      <c r="AD256" s="48"/>
      <c r="AE256" s="48"/>
    </row>
    <row r="257">
      <c r="A257" s="57"/>
      <c r="B257" s="58"/>
      <c r="C257" s="58"/>
      <c r="D257" s="58"/>
      <c r="E257" s="17"/>
      <c r="F257" s="17"/>
      <c r="G257" s="15"/>
      <c r="H257" s="59"/>
      <c r="I257" s="60"/>
      <c r="J257" s="60"/>
      <c r="K257" s="61"/>
      <c r="L257" s="62"/>
      <c r="M257" s="63"/>
      <c r="N257" s="63"/>
      <c r="O257" s="60"/>
      <c r="P257" s="60"/>
      <c r="Q257" s="63"/>
      <c r="R257" s="63"/>
      <c r="S257" s="60"/>
      <c r="T257" s="61"/>
      <c r="U257" s="63"/>
      <c r="V257" s="64"/>
      <c r="W257" s="65"/>
      <c r="X257" s="65"/>
      <c r="Y257" s="65"/>
      <c r="Z257" s="63"/>
      <c r="AA257" s="48"/>
      <c r="AB257" s="48"/>
      <c r="AC257" s="48"/>
      <c r="AD257" s="48"/>
      <c r="AE257" s="48"/>
    </row>
    <row r="258">
      <c r="A258" s="57"/>
      <c r="B258" s="58"/>
      <c r="C258" s="58"/>
      <c r="D258" s="58"/>
      <c r="E258" s="17"/>
      <c r="F258" s="17"/>
      <c r="G258" s="15"/>
      <c r="H258" s="59"/>
      <c r="I258" s="60"/>
      <c r="J258" s="60"/>
      <c r="K258" s="61"/>
      <c r="L258" s="62"/>
      <c r="M258" s="63"/>
      <c r="N258" s="63"/>
      <c r="O258" s="60"/>
      <c r="P258" s="60"/>
      <c r="Q258" s="63"/>
      <c r="R258" s="63"/>
      <c r="S258" s="60"/>
      <c r="T258" s="61"/>
      <c r="U258" s="63"/>
      <c r="V258" s="64"/>
      <c r="W258" s="65"/>
      <c r="X258" s="65"/>
      <c r="Y258" s="65"/>
      <c r="Z258" s="63"/>
      <c r="AA258" s="48"/>
      <c r="AB258" s="48"/>
      <c r="AC258" s="48"/>
      <c r="AD258" s="48"/>
      <c r="AE258" s="48"/>
    </row>
    <row r="259">
      <c r="A259" s="57"/>
      <c r="B259" s="58"/>
      <c r="C259" s="58"/>
      <c r="D259" s="58"/>
      <c r="E259" s="17"/>
      <c r="F259" s="17"/>
      <c r="G259" s="15"/>
      <c r="H259" s="59"/>
      <c r="I259" s="60"/>
      <c r="J259" s="60"/>
      <c r="K259" s="61"/>
      <c r="L259" s="62"/>
      <c r="M259" s="63"/>
      <c r="N259" s="63"/>
      <c r="O259" s="60"/>
      <c r="P259" s="60"/>
      <c r="Q259" s="63"/>
      <c r="R259" s="63"/>
      <c r="S259" s="60"/>
      <c r="T259" s="61"/>
      <c r="U259" s="63"/>
      <c r="V259" s="64"/>
      <c r="W259" s="65"/>
      <c r="X259" s="65"/>
      <c r="Y259" s="65"/>
      <c r="Z259" s="63"/>
      <c r="AA259" s="48"/>
      <c r="AB259" s="48"/>
      <c r="AC259" s="48"/>
      <c r="AD259" s="48"/>
      <c r="AE259" s="48"/>
    </row>
    <row r="260">
      <c r="A260" s="57"/>
      <c r="B260" s="58"/>
      <c r="C260" s="58"/>
      <c r="D260" s="58"/>
      <c r="E260" s="17"/>
      <c r="F260" s="17"/>
      <c r="G260" s="15"/>
      <c r="H260" s="59"/>
      <c r="I260" s="60"/>
      <c r="J260" s="60"/>
      <c r="K260" s="61"/>
      <c r="L260" s="62"/>
      <c r="M260" s="63"/>
      <c r="N260" s="63"/>
      <c r="O260" s="60"/>
      <c r="P260" s="60"/>
      <c r="Q260" s="63"/>
      <c r="R260" s="63"/>
      <c r="S260" s="60"/>
      <c r="T260" s="61"/>
      <c r="U260" s="63"/>
      <c r="V260" s="64"/>
      <c r="W260" s="65"/>
      <c r="X260" s="65"/>
      <c r="Y260" s="65"/>
      <c r="Z260" s="63"/>
      <c r="AA260" s="48"/>
      <c r="AB260" s="48"/>
      <c r="AC260" s="48"/>
      <c r="AD260" s="48"/>
      <c r="AE260" s="48"/>
    </row>
    <row r="261">
      <c r="A261" s="57"/>
      <c r="B261" s="58"/>
      <c r="C261" s="58"/>
      <c r="D261" s="58"/>
      <c r="E261" s="17"/>
      <c r="F261" s="17"/>
      <c r="G261" s="15"/>
      <c r="H261" s="59"/>
      <c r="I261" s="60"/>
      <c r="J261" s="60"/>
      <c r="K261" s="61"/>
      <c r="L261" s="62"/>
      <c r="M261" s="63"/>
      <c r="N261" s="63"/>
      <c r="O261" s="60"/>
      <c r="P261" s="60"/>
      <c r="Q261" s="63"/>
      <c r="R261" s="63"/>
      <c r="S261" s="60"/>
      <c r="T261" s="61"/>
      <c r="U261" s="63"/>
      <c r="V261" s="64"/>
      <c r="W261" s="65"/>
      <c r="X261" s="65"/>
      <c r="Y261" s="65"/>
      <c r="Z261" s="63"/>
      <c r="AA261" s="48"/>
      <c r="AB261" s="48"/>
      <c r="AC261" s="48"/>
      <c r="AD261" s="48"/>
      <c r="AE261" s="48"/>
    </row>
    <row r="262">
      <c r="A262" s="57"/>
      <c r="B262" s="58"/>
      <c r="C262" s="58"/>
      <c r="D262" s="58"/>
      <c r="E262" s="17"/>
      <c r="F262" s="17"/>
      <c r="G262" s="15"/>
      <c r="H262" s="59"/>
      <c r="I262" s="60"/>
      <c r="J262" s="60"/>
      <c r="K262" s="61"/>
      <c r="L262" s="66"/>
      <c r="M262" s="67"/>
      <c r="N262" s="67"/>
      <c r="O262" s="60"/>
      <c r="P262" s="60"/>
      <c r="Q262" s="67"/>
      <c r="R262" s="67"/>
      <c r="S262" s="60"/>
      <c r="T262" s="61"/>
      <c r="U262" s="67"/>
      <c r="V262" s="68"/>
      <c r="W262" s="69"/>
      <c r="X262" s="69"/>
      <c r="Y262" s="69"/>
      <c r="Z262" s="67"/>
      <c r="AA262" s="48"/>
      <c r="AB262" s="48"/>
      <c r="AC262" s="48"/>
      <c r="AD262" s="48"/>
      <c r="AE262" s="48"/>
    </row>
    <row r="263">
      <c r="A263" s="57"/>
      <c r="B263" s="58"/>
      <c r="C263" s="58"/>
      <c r="D263" s="58"/>
      <c r="E263" s="17"/>
      <c r="F263" s="17"/>
      <c r="G263" s="15"/>
      <c r="H263" s="59"/>
      <c r="I263" s="60"/>
      <c r="J263" s="60"/>
      <c r="K263" s="61"/>
      <c r="L263" s="62"/>
      <c r="M263" s="63"/>
      <c r="N263" s="63"/>
      <c r="O263" s="60"/>
      <c r="P263" s="60"/>
      <c r="Q263" s="63"/>
      <c r="R263" s="63"/>
      <c r="S263" s="60"/>
      <c r="T263" s="61"/>
      <c r="U263" s="63"/>
      <c r="V263" s="64"/>
      <c r="W263" s="65"/>
      <c r="X263" s="65"/>
      <c r="Y263" s="65"/>
      <c r="Z263" s="63"/>
      <c r="AA263" s="48"/>
      <c r="AB263" s="48"/>
      <c r="AC263" s="48"/>
      <c r="AD263" s="48"/>
      <c r="AE263" s="48"/>
    </row>
    <row r="264">
      <c r="A264" s="57"/>
      <c r="B264" s="58"/>
      <c r="C264" s="58"/>
      <c r="D264" s="58"/>
      <c r="E264" s="17"/>
      <c r="F264" s="17"/>
      <c r="G264" s="15"/>
      <c r="H264" s="59"/>
      <c r="I264" s="60"/>
      <c r="J264" s="60"/>
      <c r="K264" s="61"/>
      <c r="L264" s="62"/>
      <c r="M264" s="63"/>
      <c r="N264" s="63"/>
      <c r="O264" s="60"/>
      <c r="P264" s="60"/>
      <c r="Q264" s="63"/>
      <c r="R264" s="63"/>
      <c r="S264" s="60"/>
      <c r="T264" s="61"/>
      <c r="U264" s="63"/>
      <c r="V264" s="64"/>
      <c r="W264" s="65"/>
      <c r="X264" s="65"/>
      <c r="Y264" s="65"/>
      <c r="Z264" s="63"/>
      <c r="AA264" s="48"/>
      <c r="AB264" s="48"/>
      <c r="AC264" s="48"/>
      <c r="AD264" s="48"/>
      <c r="AE264" s="48"/>
    </row>
    <row r="265">
      <c r="A265" s="57"/>
      <c r="B265" s="58"/>
      <c r="C265" s="58"/>
      <c r="D265" s="58"/>
      <c r="E265" s="17"/>
      <c r="F265" s="17"/>
      <c r="G265" s="15"/>
      <c r="H265" s="59"/>
      <c r="I265" s="60"/>
      <c r="J265" s="60"/>
      <c r="K265" s="61"/>
      <c r="L265" s="62"/>
      <c r="M265" s="63"/>
      <c r="N265" s="63"/>
      <c r="O265" s="60"/>
      <c r="P265" s="60"/>
      <c r="Q265" s="63"/>
      <c r="R265" s="63"/>
      <c r="S265" s="60"/>
      <c r="T265" s="61"/>
      <c r="U265" s="63"/>
      <c r="V265" s="64"/>
      <c r="W265" s="65"/>
      <c r="X265" s="65"/>
      <c r="Y265" s="65"/>
      <c r="Z265" s="63"/>
      <c r="AA265" s="48"/>
      <c r="AB265" s="48"/>
      <c r="AC265" s="48"/>
      <c r="AD265" s="48"/>
      <c r="AE265" s="48"/>
    </row>
    <row r="266">
      <c r="A266" s="57"/>
      <c r="B266" s="58"/>
      <c r="C266" s="58"/>
      <c r="D266" s="58"/>
      <c r="E266" s="17"/>
      <c r="F266" s="17"/>
      <c r="G266" s="15"/>
      <c r="H266" s="59"/>
      <c r="I266" s="60"/>
      <c r="J266" s="60"/>
      <c r="K266" s="61"/>
      <c r="L266" s="62"/>
      <c r="M266" s="63"/>
      <c r="N266" s="63"/>
      <c r="O266" s="60"/>
      <c r="P266" s="60"/>
      <c r="Q266" s="63"/>
      <c r="R266" s="63"/>
      <c r="S266" s="60"/>
      <c r="T266" s="61"/>
      <c r="U266" s="63"/>
      <c r="V266" s="64"/>
      <c r="W266" s="65"/>
      <c r="X266" s="65"/>
      <c r="Y266" s="65"/>
      <c r="Z266" s="63"/>
      <c r="AA266" s="17"/>
      <c r="AB266" s="17"/>
      <c r="AC266" s="17"/>
      <c r="AD266" s="17"/>
      <c r="AE266" s="17"/>
    </row>
    <row r="267">
      <c r="A267" s="57"/>
      <c r="B267" s="58"/>
      <c r="C267" s="58"/>
      <c r="D267" s="58"/>
      <c r="E267" s="17"/>
      <c r="F267" s="17"/>
      <c r="G267" s="15"/>
      <c r="H267" s="59"/>
      <c r="I267" s="60"/>
      <c r="J267" s="60"/>
      <c r="K267" s="61"/>
      <c r="L267" s="62"/>
      <c r="M267" s="63"/>
      <c r="N267" s="63"/>
      <c r="O267" s="60"/>
      <c r="P267" s="60"/>
      <c r="Q267" s="63"/>
      <c r="R267" s="63"/>
      <c r="S267" s="60"/>
      <c r="T267" s="61"/>
      <c r="U267" s="63"/>
      <c r="V267" s="64"/>
      <c r="W267" s="65"/>
      <c r="X267" s="65"/>
      <c r="Y267" s="65"/>
      <c r="Z267" s="63"/>
      <c r="AA267" s="17"/>
      <c r="AB267" s="17"/>
      <c r="AC267" s="17"/>
      <c r="AD267" s="17"/>
      <c r="AE267" s="17"/>
    </row>
    <row r="268">
      <c r="A268" s="57"/>
      <c r="B268" s="58"/>
      <c r="C268" s="58"/>
      <c r="D268" s="58"/>
      <c r="E268" s="17"/>
      <c r="F268" s="17"/>
      <c r="G268" s="15"/>
      <c r="H268" s="59"/>
      <c r="I268" s="60"/>
      <c r="J268" s="60"/>
      <c r="K268" s="61"/>
      <c r="L268" s="62"/>
      <c r="M268" s="63"/>
      <c r="N268" s="63"/>
      <c r="O268" s="60"/>
      <c r="P268" s="60"/>
      <c r="Q268" s="63"/>
      <c r="R268" s="63"/>
      <c r="S268" s="60"/>
      <c r="T268" s="61"/>
      <c r="U268" s="63"/>
      <c r="V268" s="64"/>
      <c r="W268" s="65"/>
      <c r="X268" s="65"/>
      <c r="Y268" s="65"/>
      <c r="Z268" s="63"/>
      <c r="AA268" s="48"/>
      <c r="AB268" s="48"/>
      <c r="AC268" s="48"/>
      <c r="AD268" s="48"/>
      <c r="AE268" s="48"/>
    </row>
    <row r="269">
      <c r="A269" s="57"/>
      <c r="B269" s="58"/>
      <c r="C269" s="58"/>
      <c r="D269" s="58"/>
      <c r="E269" s="17"/>
      <c r="F269" s="17"/>
      <c r="G269" s="15"/>
      <c r="H269" s="59"/>
      <c r="I269" s="60"/>
      <c r="J269" s="60"/>
      <c r="K269" s="61"/>
      <c r="L269" s="62"/>
      <c r="M269" s="63"/>
      <c r="N269" s="63"/>
      <c r="O269" s="60"/>
      <c r="P269" s="60"/>
      <c r="Q269" s="63"/>
      <c r="R269" s="63"/>
      <c r="S269" s="60"/>
      <c r="T269" s="61"/>
      <c r="U269" s="63"/>
      <c r="V269" s="64"/>
      <c r="W269" s="65"/>
      <c r="X269" s="65"/>
      <c r="Y269" s="65"/>
      <c r="Z269" s="63"/>
      <c r="AA269" s="48"/>
      <c r="AB269" s="48"/>
      <c r="AC269" s="48"/>
      <c r="AD269" s="48"/>
      <c r="AE269" s="48"/>
    </row>
    <row r="270">
      <c r="A270" s="57"/>
      <c r="B270" s="58"/>
      <c r="C270" s="58"/>
      <c r="D270" s="58"/>
      <c r="E270" s="17"/>
      <c r="F270" s="17"/>
      <c r="G270" s="15"/>
      <c r="H270" s="59"/>
      <c r="I270" s="60"/>
      <c r="J270" s="60"/>
      <c r="K270" s="61"/>
      <c r="L270" s="62"/>
      <c r="M270" s="63"/>
      <c r="N270" s="63"/>
      <c r="O270" s="60"/>
      <c r="P270" s="60"/>
      <c r="Q270" s="63"/>
      <c r="R270" s="63"/>
      <c r="S270" s="60"/>
      <c r="T270" s="61"/>
      <c r="U270" s="63"/>
      <c r="V270" s="64"/>
      <c r="W270" s="65"/>
      <c r="X270" s="65"/>
      <c r="Y270" s="65"/>
      <c r="Z270" s="63"/>
      <c r="AA270" s="48"/>
      <c r="AB270" s="48"/>
      <c r="AC270" s="48"/>
      <c r="AD270" s="48"/>
      <c r="AE270" s="48"/>
    </row>
    <row r="271">
      <c r="A271" s="57"/>
      <c r="B271" s="58"/>
      <c r="C271" s="58"/>
      <c r="D271" s="58"/>
      <c r="E271" s="17"/>
      <c r="F271" s="17"/>
      <c r="G271" s="15"/>
      <c r="H271" s="59"/>
      <c r="I271" s="60"/>
      <c r="J271" s="60"/>
      <c r="K271" s="61"/>
      <c r="L271" s="62"/>
      <c r="M271" s="63"/>
      <c r="N271" s="63"/>
      <c r="O271" s="60"/>
      <c r="P271" s="60"/>
      <c r="Q271" s="63"/>
      <c r="R271" s="63"/>
      <c r="S271" s="60"/>
      <c r="T271" s="61"/>
      <c r="U271" s="63"/>
      <c r="V271" s="64"/>
      <c r="W271" s="65"/>
      <c r="X271" s="65"/>
      <c r="Y271" s="65"/>
      <c r="Z271" s="63"/>
      <c r="AA271" s="48"/>
      <c r="AB271" s="48"/>
      <c r="AC271" s="48"/>
      <c r="AD271" s="48"/>
      <c r="AE271" s="48"/>
    </row>
    <row r="272">
      <c r="A272" s="57"/>
      <c r="B272" s="58"/>
      <c r="C272" s="58"/>
      <c r="D272" s="58"/>
      <c r="E272" s="17"/>
      <c r="F272" s="17"/>
      <c r="G272" s="15"/>
      <c r="H272" s="59"/>
      <c r="I272" s="60"/>
      <c r="J272" s="60"/>
      <c r="K272" s="61"/>
      <c r="L272" s="62"/>
      <c r="M272" s="63"/>
      <c r="N272" s="63"/>
      <c r="O272" s="60"/>
      <c r="P272" s="60"/>
      <c r="Q272" s="63"/>
      <c r="R272" s="63"/>
      <c r="S272" s="60"/>
      <c r="T272" s="61"/>
      <c r="U272" s="63"/>
      <c r="V272" s="64"/>
      <c r="W272" s="65"/>
      <c r="X272" s="65"/>
      <c r="Y272" s="65"/>
      <c r="Z272" s="63"/>
      <c r="AA272" s="17"/>
      <c r="AB272" s="17"/>
      <c r="AC272" s="17"/>
      <c r="AD272" s="17"/>
      <c r="AE272" s="17"/>
    </row>
    <row r="273">
      <c r="A273" s="57"/>
      <c r="B273" s="58"/>
      <c r="C273" s="58"/>
      <c r="D273" s="58"/>
      <c r="E273" s="17"/>
      <c r="F273" s="17"/>
      <c r="G273" s="15"/>
      <c r="H273" s="59"/>
      <c r="I273" s="60"/>
      <c r="J273" s="60"/>
      <c r="K273" s="61"/>
      <c r="L273" s="62"/>
      <c r="M273" s="63"/>
      <c r="N273" s="63"/>
      <c r="O273" s="60"/>
      <c r="P273" s="60"/>
      <c r="Q273" s="63"/>
      <c r="R273" s="63"/>
      <c r="S273" s="60"/>
      <c r="T273" s="61"/>
      <c r="U273" s="63"/>
      <c r="V273" s="64"/>
      <c r="W273" s="65"/>
      <c r="X273" s="65"/>
      <c r="Y273" s="65"/>
      <c r="Z273" s="63"/>
      <c r="AA273" s="48"/>
      <c r="AB273" s="48"/>
      <c r="AC273" s="48"/>
      <c r="AD273" s="48"/>
      <c r="AE273" s="48"/>
    </row>
    <row r="274">
      <c r="A274" s="57"/>
      <c r="B274" s="58"/>
      <c r="C274" s="58"/>
      <c r="D274" s="58"/>
      <c r="E274" s="17"/>
      <c r="F274" s="17"/>
      <c r="G274" s="15"/>
      <c r="H274" s="59"/>
      <c r="I274" s="60"/>
      <c r="J274" s="60"/>
      <c r="K274" s="61"/>
      <c r="L274" s="66"/>
      <c r="M274" s="67"/>
      <c r="N274" s="67"/>
      <c r="O274" s="60"/>
      <c r="P274" s="60"/>
      <c r="Q274" s="67"/>
      <c r="R274" s="67"/>
      <c r="S274" s="60"/>
      <c r="T274" s="61"/>
      <c r="U274" s="67"/>
      <c r="V274" s="68"/>
      <c r="W274" s="69"/>
      <c r="X274" s="69"/>
      <c r="Y274" s="69"/>
      <c r="Z274" s="67"/>
      <c r="AA274" s="48"/>
      <c r="AB274" s="48"/>
      <c r="AC274" s="48"/>
      <c r="AD274" s="48"/>
      <c r="AE274" s="48"/>
    </row>
    <row r="275">
      <c r="A275" s="57"/>
      <c r="B275" s="58"/>
      <c r="C275" s="58"/>
      <c r="D275" s="58"/>
      <c r="E275" s="17"/>
      <c r="F275" s="17"/>
      <c r="G275" s="15"/>
      <c r="H275" s="59"/>
      <c r="I275" s="60"/>
      <c r="J275" s="60"/>
      <c r="K275" s="61"/>
      <c r="L275" s="62"/>
      <c r="M275" s="63"/>
      <c r="N275" s="63"/>
      <c r="O275" s="60"/>
      <c r="P275" s="60"/>
      <c r="Q275" s="63"/>
      <c r="R275" s="63"/>
      <c r="S275" s="60"/>
      <c r="T275" s="61"/>
      <c r="U275" s="63"/>
      <c r="V275" s="64"/>
      <c r="W275" s="65"/>
      <c r="X275" s="65"/>
      <c r="Y275" s="65"/>
      <c r="Z275" s="63"/>
      <c r="AA275" s="48"/>
      <c r="AB275" s="48"/>
      <c r="AC275" s="48"/>
      <c r="AD275" s="48"/>
      <c r="AE275" s="48"/>
    </row>
    <row r="276">
      <c r="A276" s="57"/>
      <c r="B276" s="58"/>
      <c r="C276" s="58"/>
      <c r="D276" s="58"/>
      <c r="E276" s="17"/>
      <c r="F276" s="17"/>
      <c r="G276" s="15"/>
      <c r="H276" s="59"/>
      <c r="I276" s="60"/>
      <c r="J276" s="60"/>
      <c r="K276" s="61"/>
      <c r="L276" s="62"/>
      <c r="M276" s="63"/>
      <c r="N276" s="63"/>
      <c r="O276" s="60"/>
      <c r="P276" s="60"/>
      <c r="Q276" s="63"/>
      <c r="R276" s="63"/>
      <c r="S276" s="60"/>
      <c r="T276" s="61"/>
      <c r="U276" s="63"/>
      <c r="V276" s="64"/>
      <c r="W276" s="65"/>
      <c r="X276" s="65"/>
      <c r="Y276" s="65"/>
      <c r="Z276" s="63"/>
      <c r="AA276" s="48"/>
      <c r="AB276" s="48"/>
      <c r="AC276" s="48"/>
      <c r="AD276" s="48"/>
      <c r="AE276" s="48"/>
    </row>
    <row r="277">
      <c r="A277" s="57"/>
      <c r="B277" s="58"/>
      <c r="C277" s="58"/>
      <c r="D277" s="58"/>
      <c r="E277" s="17"/>
      <c r="F277" s="17"/>
      <c r="G277" s="15"/>
      <c r="H277" s="59"/>
      <c r="I277" s="60"/>
      <c r="J277" s="60"/>
      <c r="K277" s="61"/>
      <c r="L277" s="62"/>
      <c r="M277" s="63"/>
      <c r="N277" s="63"/>
      <c r="O277" s="60"/>
      <c r="P277" s="60"/>
      <c r="Q277" s="63"/>
      <c r="R277" s="63"/>
      <c r="S277" s="60"/>
      <c r="T277" s="61"/>
      <c r="U277" s="63"/>
      <c r="V277" s="64"/>
      <c r="W277" s="65"/>
      <c r="X277" s="65"/>
      <c r="Y277" s="65"/>
      <c r="Z277" s="63"/>
      <c r="AA277" s="48"/>
      <c r="AB277" s="48"/>
      <c r="AC277" s="48"/>
      <c r="AD277" s="48"/>
      <c r="AE277" s="48"/>
    </row>
    <row r="278">
      <c r="A278" s="57"/>
      <c r="B278" s="58"/>
      <c r="C278" s="58"/>
      <c r="D278" s="58"/>
      <c r="E278" s="17"/>
      <c r="F278" s="17"/>
      <c r="G278" s="15"/>
      <c r="H278" s="59"/>
      <c r="I278" s="60"/>
      <c r="J278" s="60"/>
      <c r="K278" s="61"/>
      <c r="L278" s="66"/>
      <c r="M278" s="67"/>
      <c r="N278" s="67"/>
      <c r="O278" s="60"/>
      <c r="P278" s="60"/>
      <c r="Q278" s="67"/>
      <c r="R278" s="67"/>
      <c r="S278" s="60"/>
      <c r="T278" s="61"/>
      <c r="U278" s="67"/>
      <c r="V278" s="68"/>
      <c r="W278" s="69"/>
      <c r="X278" s="69"/>
      <c r="Y278" s="69"/>
      <c r="Z278" s="67"/>
      <c r="AA278" s="48"/>
      <c r="AB278" s="48"/>
      <c r="AC278" s="48"/>
      <c r="AD278" s="48"/>
      <c r="AE278" s="48"/>
    </row>
    <row r="279">
      <c r="A279" s="57"/>
      <c r="B279" s="58"/>
      <c r="C279" s="58"/>
      <c r="D279" s="58"/>
      <c r="E279" s="17"/>
      <c r="F279" s="17"/>
      <c r="G279" s="15"/>
      <c r="H279" s="59"/>
      <c r="I279" s="60"/>
      <c r="J279" s="60"/>
      <c r="K279" s="61"/>
      <c r="L279" s="62"/>
      <c r="M279" s="63"/>
      <c r="N279" s="63"/>
      <c r="O279" s="60"/>
      <c r="P279" s="60"/>
      <c r="Q279" s="63"/>
      <c r="R279" s="63"/>
      <c r="S279" s="60"/>
      <c r="T279" s="61"/>
      <c r="U279" s="63"/>
      <c r="V279" s="64"/>
      <c r="W279" s="65"/>
      <c r="X279" s="65"/>
      <c r="Y279" s="65"/>
      <c r="Z279" s="63"/>
      <c r="AA279" s="48"/>
      <c r="AB279" s="48"/>
      <c r="AC279" s="48"/>
      <c r="AD279" s="48"/>
      <c r="AE279" s="48"/>
    </row>
    <row r="280">
      <c r="A280" s="57"/>
      <c r="B280" s="58"/>
      <c r="C280" s="58"/>
      <c r="D280" s="58"/>
      <c r="E280" s="17"/>
      <c r="F280" s="17"/>
      <c r="G280" s="15"/>
      <c r="H280" s="59"/>
      <c r="I280" s="60"/>
      <c r="J280" s="60"/>
      <c r="K280" s="61"/>
      <c r="L280" s="62"/>
      <c r="M280" s="63"/>
      <c r="N280" s="63"/>
      <c r="O280" s="60"/>
      <c r="P280" s="60"/>
      <c r="Q280" s="63"/>
      <c r="R280" s="63"/>
      <c r="S280" s="60"/>
      <c r="T280" s="61"/>
      <c r="U280" s="63"/>
      <c r="V280" s="64"/>
      <c r="W280" s="65"/>
      <c r="X280" s="65"/>
      <c r="Y280" s="65"/>
      <c r="Z280" s="63"/>
      <c r="AA280" s="48"/>
      <c r="AB280" s="48"/>
      <c r="AC280" s="48"/>
      <c r="AD280" s="48"/>
      <c r="AE280" s="48"/>
    </row>
    <row r="281">
      <c r="A281" s="57"/>
      <c r="B281" s="58"/>
      <c r="C281" s="58"/>
      <c r="D281" s="58"/>
      <c r="E281" s="17"/>
      <c r="F281" s="17"/>
      <c r="G281" s="15"/>
      <c r="H281" s="59"/>
      <c r="I281" s="60"/>
      <c r="J281" s="60"/>
      <c r="K281" s="61"/>
      <c r="L281" s="62"/>
      <c r="M281" s="63"/>
      <c r="N281" s="63"/>
      <c r="O281" s="60"/>
      <c r="P281" s="60"/>
      <c r="Q281" s="63"/>
      <c r="R281" s="63"/>
      <c r="S281" s="60"/>
      <c r="T281" s="61"/>
      <c r="U281" s="63"/>
      <c r="V281" s="64"/>
      <c r="W281" s="65"/>
      <c r="X281" s="65"/>
      <c r="Y281" s="65"/>
      <c r="Z281" s="63"/>
      <c r="AA281" s="17"/>
      <c r="AB281" s="17"/>
      <c r="AC281" s="17"/>
      <c r="AD281" s="17"/>
      <c r="AE281" s="17"/>
    </row>
    <row r="282">
      <c r="A282" s="57"/>
      <c r="B282" s="58"/>
      <c r="C282" s="58"/>
      <c r="D282" s="58"/>
      <c r="E282" s="17"/>
      <c r="F282" s="17"/>
      <c r="G282" s="15"/>
      <c r="H282" s="59"/>
      <c r="I282" s="60"/>
      <c r="J282" s="60"/>
      <c r="K282" s="61"/>
      <c r="L282" s="62"/>
      <c r="M282" s="63"/>
      <c r="N282" s="63"/>
      <c r="O282" s="60"/>
      <c r="P282" s="60"/>
      <c r="Q282" s="63"/>
      <c r="R282" s="63"/>
      <c r="S282" s="60"/>
      <c r="T282" s="61"/>
      <c r="U282" s="63"/>
      <c r="V282" s="64"/>
      <c r="W282" s="65"/>
      <c r="X282" s="65"/>
      <c r="Y282" s="65"/>
      <c r="Z282" s="63"/>
      <c r="AA282" s="48"/>
      <c r="AB282" s="48"/>
      <c r="AC282" s="48"/>
      <c r="AD282" s="48"/>
      <c r="AE282" s="48"/>
    </row>
    <row r="283">
      <c r="A283" s="57"/>
      <c r="B283" s="58"/>
      <c r="C283" s="58"/>
      <c r="D283" s="58"/>
      <c r="E283" s="17"/>
      <c r="F283" s="17"/>
      <c r="G283" s="15"/>
      <c r="H283" s="59"/>
      <c r="I283" s="60"/>
      <c r="J283" s="60"/>
      <c r="K283" s="61"/>
      <c r="L283" s="66"/>
      <c r="M283" s="67"/>
      <c r="N283" s="67"/>
      <c r="O283" s="60"/>
      <c r="P283" s="60"/>
      <c r="Q283" s="67"/>
      <c r="R283" s="67"/>
      <c r="S283" s="60"/>
      <c r="T283" s="61"/>
      <c r="U283" s="67"/>
      <c r="V283" s="68"/>
      <c r="W283" s="69"/>
      <c r="X283" s="69"/>
      <c r="Y283" s="69"/>
      <c r="Z283" s="67"/>
      <c r="AA283" s="48"/>
      <c r="AB283" s="48"/>
      <c r="AC283" s="48"/>
      <c r="AD283" s="48"/>
      <c r="AE283" s="48"/>
    </row>
    <row r="284">
      <c r="A284" s="57"/>
      <c r="B284" s="58"/>
      <c r="C284" s="58"/>
      <c r="D284" s="58"/>
      <c r="E284" s="17"/>
      <c r="F284" s="17"/>
      <c r="G284" s="15"/>
      <c r="H284" s="59"/>
      <c r="I284" s="60"/>
      <c r="J284" s="60"/>
      <c r="K284" s="61"/>
      <c r="L284" s="66"/>
      <c r="M284" s="67"/>
      <c r="N284" s="67"/>
      <c r="O284" s="60"/>
      <c r="P284" s="60"/>
      <c r="Q284" s="67"/>
      <c r="R284" s="67"/>
      <c r="S284" s="60"/>
      <c r="T284" s="61"/>
      <c r="U284" s="67"/>
      <c r="V284" s="68"/>
      <c r="W284" s="69"/>
      <c r="X284" s="69"/>
      <c r="Y284" s="69"/>
      <c r="Z284" s="67"/>
      <c r="AA284" s="48"/>
      <c r="AB284" s="48"/>
      <c r="AC284" s="48"/>
      <c r="AD284" s="48"/>
      <c r="AE284" s="48"/>
    </row>
    <row r="285">
      <c r="A285" s="57"/>
      <c r="B285" s="58"/>
      <c r="C285" s="58"/>
      <c r="D285" s="58"/>
      <c r="E285" s="17"/>
      <c r="F285" s="17"/>
      <c r="G285" s="15"/>
      <c r="H285" s="59"/>
      <c r="I285" s="60"/>
      <c r="J285" s="60"/>
      <c r="K285" s="61"/>
      <c r="L285" s="66"/>
      <c r="M285" s="67"/>
      <c r="N285" s="67"/>
      <c r="O285" s="60"/>
      <c r="P285" s="60"/>
      <c r="Q285" s="67"/>
      <c r="R285" s="67"/>
      <c r="S285" s="60"/>
      <c r="T285" s="61"/>
      <c r="U285" s="67"/>
      <c r="V285" s="68"/>
      <c r="W285" s="69"/>
      <c r="X285" s="69"/>
      <c r="Y285" s="69"/>
      <c r="Z285" s="67"/>
      <c r="AA285" s="48"/>
      <c r="AB285" s="48"/>
      <c r="AC285" s="48"/>
      <c r="AD285" s="48"/>
      <c r="AE285" s="48"/>
    </row>
    <row r="286">
      <c r="A286" s="57"/>
      <c r="B286" s="58"/>
      <c r="C286" s="58"/>
      <c r="D286" s="58"/>
      <c r="E286" s="17"/>
      <c r="F286" s="17"/>
      <c r="G286" s="15"/>
      <c r="H286" s="59"/>
      <c r="I286" s="60"/>
      <c r="J286" s="60"/>
      <c r="K286" s="61"/>
      <c r="L286" s="66"/>
      <c r="M286" s="67"/>
      <c r="N286" s="67"/>
      <c r="O286" s="60"/>
      <c r="P286" s="60"/>
      <c r="Q286" s="67"/>
      <c r="R286" s="67"/>
      <c r="S286" s="60"/>
      <c r="T286" s="61"/>
      <c r="U286" s="67"/>
      <c r="V286" s="68"/>
      <c r="W286" s="69"/>
      <c r="X286" s="69"/>
      <c r="Y286" s="69"/>
      <c r="Z286" s="67"/>
      <c r="AA286" s="48"/>
      <c r="AB286" s="48"/>
      <c r="AC286" s="48"/>
      <c r="AD286" s="48"/>
      <c r="AE286" s="48"/>
    </row>
    <row r="287">
      <c r="A287" s="57"/>
      <c r="B287" s="58"/>
      <c r="C287" s="58"/>
      <c r="D287" s="58"/>
      <c r="E287" s="17"/>
      <c r="F287" s="17"/>
      <c r="G287" s="15"/>
      <c r="H287" s="59"/>
      <c r="I287" s="60"/>
      <c r="J287" s="60"/>
      <c r="K287" s="61"/>
      <c r="L287" s="62"/>
      <c r="M287" s="63"/>
      <c r="N287" s="63"/>
      <c r="O287" s="60"/>
      <c r="P287" s="60"/>
      <c r="Q287" s="63"/>
      <c r="R287" s="63"/>
      <c r="S287" s="60"/>
      <c r="T287" s="61"/>
      <c r="U287" s="63"/>
      <c r="V287" s="64"/>
      <c r="W287" s="65"/>
      <c r="X287" s="65"/>
      <c r="Y287" s="65"/>
      <c r="Z287" s="63"/>
      <c r="AA287" s="17"/>
      <c r="AB287" s="17"/>
      <c r="AC287" s="17"/>
      <c r="AD287" s="17"/>
      <c r="AE287" s="17"/>
    </row>
    <row r="288">
      <c r="A288" s="57"/>
      <c r="B288" s="58"/>
      <c r="C288" s="58"/>
      <c r="D288" s="58"/>
      <c r="E288" s="17"/>
      <c r="F288" s="17"/>
      <c r="G288" s="15"/>
      <c r="H288" s="59"/>
      <c r="I288" s="60"/>
      <c r="J288" s="60"/>
      <c r="K288" s="61"/>
      <c r="L288" s="66"/>
      <c r="M288" s="67"/>
      <c r="N288" s="67"/>
      <c r="O288" s="60"/>
      <c r="P288" s="60"/>
      <c r="Q288" s="67"/>
      <c r="R288" s="67"/>
      <c r="S288" s="60"/>
      <c r="T288" s="61"/>
      <c r="U288" s="67"/>
      <c r="V288" s="68"/>
      <c r="W288" s="69"/>
      <c r="X288" s="69"/>
      <c r="Y288" s="69"/>
      <c r="Z288" s="67"/>
      <c r="AA288" s="48"/>
      <c r="AB288" s="48"/>
      <c r="AC288" s="48"/>
      <c r="AD288" s="48"/>
      <c r="AE288" s="48"/>
    </row>
    <row r="289">
      <c r="A289" s="57"/>
      <c r="B289" s="58"/>
      <c r="C289" s="58"/>
      <c r="D289" s="58"/>
      <c r="E289" s="17"/>
      <c r="F289" s="17"/>
      <c r="G289" s="15"/>
      <c r="H289" s="59"/>
      <c r="I289" s="60"/>
      <c r="J289" s="60"/>
      <c r="K289" s="61"/>
      <c r="L289" s="66"/>
      <c r="M289" s="67"/>
      <c r="N289" s="67"/>
      <c r="O289" s="60"/>
      <c r="P289" s="60"/>
      <c r="Q289" s="67"/>
      <c r="R289" s="67"/>
      <c r="S289" s="60"/>
      <c r="T289" s="61"/>
      <c r="U289" s="67"/>
      <c r="V289" s="68"/>
      <c r="W289" s="69"/>
      <c r="X289" s="69"/>
      <c r="Y289" s="69"/>
      <c r="Z289" s="67"/>
      <c r="AA289" s="48"/>
      <c r="AB289" s="48"/>
      <c r="AC289" s="48"/>
      <c r="AD289" s="48"/>
      <c r="AE289" s="48"/>
    </row>
    <row r="290">
      <c r="A290" s="57"/>
      <c r="B290" s="58"/>
      <c r="C290" s="58"/>
      <c r="D290" s="58"/>
      <c r="E290" s="17"/>
      <c r="F290" s="17"/>
      <c r="G290" s="15"/>
      <c r="H290" s="59"/>
      <c r="I290" s="60"/>
      <c r="J290" s="60"/>
      <c r="K290" s="61"/>
      <c r="L290" s="62"/>
      <c r="M290" s="63"/>
      <c r="N290" s="63"/>
      <c r="O290" s="60"/>
      <c r="P290" s="60"/>
      <c r="Q290" s="63"/>
      <c r="R290" s="63"/>
      <c r="S290" s="60"/>
      <c r="T290" s="61"/>
      <c r="U290" s="63"/>
      <c r="V290" s="64"/>
      <c r="W290" s="65"/>
      <c r="X290" s="65"/>
      <c r="Y290" s="65"/>
      <c r="Z290" s="63"/>
      <c r="AA290" s="48"/>
      <c r="AB290" s="48"/>
      <c r="AC290" s="48"/>
      <c r="AD290" s="48"/>
      <c r="AE290" s="48"/>
    </row>
    <row r="291">
      <c r="A291" s="57"/>
      <c r="B291" s="58"/>
      <c r="C291" s="58"/>
      <c r="D291" s="58"/>
      <c r="E291" s="17"/>
      <c r="F291" s="17"/>
      <c r="G291" s="15"/>
      <c r="H291" s="59"/>
      <c r="I291" s="60"/>
      <c r="J291" s="60"/>
      <c r="K291" s="61"/>
      <c r="L291" s="62"/>
      <c r="M291" s="63"/>
      <c r="N291" s="63"/>
      <c r="O291" s="60"/>
      <c r="P291" s="60"/>
      <c r="Q291" s="63"/>
      <c r="R291" s="63"/>
      <c r="S291" s="60"/>
      <c r="T291" s="61"/>
      <c r="U291" s="63"/>
      <c r="V291" s="64"/>
      <c r="W291" s="65"/>
      <c r="X291" s="65"/>
      <c r="Y291" s="65"/>
      <c r="Z291" s="63"/>
      <c r="AA291" s="48"/>
      <c r="AB291" s="48"/>
      <c r="AC291" s="48"/>
      <c r="AD291" s="48"/>
      <c r="AE291" s="48"/>
    </row>
    <row r="292">
      <c r="A292" s="57"/>
      <c r="B292" s="58"/>
      <c r="C292" s="58"/>
      <c r="D292" s="58"/>
      <c r="E292" s="17"/>
      <c r="F292" s="17"/>
      <c r="G292" s="15"/>
      <c r="H292" s="59"/>
      <c r="I292" s="60"/>
      <c r="J292" s="60"/>
      <c r="K292" s="61"/>
      <c r="L292" s="62"/>
      <c r="M292" s="63"/>
      <c r="N292" s="63"/>
      <c r="O292" s="60"/>
      <c r="P292" s="60"/>
      <c r="Q292" s="63"/>
      <c r="R292" s="63"/>
      <c r="S292" s="60"/>
      <c r="T292" s="61"/>
      <c r="U292" s="63"/>
      <c r="V292" s="64"/>
      <c r="W292" s="65"/>
      <c r="X292" s="65"/>
      <c r="Y292" s="65"/>
      <c r="Z292" s="63"/>
      <c r="AA292" s="17"/>
      <c r="AB292" s="17"/>
      <c r="AC292" s="17"/>
      <c r="AD292" s="17"/>
      <c r="AE292" s="17"/>
    </row>
    <row r="293">
      <c r="A293" s="57"/>
      <c r="B293" s="58"/>
      <c r="C293" s="58"/>
      <c r="D293" s="58"/>
      <c r="E293" s="17"/>
      <c r="F293" s="17"/>
      <c r="G293" s="15"/>
      <c r="H293" s="59"/>
      <c r="I293" s="60"/>
      <c r="J293" s="60"/>
      <c r="K293" s="61"/>
      <c r="L293" s="62"/>
      <c r="M293" s="63"/>
      <c r="N293" s="63"/>
      <c r="O293" s="60"/>
      <c r="P293" s="60"/>
      <c r="Q293" s="63"/>
      <c r="R293" s="63"/>
      <c r="S293" s="60"/>
      <c r="T293" s="61"/>
      <c r="U293" s="63"/>
      <c r="V293" s="64"/>
      <c r="W293" s="65"/>
      <c r="X293" s="65"/>
      <c r="Y293" s="65"/>
      <c r="Z293" s="63"/>
      <c r="AA293" s="17"/>
      <c r="AB293" s="17"/>
      <c r="AC293" s="17"/>
      <c r="AD293" s="17"/>
      <c r="AE293" s="17"/>
    </row>
    <row r="294">
      <c r="A294" s="57"/>
      <c r="B294" s="58"/>
      <c r="C294" s="58"/>
      <c r="D294" s="58"/>
      <c r="E294" s="17"/>
      <c r="F294" s="17"/>
      <c r="G294" s="15"/>
      <c r="H294" s="59"/>
      <c r="I294" s="60"/>
      <c r="J294" s="60"/>
      <c r="K294" s="61"/>
      <c r="L294" s="62"/>
      <c r="M294" s="63"/>
      <c r="N294" s="63"/>
      <c r="O294" s="60"/>
      <c r="P294" s="60"/>
      <c r="Q294" s="63"/>
      <c r="R294" s="63"/>
      <c r="S294" s="60"/>
      <c r="T294" s="61"/>
      <c r="U294" s="63"/>
      <c r="V294" s="64"/>
      <c r="W294" s="65"/>
      <c r="X294" s="65"/>
      <c r="Y294" s="65"/>
      <c r="Z294" s="63"/>
      <c r="AA294" s="48"/>
      <c r="AB294" s="48"/>
      <c r="AC294" s="48"/>
      <c r="AD294" s="48"/>
      <c r="AE294" s="48"/>
    </row>
    <row r="295">
      <c r="A295" s="57"/>
      <c r="B295" s="58"/>
      <c r="C295" s="58"/>
      <c r="D295" s="58"/>
      <c r="E295" s="17"/>
      <c r="F295" s="17"/>
      <c r="G295" s="15"/>
      <c r="H295" s="59"/>
      <c r="I295" s="60"/>
      <c r="J295" s="60"/>
      <c r="K295" s="61"/>
      <c r="L295" s="66"/>
      <c r="M295" s="67"/>
      <c r="N295" s="67"/>
      <c r="O295" s="60"/>
      <c r="P295" s="60"/>
      <c r="Q295" s="67"/>
      <c r="R295" s="67"/>
      <c r="S295" s="60"/>
      <c r="T295" s="61"/>
      <c r="U295" s="67"/>
      <c r="V295" s="68"/>
      <c r="W295" s="69"/>
      <c r="X295" s="69"/>
      <c r="Y295" s="69"/>
      <c r="Z295" s="67"/>
      <c r="AA295" s="48"/>
      <c r="AB295" s="48"/>
      <c r="AC295" s="48"/>
      <c r="AD295" s="48"/>
      <c r="AE295" s="48"/>
    </row>
    <row r="296">
      <c r="A296" s="57"/>
      <c r="B296" s="58"/>
      <c r="C296" s="58"/>
      <c r="D296" s="58"/>
      <c r="E296" s="17"/>
      <c r="F296" s="17"/>
      <c r="G296" s="15"/>
      <c r="H296" s="59"/>
      <c r="I296" s="60"/>
      <c r="J296" s="60"/>
      <c r="K296" s="61"/>
      <c r="L296" s="62"/>
      <c r="M296" s="63"/>
      <c r="N296" s="63"/>
      <c r="O296" s="60"/>
      <c r="P296" s="60"/>
      <c r="Q296" s="63"/>
      <c r="R296" s="63"/>
      <c r="S296" s="60"/>
      <c r="T296" s="61"/>
      <c r="U296" s="63"/>
      <c r="V296" s="64"/>
      <c r="W296" s="65"/>
      <c r="X296" s="65"/>
      <c r="Y296" s="65"/>
      <c r="Z296" s="63"/>
      <c r="AA296" s="48"/>
      <c r="AB296" s="48"/>
      <c r="AC296" s="48"/>
      <c r="AD296" s="48"/>
      <c r="AE296" s="48"/>
    </row>
    <row r="297">
      <c r="A297" s="57"/>
      <c r="B297" s="58"/>
      <c r="C297" s="58"/>
      <c r="D297" s="58"/>
      <c r="E297" s="17"/>
      <c r="F297" s="17"/>
      <c r="G297" s="15"/>
      <c r="H297" s="59"/>
      <c r="I297" s="60"/>
      <c r="J297" s="60"/>
      <c r="K297" s="61"/>
      <c r="L297" s="62"/>
      <c r="M297" s="63"/>
      <c r="N297" s="63"/>
      <c r="O297" s="60"/>
      <c r="P297" s="60"/>
      <c r="Q297" s="63"/>
      <c r="R297" s="63"/>
      <c r="S297" s="60"/>
      <c r="T297" s="61"/>
      <c r="U297" s="63"/>
      <c r="V297" s="64"/>
      <c r="W297" s="65"/>
      <c r="X297" s="65"/>
      <c r="Y297" s="65"/>
      <c r="Z297" s="63"/>
      <c r="AA297" s="48"/>
      <c r="AB297" s="48"/>
      <c r="AC297" s="48"/>
      <c r="AD297" s="48"/>
      <c r="AE297" s="48"/>
    </row>
    <row r="298">
      <c r="A298" s="57"/>
      <c r="B298" s="58"/>
      <c r="C298" s="58"/>
      <c r="D298" s="58"/>
      <c r="E298" s="17"/>
      <c r="F298" s="17"/>
      <c r="G298" s="15"/>
      <c r="H298" s="59"/>
      <c r="I298" s="60"/>
      <c r="J298" s="60"/>
      <c r="K298" s="61"/>
      <c r="L298" s="62"/>
      <c r="M298" s="63"/>
      <c r="N298" s="63"/>
      <c r="O298" s="60"/>
      <c r="P298" s="60"/>
      <c r="Q298" s="63"/>
      <c r="R298" s="63"/>
      <c r="S298" s="60"/>
      <c r="T298" s="61"/>
      <c r="U298" s="63"/>
      <c r="V298" s="64"/>
      <c r="W298" s="65"/>
      <c r="X298" s="65"/>
      <c r="Y298" s="65"/>
      <c r="Z298" s="63"/>
      <c r="AA298" s="48"/>
      <c r="AB298" s="48"/>
      <c r="AC298" s="48"/>
      <c r="AD298" s="48"/>
      <c r="AE298" s="48"/>
    </row>
    <row r="299">
      <c r="A299" s="57"/>
      <c r="B299" s="58"/>
      <c r="C299" s="58"/>
      <c r="D299" s="58"/>
      <c r="E299" s="17"/>
      <c r="F299" s="17"/>
      <c r="G299" s="15"/>
      <c r="H299" s="59"/>
      <c r="I299" s="60"/>
      <c r="J299" s="60"/>
      <c r="K299" s="61"/>
      <c r="L299" s="66"/>
      <c r="M299" s="67"/>
      <c r="N299" s="67"/>
      <c r="O299" s="60"/>
      <c r="P299" s="60"/>
      <c r="Q299" s="67"/>
      <c r="R299" s="67"/>
      <c r="S299" s="60"/>
      <c r="T299" s="61"/>
      <c r="U299" s="67"/>
      <c r="V299" s="68"/>
      <c r="W299" s="69"/>
      <c r="X299" s="69"/>
      <c r="Y299" s="69"/>
      <c r="Z299" s="67"/>
      <c r="AA299" s="48"/>
      <c r="AB299" s="48"/>
      <c r="AC299" s="48"/>
      <c r="AD299" s="48"/>
      <c r="AE299" s="48"/>
    </row>
    <row r="300">
      <c r="A300" s="57"/>
      <c r="B300" s="58"/>
      <c r="C300" s="58"/>
      <c r="D300" s="58"/>
      <c r="E300" s="17"/>
      <c r="F300" s="17"/>
      <c r="G300" s="15"/>
      <c r="H300" s="59"/>
      <c r="I300" s="60"/>
      <c r="J300" s="60"/>
      <c r="K300" s="61"/>
      <c r="L300" s="66"/>
      <c r="M300" s="67"/>
      <c r="N300" s="67"/>
      <c r="O300" s="60"/>
      <c r="P300" s="60"/>
      <c r="Q300" s="67"/>
      <c r="R300" s="67"/>
      <c r="S300" s="60"/>
      <c r="T300" s="61"/>
      <c r="U300" s="67"/>
      <c r="V300" s="68"/>
      <c r="W300" s="69"/>
      <c r="X300" s="69"/>
      <c r="Y300" s="69"/>
      <c r="Z300" s="67"/>
      <c r="AA300" s="48"/>
      <c r="AB300" s="48"/>
      <c r="AC300" s="48"/>
      <c r="AD300" s="48"/>
      <c r="AE300" s="48"/>
    </row>
    <row r="301">
      <c r="A301" s="57"/>
      <c r="B301" s="58"/>
      <c r="C301" s="58"/>
      <c r="D301" s="58"/>
      <c r="E301" s="17"/>
      <c r="F301" s="17"/>
      <c r="G301" s="15"/>
      <c r="H301" s="59"/>
      <c r="I301" s="60"/>
      <c r="J301" s="60"/>
      <c r="K301" s="61"/>
      <c r="L301" s="66"/>
      <c r="M301" s="67"/>
      <c r="N301" s="67"/>
      <c r="O301" s="60"/>
      <c r="P301" s="60"/>
      <c r="Q301" s="67"/>
      <c r="R301" s="67"/>
      <c r="S301" s="60"/>
      <c r="T301" s="61"/>
      <c r="U301" s="67"/>
      <c r="V301" s="68"/>
      <c r="W301" s="69"/>
      <c r="X301" s="69"/>
      <c r="Y301" s="69"/>
      <c r="Z301" s="67"/>
      <c r="AA301" s="48"/>
      <c r="AB301" s="48"/>
      <c r="AC301" s="48"/>
      <c r="AD301" s="48"/>
      <c r="AE301" s="48"/>
    </row>
    <row r="302">
      <c r="A302" s="57"/>
      <c r="B302" s="58"/>
      <c r="C302" s="58"/>
      <c r="D302" s="58"/>
      <c r="E302" s="17"/>
      <c r="F302" s="17"/>
      <c r="G302" s="15"/>
      <c r="H302" s="59"/>
      <c r="I302" s="60"/>
      <c r="J302" s="60"/>
      <c r="K302" s="61"/>
      <c r="L302" s="66"/>
      <c r="M302" s="67"/>
      <c r="N302" s="67"/>
      <c r="O302" s="60"/>
      <c r="P302" s="60"/>
      <c r="Q302" s="67"/>
      <c r="R302" s="67"/>
      <c r="S302" s="60"/>
      <c r="T302" s="61"/>
      <c r="U302" s="67"/>
      <c r="V302" s="68"/>
      <c r="W302" s="69"/>
      <c r="X302" s="69"/>
      <c r="Y302" s="69"/>
      <c r="Z302" s="67"/>
      <c r="AA302" s="48"/>
      <c r="AB302" s="48"/>
      <c r="AC302" s="48"/>
      <c r="AD302" s="48"/>
      <c r="AE302" s="48"/>
    </row>
    <row r="303">
      <c r="A303" s="57"/>
      <c r="B303" s="58"/>
      <c r="C303" s="58"/>
      <c r="D303" s="58"/>
      <c r="E303" s="17"/>
      <c r="F303" s="17"/>
      <c r="G303" s="15"/>
      <c r="H303" s="59"/>
      <c r="I303" s="60"/>
      <c r="J303" s="60"/>
      <c r="K303" s="61"/>
      <c r="L303" s="62"/>
      <c r="M303" s="63"/>
      <c r="N303" s="63"/>
      <c r="O303" s="60"/>
      <c r="P303" s="60"/>
      <c r="Q303" s="63"/>
      <c r="R303" s="63"/>
      <c r="S303" s="60"/>
      <c r="T303" s="61"/>
      <c r="U303" s="63"/>
      <c r="V303" s="64"/>
      <c r="W303" s="65"/>
      <c r="X303" s="65"/>
      <c r="Y303" s="65"/>
      <c r="Z303" s="63"/>
      <c r="AA303" s="48"/>
      <c r="AB303" s="48"/>
      <c r="AC303" s="48"/>
      <c r="AD303" s="48"/>
      <c r="AE303" s="48"/>
    </row>
    <row r="304">
      <c r="A304" s="57"/>
      <c r="B304" s="58"/>
      <c r="C304" s="58"/>
      <c r="D304" s="58"/>
      <c r="E304" s="17"/>
      <c r="F304" s="17"/>
      <c r="G304" s="15"/>
      <c r="H304" s="59"/>
      <c r="I304" s="60"/>
      <c r="J304" s="60"/>
      <c r="K304" s="61"/>
      <c r="L304" s="62"/>
      <c r="M304" s="63"/>
      <c r="N304" s="63"/>
      <c r="O304" s="60"/>
      <c r="P304" s="60"/>
      <c r="Q304" s="63"/>
      <c r="R304" s="63"/>
      <c r="S304" s="60"/>
      <c r="T304" s="61"/>
      <c r="U304" s="63"/>
      <c r="V304" s="64"/>
      <c r="W304" s="65"/>
      <c r="X304" s="65"/>
      <c r="Y304" s="65"/>
      <c r="Z304" s="63"/>
      <c r="AA304" s="48"/>
      <c r="AB304" s="48"/>
      <c r="AC304" s="48"/>
      <c r="AD304" s="48"/>
      <c r="AE304" s="48"/>
    </row>
    <row r="305">
      <c r="A305" s="57"/>
      <c r="B305" s="58"/>
      <c r="C305" s="58"/>
      <c r="D305" s="58"/>
      <c r="E305" s="17"/>
      <c r="F305" s="17"/>
      <c r="G305" s="15"/>
      <c r="H305" s="59"/>
      <c r="I305" s="60"/>
      <c r="J305" s="60"/>
      <c r="K305" s="61"/>
      <c r="L305" s="62"/>
      <c r="M305" s="63"/>
      <c r="N305" s="63"/>
      <c r="O305" s="60"/>
      <c r="P305" s="60"/>
      <c r="Q305" s="63"/>
      <c r="R305" s="63"/>
      <c r="S305" s="60"/>
      <c r="T305" s="61"/>
      <c r="U305" s="63"/>
      <c r="V305" s="64"/>
      <c r="W305" s="65"/>
      <c r="X305" s="65"/>
      <c r="Y305" s="65"/>
      <c r="Z305" s="63"/>
      <c r="AA305" s="48"/>
      <c r="AB305" s="48"/>
      <c r="AC305" s="48"/>
      <c r="AD305" s="48"/>
      <c r="AE305" s="48"/>
    </row>
    <row r="306">
      <c r="A306" s="57"/>
      <c r="B306" s="58"/>
      <c r="C306" s="58"/>
      <c r="D306" s="58"/>
      <c r="E306" s="17"/>
      <c r="F306" s="17"/>
      <c r="G306" s="15"/>
      <c r="H306" s="59"/>
      <c r="I306" s="60"/>
      <c r="J306" s="60"/>
      <c r="K306" s="61"/>
      <c r="L306" s="62"/>
      <c r="M306" s="63"/>
      <c r="N306" s="63"/>
      <c r="O306" s="60"/>
      <c r="P306" s="60"/>
      <c r="Q306" s="63"/>
      <c r="R306" s="63"/>
      <c r="S306" s="60"/>
      <c r="T306" s="61"/>
      <c r="U306" s="63"/>
      <c r="V306" s="64"/>
      <c r="W306" s="65"/>
      <c r="X306" s="65"/>
      <c r="Y306" s="65"/>
      <c r="Z306" s="63"/>
      <c r="AA306" s="48"/>
      <c r="AB306" s="48"/>
      <c r="AC306" s="48"/>
      <c r="AD306" s="48"/>
      <c r="AE306" s="48"/>
    </row>
    <row r="307">
      <c r="A307" s="57"/>
      <c r="B307" s="58"/>
      <c r="C307" s="58"/>
      <c r="D307" s="58"/>
      <c r="E307" s="17"/>
      <c r="F307" s="17"/>
      <c r="G307" s="15"/>
      <c r="H307" s="59"/>
      <c r="I307" s="60"/>
      <c r="J307" s="60"/>
      <c r="K307" s="61"/>
      <c r="L307" s="62"/>
      <c r="M307" s="63"/>
      <c r="N307" s="63"/>
      <c r="O307" s="60"/>
      <c r="P307" s="60"/>
      <c r="Q307" s="63"/>
      <c r="R307" s="63"/>
      <c r="S307" s="60"/>
      <c r="T307" s="61"/>
      <c r="U307" s="63"/>
      <c r="V307" s="64"/>
      <c r="W307" s="65"/>
      <c r="X307" s="65"/>
      <c r="Y307" s="65"/>
      <c r="Z307" s="63"/>
      <c r="AA307" s="48"/>
      <c r="AB307" s="48"/>
      <c r="AC307" s="48"/>
      <c r="AD307" s="48"/>
      <c r="AE307" s="48"/>
    </row>
    <row r="308">
      <c r="A308" s="57"/>
      <c r="B308" s="58"/>
      <c r="C308" s="58"/>
      <c r="D308" s="58"/>
      <c r="E308" s="17"/>
      <c r="F308" s="17"/>
      <c r="G308" s="15"/>
      <c r="H308" s="59"/>
      <c r="I308" s="60"/>
      <c r="J308" s="60"/>
      <c r="K308" s="61"/>
      <c r="L308" s="66"/>
      <c r="M308" s="67"/>
      <c r="N308" s="67"/>
      <c r="O308" s="60"/>
      <c r="P308" s="60"/>
      <c r="Q308" s="67"/>
      <c r="R308" s="67"/>
      <c r="S308" s="60"/>
      <c r="T308" s="61"/>
      <c r="U308" s="67"/>
      <c r="V308" s="68"/>
      <c r="W308" s="69"/>
      <c r="X308" s="69"/>
      <c r="Y308" s="69"/>
      <c r="Z308" s="67"/>
      <c r="AA308" s="48"/>
      <c r="AB308" s="48"/>
      <c r="AC308" s="48"/>
      <c r="AD308" s="48"/>
      <c r="AE308" s="48"/>
    </row>
    <row r="309">
      <c r="A309" s="57"/>
      <c r="B309" s="58"/>
      <c r="C309" s="58"/>
      <c r="D309" s="58"/>
      <c r="E309" s="17"/>
      <c r="F309" s="17"/>
      <c r="G309" s="15"/>
      <c r="H309" s="59"/>
      <c r="I309" s="60"/>
      <c r="J309" s="60"/>
      <c r="K309" s="61"/>
      <c r="L309" s="66"/>
      <c r="M309" s="67"/>
      <c r="N309" s="67"/>
      <c r="O309" s="60"/>
      <c r="P309" s="60"/>
      <c r="Q309" s="67"/>
      <c r="R309" s="67"/>
      <c r="S309" s="60"/>
      <c r="T309" s="61"/>
      <c r="U309" s="67"/>
      <c r="V309" s="68"/>
      <c r="W309" s="69"/>
      <c r="X309" s="69"/>
      <c r="Y309" s="69"/>
      <c r="Z309" s="67"/>
      <c r="AA309" s="48"/>
      <c r="AB309" s="48"/>
      <c r="AC309" s="48"/>
      <c r="AD309" s="48"/>
      <c r="AE309" s="48"/>
    </row>
    <row r="310">
      <c r="A310" s="57"/>
      <c r="B310" s="58"/>
      <c r="C310" s="58"/>
      <c r="D310" s="58"/>
      <c r="E310" s="17"/>
      <c r="F310" s="17"/>
      <c r="G310" s="15"/>
      <c r="H310" s="59"/>
      <c r="I310" s="60"/>
      <c r="J310" s="60"/>
      <c r="K310" s="61"/>
      <c r="L310" s="66"/>
      <c r="M310" s="67"/>
      <c r="N310" s="67"/>
      <c r="O310" s="60"/>
      <c r="P310" s="60"/>
      <c r="Q310" s="67"/>
      <c r="R310" s="67"/>
      <c r="S310" s="60"/>
      <c r="T310" s="61"/>
      <c r="U310" s="67"/>
      <c r="V310" s="68"/>
      <c r="W310" s="69"/>
      <c r="X310" s="69"/>
      <c r="Y310" s="69"/>
      <c r="Z310" s="67"/>
      <c r="AA310" s="48"/>
      <c r="AB310" s="48"/>
      <c r="AC310" s="48"/>
      <c r="AD310" s="48"/>
      <c r="AE310" s="48"/>
    </row>
    <row r="311">
      <c r="A311" s="57"/>
      <c r="B311" s="58"/>
      <c r="C311" s="58"/>
      <c r="D311" s="58"/>
      <c r="E311" s="17"/>
      <c r="F311" s="17"/>
      <c r="G311" s="15"/>
      <c r="H311" s="59"/>
      <c r="I311" s="60"/>
      <c r="J311" s="60"/>
      <c r="K311" s="61"/>
      <c r="L311" s="62"/>
      <c r="M311" s="63"/>
      <c r="N311" s="63"/>
      <c r="O311" s="60"/>
      <c r="P311" s="60"/>
      <c r="Q311" s="63"/>
      <c r="R311" s="63"/>
      <c r="S311" s="60"/>
      <c r="T311" s="61"/>
      <c r="U311" s="63"/>
      <c r="V311" s="64"/>
      <c r="W311" s="65"/>
      <c r="X311" s="65"/>
      <c r="Y311" s="65"/>
      <c r="Z311" s="63"/>
      <c r="AA311" s="48"/>
      <c r="AB311" s="48"/>
      <c r="AC311" s="48"/>
      <c r="AD311" s="48"/>
      <c r="AE311" s="48"/>
    </row>
    <row r="312">
      <c r="A312" s="57"/>
      <c r="B312" s="58"/>
      <c r="C312" s="58"/>
      <c r="D312" s="58"/>
      <c r="E312" s="17"/>
      <c r="F312" s="17"/>
      <c r="G312" s="15"/>
      <c r="H312" s="59"/>
      <c r="I312" s="60"/>
      <c r="J312" s="60"/>
      <c r="K312" s="61"/>
      <c r="L312" s="66"/>
      <c r="M312" s="67"/>
      <c r="N312" s="67"/>
      <c r="O312" s="60"/>
      <c r="P312" s="60"/>
      <c r="Q312" s="67"/>
      <c r="R312" s="67"/>
      <c r="S312" s="60"/>
      <c r="T312" s="61"/>
      <c r="U312" s="67"/>
      <c r="V312" s="68"/>
      <c r="W312" s="69"/>
      <c r="X312" s="69"/>
      <c r="Y312" s="69"/>
      <c r="Z312" s="67"/>
      <c r="AA312" s="48"/>
      <c r="AB312" s="48"/>
      <c r="AC312" s="48"/>
      <c r="AD312" s="48"/>
      <c r="AE312" s="48"/>
    </row>
    <row r="313">
      <c r="A313" s="57"/>
      <c r="B313" s="58"/>
      <c r="C313" s="58"/>
      <c r="D313" s="58"/>
      <c r="E313" s="17"/>
      <c r="F313" s="17"/>
      <c r="G313" s="15"/>
      <c r="H313" s="59"/>
      <c r="I313" s="60"/>
      <c r="J313" s="60"/>
      <c r="K313" s="61"/>
      <c r="L313" s="66"/>
      <c r="M313" s="67"/>
      <c r="N313" s="67"/>
      <c r="O313" s="60"/>
      <c r="P313" s="60"/>
      <c r="Q313" s="67"/>
      <c r="R313" s="67"/>
      <c r="S313" s="60"/>
      <c r="T313" s="61"/>
      <c r="U313" s="67"/>
      <c r="V313" s="68"/>
      <c r="W313" s="69"/>
      <c r="X313" s="69"/>
      <c r="Y313" s="69"/>
      <c r="Z313" s="67"/>
      <c r="AA313" s="48"/>
      <c r="AB313" s="48"/>
      <c r="AC313" s="48"/>
      <c r="AD313" s="48"/>
      <c r="AE313" s="48"/>
    </row>
    <row r="314">
      <c r="A314" s="57"/>
      <c r="B314" s="58"/>
      <c r="C314" s="58"/>
      <c r="D314" s="58"/>
      <c r="E314" s="17"/>
      <c r="F314" s="17"/>
      <c r="G314" s="15"/>
      <c r="H314" s="59"/>
      <c r="I314" s="60"/>
      <c r="J314" s="60"/>
      <c r="K314" s="61"/>
      <c r="L314" s="66"/>
      <c r="M314" s="67"/>
      <c r="N314" s="67"/>
      <c r="O314" s="60"/>
      <c r="P314" s="60"/>
      <c r="Q314" s="67"/>
      <c r="R314" s="67"/>
      <c r="S314" s="60"/>
      <c r="T314" s="61"/>
      <c r="U314" s="67"/>
      <c r="V314" s="68"/>
      <c r="W314" s="69"/>
      <c r="X314" s="69"/>
      <c r="Y314" s="69"/>
      <c r="Z314" s="67"/>
      <c r="AA314" s="48"/>
      <c r="AB314" s="48"/>
      <c r="AC314" s="48"/>
      <c r="AD314" s="48"/>
      <c r="AE314" s="48"/>
    </row>
    <row r="315">
      <c r="A315" s="57"/>
      <c r="B315" s="58"/>
      <c r="C315" s="58"/>
      <c r="D315" s="58"/>
      <c r="E315" s="17"/>
      <c r="F315" s="17"/>
      <c r="G315" s="15"/>
      <c r="H315" s="59"/>
      <c r="I315" s="60"/>
      <c r="J315" s="60"/>
      <c r="K315" s="61"/>
      <c r="L315" s="62"/>
      <c r="M315" s="63"/>
      <c r="N315" s="63"/>
      <c r="O315" s="60"/>
      <c r="P315" s="60"/>
      <c r="Q315" s="63"/>
      <c r="R315" s="63"/>
      <c r="S315" s="60"/>
      <c r="T315" s="61"/>
      <c r="U315" s="63"/>
      <c r="V315" s="64"/>
      <c r="W315" s="65"/>
      <c r="X315" s="65"/>
      <c r="Y315" s="65"/>
      <c r="Z315" s="63"/>
      <c r="AA315" s="48"/>
      <c r="AB315" s="48"/>
      <c r="AC315" s="48"/>
      <c r="AD315" s="48"/>
      <c r="AE315" s="48"/>
    </row>
    <row r="316">
      <c r="A316" s="57"/>
      <c r="B316" s="58"/>
      <c r="C316" s="58"/>
      <c r="D316" s="58"/>
      <c r="E316" s="17"/>
      <c r="F316" s="17"/>
      <c r="G316" s="15"/>
      <c r="H316" s="59"/>
      <c r="I316" s="60"/>
      <c r="J316" s="60"/>
      <c r="K316" s="61"/>
      <c r="L316" s="62"/>
      <c r="M316" s="63"/>
      <c r="N316" s="63"/>
      <c r="O316" s="60"/>
      <c r="P316" s="60"/>
      <c r="Q316" s="63"/>
      <c r="R316" s="63"/>
      <c r="S316" s="60"/>
      <c r="T316" s="61"/>
      <c r="U316" s="63"/>
      <c r="V316" s="64"/>
      <c r="W316" s="65"/>
      <c r="X316" s="65"/>
      <c r="Y316" s="65"/>
      <c r="Z316" s="63"/>
      <c r="AA316" s="48"/>
      <c r="AB316" s="48"/>
      <c r="AC316" s="48"/>
      <c r="AD316" s="48"/>
      <c r="AE316" s="48"/>
    </row>
    <row r="317">
      <c r="A317" s="57"/>
      <c r="B317" s="58"/>
      <c r="C317" s="58"/>
      <c r="D317" s="58"/>
      <c r="E317" s="17"/>
      <c r="F317" s="17"/>
      <c r="G317" s="15"/>
      <c r="H317" s="59"/>
      <c r="I317" s="60"/>
      <c r="J317" s="60"/>
      <c r="K317" s="61"/>
      <c r="L317" s="62"/>
      <c r="M317" s="63"/>
      <c r="N317" s="63"/>
      <c r="O317" s="60"/>
      <c r="P317" s="60"/>
      <c r="Q317" s="63"/>
      <c r="R317" s="63"/>
      <c r="S317" s="60"/>
      <c r="T317" s="61"/>
      <c r="U317" s="63"/>
      <c r="V317" s="64"/>
      <c r="W317" s="65"/>
      <c r="X317" s="65"/>
      <c r="Y317" s="65"/>
      <c r="Z317" s="63"/>
      <c r="AA317" s="48"/>
      <c r="AB317" s="48"/>
      <c r="AC317" s="48"/>
      <c r="AD317" s="48"/>
      <c r="AE317" s="48"/>
    </row>
    <row r="318">
      <c r="A318" s="57"/>
      <c r="B318" s="58"/>
      <c r="C318" s="58"/>
      <c r="D318" s="58"/>
      <c r="E318" s="17"/>
      <c r="F318" s="17"/>
      <c r="G318" s="15"/>
      <c r="H318" s="59"/>
      <c r="I318" s="60"/>
      <c r="J318" s="60"/>
      <c r="K318" s="61"/>
      <c r="L318" s="62"/>
      <c r="M318" s="63"/>
      <c r="N318" s="63"/>
      <c r="O318" s="60"/>
      <c r="P318" s="60"/>
      <c r="Q318" s="63"/>
      <c r="R318" s="63"/>
      <c r="S318" s="60"/>
      <c r="T318" s="61"/>
      <c r="U318" s="63"/>
      <c r="V318" s="64"/>
      <c r="W318" s="65"/>
      <c r="X318" s="65"/>
      <c r="Y318" s="65"/>
      <c r="Z318" s="63"/>
      <c r="AA318" s="48"/>
      <c r="AB318" s="48"/>
      <c r="AC318" s="48"/>
      <c r="AD318" s="48"/>
      <c r="AE318" s="48"/>
    </row>
    <row r="319">
      <c r="A319" s="57"/>
      <c r="B319" s="58"/>
      <c r="C319" s="58"/>
      <c r="D319" s="58"/>
      <c r="E319" s="17"/>
      <c r="F319" s="17"/>
      <c r="G319" s="15"/>
      <c r="H319" s="59"/>
      <c r="I319" s="60"/>
      <c r="J319" s="60"/>
      <c r="K319" s="61"/>
      <c r="L319" s="62"/>
      <c r="M319" s="63"/>
      <c r="N319" s="63"/>
      <c r="O319" s="60"/>
      <c r="P319" s="60"/>
      <c r="Q319" s="63"/>
      <c r="R319" s="63"/>
      <c r="S319" s="60"/>
      <c r="T319" s="61"/>
      <c r="U319" s="63"/>
      <c r="V319" s="64"/>
      <c r="W319" s="65"/>
      <c r="X319" s="65"/>
      <c r="Y319" s="65"/>
      <c r="Z319" s="63"/>
      <c r="AA319" s="48"/>
      <c r="AB319" s="48"/>
      <c r="AC319" s="48"/>
      <c r="AD319" s="48"/>
      <c r="AE319" s="48"/>
    </row>
    <row r="320">
      <c r="A320" s="57"/>
      <c r="B320" s="58"/>
      <c r="C320" s="58"/>
      <c r="D320" s="58"/>
      <c r="E320" s="17"/>
      <c r="F320" s="17"/>
      <c r="G320" s="15"/>
      <c r="H320" s="59"/>
      <c r="I320" s="60"/>
      <c r="J320" s="60"/>
      <c r="K320" s="61"/>
      <c r="L320" s="62"/>
      <c r="M320" s="63"/>
      <c r="N320" s="63"/>
      <c r="O320" s="60"/>
      <c r="P320" s="60"/>
      <c r="Q320" s="63"/>
      <c r="R320" s="63"/>
      <c r="S320" s="60"/>
      <c r="T320" s="61"/>
      <c r="U320" s="63"/>
      <c r="V320" s="64"/>
      <c r="W320" s="65"/>
      <c r="X320" s="65"/>
      <c r="Y320" s="65"/>
      <c r="Z320" s="63"/>
      <c r="AA320" s="48"/>
      <c r="AB320" s="48"/>
      <c r="AC320" s="48"/>
      <c r="AD320" s="48"/>
      <c r="AE320" s="48"/>
    </row>
    <row r="321">
      <c r="A321" s="57"/>
      <c r="B321" s="58"/>
      <c r="C321" s="58"/>
      <c r="D321" s="58"/>
      <c r="E321" s="17"/>
      <c r="F321" s="17"/>
      <c r="G321" s="15"/>
      <c r="H321" s="59"/>
      <c r="I321" s="60"/>
      <c r="J321" s="60"/>
      <c r="K321" s="61"/>
      <c r="L321" s="62"/>
      <c r="M321" s="63"/>
      <c r="N321" s="63"/>
      <c r="O321" s="60"/>
      <c r="P321" s="60"/>
      <c r="Q321" s="63"/>
      <c r="R321" s="63"/>
      <c r="S321" s="60"/>
      <c r="T321" s="61"/>
      <c r="U321" s="63"/>
      <c r="V321" s="64"/>
      <c r="W321" s="65"/>
      <c r="X321" s="65"/>
      <c r="Y321" s="65"/>
      <c r="Z321" s="63"/>
      <c r="AA321" s="48"/>
      <c r="AB321" s="48"/>
      <c r="AC321" s="48"/>
      <c r="AD321" s="48"/>
      <c r="AE321" s="48"/>
    </row>
    <row r="322">
      <c r="A322" s="57"/>
      <c r="B322" s="58"/>
      <c r="C322" s="58"/>
      <c r="D322" s="58"/>
      <c r="E322" s="17"/>
      <c r="F322" s="17"/>
      <c r="G322" s="15"/>
      <c r="H322" s="59"/>
      <c r="I322" s="60"/>
      <c r="J322" s="60"/>
      <c r="K322" s="61"/>
      <c r="L322" s="62"/>
      <c r="M322" s="63"/>
      <c r="N322" s="63"/>
      <c r="O322" s="60"/>
      <c r="P322" s="60"/>
      <c r="Q322" s="63"/>
      <c r="R322" s="63"/>
      <c r="S322" s="60"/>
      <c r="T322" s="61"/>
      <c r="U322" s="63"/>
      <c r="V322" s="64"/>
      <c r="W322" s="65"/>
      <c r="X322" s="65"/>
      <c r="Y322" s="65"/>
      <c r="Z322" s="63"/>
      <c r="AA322" s="48"/>
      <c r="AB322" s="48"/>
      <c r="AC322" s="48"/>
      <c r="AD322" s="48"/>
      <c r="AE322" s="48"/>
    </row>
    <row r="323">
      <c r="A323" s="57"/>
      <c r="B323" s="58"/>
      <c r="C323" s="58"/>
      <c r="D323" s="58"/>
      <c r="E323" s="17"/>
      <c r="F323" s="17"/>
      <c r="G323" s="15"/>
      <c r="H323" s="59"/>
      <c r="I323" s="60"/>
      <c r="J323" s="60"/>
      <c r="K323" s="61"/>
      <c r="L323" s="62"/>
      <c r="M323" s="63"/>
      <c r="N323" s="63"/>
      <c r="O323" s="60"/>
      <c r="P323" s="60"/>
      <c r="Q323" s="63"/>
      <c r="R323" s="63"/>
      <c r="S323" s="60"/>
      <c r="T323" s="61"/>
      <c r="U323" s="63"/>
      <c r="V323" s="64"/>
      <c r="W323" s="65"/>
      <c r="X323" s="65"/>
      <c r="Y323" s="65"/>
      <c r="Z323" s="63"/>
      <c r="AA323" s="48"/>
      <c r="AB323" s="48"/>
      <c r="AC323" s="48"/>
      <c r="AD323" s="48"/>
      <c r="AE323" s="48"/>
    </row>
    <row r="324">
      <c r="A324" s="57"/>
      <c r="B324" s="58"/>
      <c r="C324" s="58"/>
      <c r="D324" s="58"/>
      <c r="E324" s="17"/>
      <c r="F324" s="17"/>
      <c r="G324" s="15"/>
      <c r="H324" s="59"/>
      <c r="I324" s="60"/>
      <c r="J324" s="60"/>
      <c r="K324" s="61"/>
      <c r="L324" s="62"/>
      <c r="M324" s="63"/>
      <c r="N324" s="63"/>
      <c r="O324" s="60"/>
      <c r="P324" s="60"/>
      <c r="Q324" s="63"/>
      <c r="R324" s="63"/>
      <c r="S324" s="60"/>
      <c r="T324" s="61"/>
      <c r="U324" s="63"/>
      <c r="V324" s="64"/>
      <c r="W324" s="65"/>
      <c r="X324" s="65"/>
      <c r="Y324" s="65"/>
      <c r="Z324" s="63"/>
      <c r="AA324" s="17"/>
      <c r="AB324" s="17"/>
      <c r="AC324" s="17"/>
      <c r="AD324" s="17"/>
      <c r="AE324" s="17"/>
    </row>
    <row r="325">
      <c r="A325" s="57"/>
      <c r="B325" s="58"/>
      <c r="C325" s="58"/>
      <c r="D325" s="58"/>
      <c r="E325" s="17"/>
      <c r="F325" s="17"/>
      <c r="G325" s="15"/>
      <c r="H325" s="59"/>
      <c r="I325" s="60"/>
      <c r="J325" s="60"/>
      <c r="K325" s="61"/>
      <c r="L325" s="62"/>
      <c r="M325" s="63"/>
      <c r="N325" s="63"/>
      <c r="O325" s="60"/>
      <c r="P325" s="60"/>
      <c r="Q325" s="63"/>
      <c r="R325" s="63"/>
      <c r="S325" s="60"/>
      <c r="T325" s="61"/>
      <c r="U325" s="63"/>
      <c r="V325" s="64"/>
      <c r="W325" s="65"/>
      <c r="X325" s="65"/>
      <c r="Y325" s="65"/>
      <c r="Z325" s="63"/>
      <c r="AA325" s="17"/>
      <c r="AB325" s="17"/>
      <c r="AC325" s="17"/>
      <c r="AD325" s="17"/>
      <c r="AE325" s="17"/>
    </row>
    <row r="326">
      <c r="A326" s="57"/>
      <c r="B326" s="58"/>
      <c r="C326" s="58"/>
      <c r="D326" s="58"/>
      <c r="E326" s="17"/>
      <c r="F326" s="17"/>
      <c r="G326" s="15"/>
      <c r="H326" s="59"/>
      <c r="I326" s="60"/>
      <c r="J326" s="60"/>
      <c r="K326" s="61"/>
      <c r="L326" s="62"/>
      <c r="M326" s="63"/>
      <c r="N326" s="63"/>
      <c r="O326" s="60"/>
      <c r="P326" s="60"/>
      <c r="Q326" s="63"/>
      <c r="R326" s="63"/>
      <c r="S326" s="60"/>
      <c r="T326" s="61"/>
      <c r="U326" s="63"/>
      <c r="V326" s="64"/>
      <c r="W326" s="65"/>
      <c r="X326" s="65"/>
      <c r="Y326" s="65"/>
      <c r="Z326" s="63"/>
      <c r="AA326" s="48"/>
      <c r="AB326" s="48"/>
      <c r="AC326" s="48"/>
      <c r="AD326" s="48"/>
      <c r="AE326" s="48"/>
    </row>
    <row r="327">
      <c r="A327" s="57"/>
      <c r="B327" s="58"/>
      <c r="C327" s="58"/>
      <c r="D327" s="58"/>
      <c r="E327" s="17"/>
      <c r="F327" s="17"/>
      <c r="G327" s="15"/>
      <c r="H327" s="59"/>
      <c r="I327" s="60"/>
      <c r="J327" s="60"/>
      <c r="K327" s="61"/>
      <c r="L327" s="62"/>
      <c r="M327" s="63"/>
      <c r="N327" s="63"/>
      <c r="O327" s="60"/>
      <c r="P327" s="60"/>
      <c r="Q327" s="63"/>
      <c r="R327" s="63"/>
      <c r="S327" s="60"/>
      <c r="T327" s="61"/>
      <c r="U327" s="63"/>
      <c r="V327" s="64"/>
      <c r="W327" s="65"/>
      <c r="X327" s="65"/>
      <c r="Y327" s="65"/>
      <c r="Z327" s="63"/>
      <c r="AA327" s="48"/>
      <c r="AB327" s="48"/>
      <c r="AC327" s="48"/>
      <c r="AD327" s="48"/>
      <c r="AE327" s="48"/>
    </row>
    <row r="328">
      <c r="A328" s="57"/>
      <c r="B328" s="58"/>
      <c r="C328" s="58"/>
      <c r="D328" s="58"/>
      <c r="E328" s="17"/>
      <c r="F328" s="17"/>
      <c r="G328" s="15"/>
      <c r="H328" s="59"/>
      <c r="I328" s="60"/>
      <c r="J328" s="60"/>
      <c r="K328" s="61"/>
      <c r="L328" s="62"/>
      <c r="M328" s="63"/>
      <c r="N328" s="63"/>
      <c r="O328" s="60"/>
      <c r="P328" s="60"/>
      <c r="Q328" s="63"/>
      <c r="R328" s="63"/>
      <c r="S328" s="60"/>
      <c r="T328" s="61"/>
      <c r="U328" s="63"/>
      <c r="V328" s="64"/>
      <c r="W328" s="65"/>
      <c r="X328" s="65"/>
      <c r="Y328" s="65"/>
      <c r="Z328" s="63"/>
      <c r="AA328" s="17"/>
      <c r="AB328" s="17"/>
      <c r="AC328" s="17"/>
      <c r="AD328" s="17"/>
      <c r="AE328" s="17"/>
    </row>
    <row r="329">
      <c r="A329" s="57"/>
      <c r="B329" s="58"/>
      <c r="C329" s="58"/>
      <c r="D329" s="58"/>
      <c r="E329" s="17"/>
      <c r="F329" s="17"/>
      <c r="G329" s="15"/>
      <c r="H329" s="59"/>
      <c r="I329" s="60"/>
      <c r="J329" s="60"/>
      <c r="K329" s="61"/>
      <c r="L329" s="62"/>
      <c r="M329" s="63"/>
      <c r="N329" s="63"/>
      <c r="O329" s="60"/>
      <c r="P329" s="60"/>
      <c r="Q329" s="63"/>
      <c r="R329" s="63"/>
      <c r="S329" s="60"/>
      <c r="T329" s="61"/>
      <c r="U329" s="63"/>
      <c r="V329" s="64"/>
      <c r="W329" s="65"/>
      <c r="X329" s="65"/>
      <c r="Y329" s="65"/>
      <c r="Z329" s="63"/>
      <c r="AA329" s="48"/>
      <c r="AB329" s="48"/>
      <c r="AC329" s="48"/>
      <c r="AD329" s="48"/>
      <c r="AE329" s="48"/>
    </row>
    <row r="330">
      <c r="A330" s="57"/>
      <c r="B330" s="58"/>
      <c r="C330" s="58"/>
      <c r="D330" s="58"/>
      <c r="E330" s="17"/>
      <c r="F330" s="17"/>
      <c r="G330" s="15"/>
      <c r="H330" s="59"/>
      <c r="I330" s="60"/>
      <c r="J330" s="60"/>
      <c r="K330" s="61"/>
      <c r="L330" s="62"/>
      <c r="M330" s="63"/>
      <c r="N330" s="63"/>
      <c r="O330" s="60"/>
      <c r="P330" s="60"/>
      <c r="Q330" s="63"/>
      <c r="R330" s="63"/>
      <c r="S330" s="60"/>
      <c r="T330" s="61"/>
      <c r="U330" s="63"/>
      <c r="V330" s="64"/>
      <c r="W330" s="65"/>
      <c r="X330" s="65"/>
      <c r="Y330" s="65"/>
      <c r="Z330" s="63"/>
      <c r="AA330" s="48"/>
      <c r="AB330" s="48"/>
      <c r="AC330" s="48"/>
      <c r="AD330" s="48"/>
      <c r="AE330" s="48"/>
    </row>
    <row r="331">
      <c r="A331" s="57"/>
      <c r="B331" s="58"/>
      <c r="C331" s="58"/>
      <c r="D331" s="58"/>
      <c r="E331" s="17"/>
      <c r="F331" s="17"/>
      <c r="G331" s="15"/>
      <c r="H331" s="59"/>
      <c r="I331" s="60"/>
      <c r="J331" s="60"/>
      <c r="K331" s="61"/>
      <c r="L331" s="62"/>
      <c r="M331" s="63"/>
      <c r="N331" s="63"/>
      <c r="O331" s="60"/>
      <c r="P331" s="60"/>
      <c r="Q331" s="63"/>
      <c r="R331" s="63"/>
      <c r="S331" s="60"/>
      <c r="T331" s="61"/>
      <c r="U331" s="63"/>
      <c r="V331" s="64"/>
      <c r="W331" s="65"/>
      <c r="X331" s="65"/>
      <c r="Y331" s="65"/>
      <c r="Z331" s="63"/>
      <c r="AA331" s="48"/>
      <c r="AB331" s="48"/>
      <c r="AC331" s="48"/>
      <c r="AD331" s="48"/>
      <c r="AE331" s="48"/>
    </row>
    <row r="332">
      <c r="A332" s="57"/>
      <c r="B332" s="58"/>
      <c r="C332" s="58"/>
      <c r="D332" s="58"/>
      <c r="E332" s="17"/>
      <c r="F332" s="17"/>
      <c r="G332" s="15"/>
      <c r="H332" s="59"/>
      <c r="I332" s="60"/>
      <c r="J332" s="60"/>
      <c r="K332" s="61"/>
      <c r="L332" s="62"/>
      <c r="M332" s="63"/>
      <c r="N332" s="63"/>
      <c r="O332" s="60"/>
      <c r="P332" s="60"/>
      <c r="Q332" s="63"/>
      <c r="R332" s="63"/>
      <c r="S332" s="60"/>
      <c r="T332" s="61"/>
      <c r="U332" s="63"/>
      <c r="V332" s="64"/>
      <c r="W332" s="65"/>
      <c r="X332" s="65"/>
      <c r="Y332" s="65"/>
      <c r="Z332" s="63"/>
      <c r="AA332" s="48"/>
      <c r="AB332" s="48"/>
      <c r="AC332" s="48"/>
      <c r="AD332" s="48"/>
      <c r="AE332" s="48"/>
    </row>
    <row r="333">
      <c r="A333" s="57"/>
      <c r="B333" s="58"/>
      <c r="C333" s="58"/>
      <c r="D333" s="58"/>
      <c r="E333" s="17"/>
      <c r="F333" s="17"/>
      <c r="G333" s="15"/>
      <c r="H333" s="59"/>
      <c r="I333" s="60"/>
      <c r="J333" s="60"/>
      <c r="K333" s="61"/>
      <c r="L333" s="62"/>
      <c r="M333" s="63"/>
      <c r="N333" s="63"/>
      <c r="O333" s="60"/>
      <c r="P333" s="60"/>
      <c r="Q333" s="63"/>
      <c r="R333" s="63"/>
      <c r="S333" s="60"/>
      <c r="T333" s="61"/>
      <c r="U333" s="63"/>
      <c r="V333" s="64"/>
      <c r="W333" s="65"/>
      <c r="X333" s="65"/>
      <c r="Y333" s="65"/>
      <c r="Z333" s="63"/>
      <c r="AA333" s="48"/>
      <c r="AB333" s="48"/>
      <c r="AC333" s="48"/>
      <c r="AD333" s="48"/>
      <c r="AE333" s="48"/>
    </row>
    <row r="334">
      <c r="A334" s="57"/>
      <c r="B334" s="58"/>
      <c r="C334" s="58"/>
      <c r="D334" s="58"/>
      <c r="E334" s="17"/>
      <c r="F334" s="17"/>
      <c r="G334" s="15"/>
      <c r="H334" s="59"/>
      <c r="I334" s="60"/>
      <c r="J334" s="60"/>
      <c r="K334" s="61"/>
      <c r="L334" s="62"/>
      <c r="M334" s="63"/>
      <c r="N334" s="63"/>
      <c r="O334" s="60"/>
      <c r="P334" s="60"/>
      <c r="Q334" s="63"/>
      <c r="R334" s="63"/>
      <c r="S334" s="60"/>
      <c r="T334" s="61"/>
      <c r="U334" s="63"/>
      <c r="V334" s="64"/>
      <c r="W334" s="65"/>
      <c r="X334" s="65"/>
      <c r="Y334" s="65"/>
      <c r="Z334" s="63"/>
      <c r="AA334" s="48"/>
      <c r="AB334" s="48"/>
      <c r="AC334" s="48"/>
      <c r="AD334" s="48"/>
      <c r="AE334" s="48"/>
    </row>
    <row r="335">
      <c r="A335" s="57"/>
      <c r="B335" s="58"/>
      <c r="C335" s="58"/>
      <c r="D335" s="58"/>
      <c r="E335" s="17"/>
      <c r="F335" s="17"/>
      <c r="G335" s="15"/>
      <c r="H335" s="59"/>
      <c r="I335" s="60"/>
      <c r="J335" s="60"/>
      <c r="K335" s="61"/>
      <c r="L335" s="62"/>
      <c r="M335" s="63"/>
      <c r="N335" s="63"/>
      <c r="O335" s="60"/>
      <c r="P335" s="60"/>
      <c r="Q335" s="63"/>
      <c r="R335" s="63"/>
      <c r="S335" s="60"/>
      <c r="T335" s="61"/>
      <c r="U335" s="63"/>
      <c r="V335" s="64"/>
      <c r="W335" s="65"/>
      <c r="X335" s="65"/>
      <c r="Y335" s="65"/>
      <c r="Z335" s="63"/>
      <c r="AA335" s="48"/>
      <c r="AB335" s="48"/>
      <c r="AC335" s="48"/>
      <c r="AD335" s="48"/>
      <c r="AE335" s="48"/>
    </row>
    <row r="336">
      <c r="A336" s="57"/>
      <c r="B336" s="58"/>
      <c r="C336" s="58"/>
      <c r="D336" s="58"/>
      <c r="E336" s="17"/>
      <c r="F336" s="17"/>
      <c r="G336" s="15"/>
      <c r="H336" s="59"/>
      <c r="I336" s="60"/>
      <c r="J336" s="60"/>
      <c r="K336" s="61"/>
      <c r="L336" s="66"/>
      <c r="M336" s="67"/>
      <c r="N336" s="67"/>
      <c r="O336" s="60"/>
      <c r="P336" s="60"/>
      <c r="Q336" s="67"/>
      <c r="R336" s="67"/>
      <c r="S336" s="60"/>
      <c r="T336" s="61"/>
      <c r="U336" s="67"/>
      <c r="V336" s="68"/>
      <c r="W336" s="69"/>
      <c r="X336" s="69"/>
      <c r="Y336" s="69"/>
      <c r="Z336" s="67"/>
      <c r="AA336" s="48"/>
      <c r="AB336" s="48"/>
      <c r="AC336" s="48"/>
      <c r="AD336" s="48"/>
      <c r="AE336" s="48"/>
    </row>
    <row r="337">
      <c r="A337" s="57"/>
      <c r="B337" s="58"/>
      <c r="C337" s="58"/>
      <c r="D337" s="58"/>
      <c r="E337" s="17"/>
      <c r="F337" s="17"/>
      <c r="G337" s="15"/>
      <c r="H337" s="59"/>
      <c r="I337" s="60"/>
      <c r="J337" s="60"/>
      <c r="K337" s="61"/>
      <c r="L337" s="66"/>
      <c r="M337" s="67"/>
      <c r="N337" s="67"/>
      <c r="O337" s="60"/>
      <c r="P337" s="60"/>
      <c r="Q337" s="67"/>
      <c r="R337" s="67"/>
      <c r="S337" s="60"/>
      <c r="T337" s="61"/>
      <c r="U337" s="67"/>
      <c r="V337" s="68"/>
      <c r="W337" s="69"/>
      <c r="X337" s="69"/>
      <c r="Y337" s="69"/>
      <c r="Z337" s="67"/>
      <c r="AA337" s="17"/>
      <c r="AB337" s="17"/>
      <c r="AC337" s="17"/>
      <c r="AD337" s="17"/>
      <c r="AE337" s="17"/>
    </row>
    <row r="338">
      <c r="A338" s="57"/>
      <c r="B338" s="58"/>
      <c r="C338" s="58"/>
      <c r="D338" s="58"/>
      <c r="E338" s="17"/>
      <c r="F338" s="17"/>
      <c r="G338" s="15"/>
      <c r="H338" s="59"/>
      <c r="I338" s="60"/>
      <c r="J338" s="60"/>
      <c r="K338" s="61"/>
      <c r="L338" s="62"/>
      <c r="M338" s="63"/>
      <c r="N338" s="63"/>
      <c r="O338" s="60"/>
      <c r="P338" s="60"/>
      <c r="Q338" s="63"/>
      <c r="R338" s="63"/>
      <c r="S338" s="60"/>
      <c r="T338" s="61"/>
      <c r="U338" s="63"/>
      <c r="V338" s="64"/>
      <c r="W338" s="65"/>
      <c r="X338" s="65"/>
      <c r="Y338" s="65"/>
      <c r="Z338" s="63"/>
      <c r="AA338" s="48"/>
      <c r="AB338" s="48"/>
      <c r="AC338" s="48"/>
      <c r="AD338" s="48"/>
      <c r="AE338" s="48"/>
    </row>
    <row r="339">
      <c r="A339" s="57"/>
      <c r="B339" s="58"/>
      <c r="C339" s="58"/>
      <c r="D339" s="58"/>
      <c r="E339" s="17"/>
      <c r="F339" s="17"/>
      <c r="G339" s="15"/>
      <c r="H339" s="59"/>
      <c r="I339" s="60"/>
      <c r="J339" s="60"/>
      <c r="K339" s="61"/>
      <c r="L339" s="62"/>
      <c r="M339" s="63"/>
      <c r="N339" s="63"/>
      <c r="O339" s="60"/>
      <c r="P339" s="60"/>
      <c r="Q339" s="63"/>
      <c r="R339" s="63"/>
      <c r="S339" s="60"/>
      <c r="T339" s="61"/>
      <c r="U339" s="63"/>
      <c r="V339" s="64"/>
      <c r="W339" s="65"/>
      <c r="X339" s="65"/>
      <c r="Y339" s="65"/>
      <c r="Z339" s="63"/>
      <c r="AA339" s="48"/>
      <c r="AB339" s="48"/>
      <c r="AC339" s="48"/>
      <c r="AD339" s="48"/>
      <c r="AE339" s="48"/>
    </row>
    <row r="340">
      <c r="A340" s="57"/>
      <c r="B340" s="58"/>
      <c r="C340" s="58"/>
      <c r="D340" s="58"/>
      <c r="E340" s="17"/>
      <c r="F340" s="17"/>
      <c r="G340" s="15"/>
      <c r="H340" s="59"/>
      <c r="I340" s="60"/>
      <c r="J340" s="60"/>
      <c r="K340" s="61"/>
      <c r="L340" s="62"/>
      <c r="M340" s="63"/>
      <c r="N340" s="63"/>
      <c r="O340" s="60"/>
      <c r="P340" s="60"/>
      <c r="Q340" s="63"/>
      <c r="R340" s="63"/>
      <c r="S340" s="60"/>
      <c r="T340" s="61"/>
      <c r="U340" s="63"/>
      <c r="V340" s="64"/>
      <c r="W340" s="65"/>
      <c r="X340" s="65"/>
      <c r="Y340" s="65"/>
      <c r="Z340" s="63"/>
      <c r="AA340" s="48"/>
      <c r="AB340" s="48"/>
      <c r="AC340" s="48"/>
      <c r="AD340" s="48"/>
      <c r="AE340" s="48"/>
    </row>
    <row r="341">
      <c r="A341" s="57"/>
      <c r="B341" s="58"/>
      <c r="C341" s="58"/>
      <c r="D341" s="58"/>
      <c r="E341" s="17"/>
      <c r="F341" s="17"/>
      <c r="G341" s="15"/>
      <c r="H341" s="59"/>
      <c r="I341" s="60"/>
      <c r="J341" s="60"/>
      <c r="K341" s="61"/>
      <c r="L341" s="62"/>
      <c r="M341" s="63"/>
      <c r="N341" s="63"/>
      <c r="O341" s="60"/>
      <c r="P341" s="60"/>
      <c r="Q341" s="63"/>
      <c r="R341" s="63"/>
      <c r="S341" s="60"/>
      <c r="T341" s="61"/>
      <c r="U341" s="63"/>
      <c r="V341" s="64"/>
      <c r="W341" s="65"/>
      <c r="X341" s="65"/>
      <c r="Y341" s="65"/>
      <c r="Z341" s="63"/>
      <c r="AA341" s="48"/>
      <c r="AB341" s="48"/>
      <c r="AC341" s="48"/>
      <c r="AD341" s="48"/>
      <c r="AE341" s="48"/>
    </row>
    <row r="342">
      <c r="A342" s="57"/>
      <c r="B342" s="58"/>
      <c r="C342" s="58"/>
      <c r="D342" s="58"/>
      <c r="E342" s="17"/>
      <c r="F342" s="17"/>
      <c r="G342" s="15"/>
      <c r="H342" s="59"/>
      <c r="I342" s="60"/>
      <c r="J342" s="60"/>
      <c r="K342" s="61"/>
      <c r="L342" s="62"/>
      <c r="M342" s="63"/>
      <c r="N342" s="63"/>
      <c r="O342" s="60"/>
      <c r="P342" s="60"/>
      <c r="Q342" s="63"/>
      <c r="R342" s="63"/>
      <c r="S342" s="60"/>
      <c r="T342" s="61"/>
      <c r="U342" s="63"/>
      <c r="V342" s="64"/>
      <c r="W342" s="65"/>
      <c r="X342" s="65"/>
      <c r="Y342" s="65"/>
      <c r="Z342" s="63"/>
      <c r="AA342" s="48"/>
      <c r="AB342" s="48"/>
      <c r="AC342" s="48"/>
      <c r="AD342" s="48"/>
      <c r="AE342" s="48"/>
    </row>
    <row r="343">
      <c r="A343" s="57"/>
      <c r="B343" s="58"/>
      <c r="C343" s="58"/>
      <c r="D343" s="58"/>
      <c r="E343" s="17"/>
      <c r="F343" s="17"/>
      <c r="G343" s="15"/>
      <c r="H343" s="59"/>
      <c r="I343" s="60"/>
      <c r="J343" s="60"/>
      <c r="K343" s="61"/>
      <c r="L343" s="62"/>
      <c r="M343" s="63"/>
      <c r="N343" s="63"/>
      <c r="O343" s="60"/>
      <c r="P343" s="60"/>
      <c r="Q343" s="63"/>
      <c r="R343" s="63"/>
      <c r="S343" s="60"/>
      <c r="T343" s="61"/>
      <c r="U343" s="63"/>
      <c r="V343" s="64"/>
      <c r="W343" s="65"/>
      <c r="X343" s="65"/>
      <c r="Y343" s="65"/>
      <c r="Z343" s="63"/>
      <c r="AA343" s="48"/>
      <c r="AB343" s="48"/>
      <c r="AC343" s="48"/>
      <c r="AD343" s="48"/>
      <c r="AE343" s="48"/>
    </row>
    <row r="344">
      <c r="A344" s="57"/>
      <c r="B344" s="58"/>
      <c r="C344" s="58"/>
      <c r="D344" s="58"/>
      <c r="E344" s="17"/>
      <c r="F344" s="17"/>
      <c r="G344" s="15"/>
      <c r="H344" s="59"/>
      <c r="I344" s="60"/>
      <c r="J344" s="60"/>
      <c r="K344" s="61"/>
      <c r="L344" s="62"/>
      <c r="M344" s="63"/>
      <c r="N344" s="63"/>
      <c r="O344" s="60"/>
      <c r="P344" s="60"/>
      <c r="Q344" s="63"/>
      <c r="R344" s="63"/>
      <c r="S344" s="60"/>
      <c r="T344" s="61"/>
      <c r="U344" s="63"/>
      <c r="V344" s="64"/>
      <c r="W344" s="65"/>
      <c r="X344" s="65"/>
      <c r="Y344" s="65"/>
      <c r="Z344" s="63"/>
      <c r="AA344" s="48"/>
      <c r="AB344" s="48"/>
      <c r="AC344" s="48"/>
      <c r="AD344" s="48"/>
      <c r="AE344" s="48"/>
    </row>
    <row r="345">
      <c r="A345" s="57"/>
      <c r="B345" s="58"/>
      <c r="C345" s="58"/>
      <c r="D345" s="58"/>
      <c r="E345" s="17"/>
      <c r="F345" s="17"/>
      <c r="G345" s="15"/>
      <c r="H345" s="59"/>
      <c r="I345" s="60"/>
      <c r="J345" s="60"/>
      <c r="K345" s="61"/>
      <c r="L345" s="62"/>
      <c r="M345" s="63"/>
      <c r="N345" s="63"/>
      <c r="O345" s="60"/>
      <c r="P345" s="60"/>
      <c r="Q345" s="63"/>
      <c r="R345" s="63"/>
      <c r="S345" s="60"/>
      <c r="T345" s="61"/>
      <c r="U345" s="63"/>
      <c r="V345" s="64"/>
      <c r="W345" s="65"/>
      <c r="X345" s="65"/>
      <c r="Y345" s="65"/>
      <c r="Z345" s="63"/>
      <c r="AA345" s="48"/>
      <c r="AB345" s="48"/>
      <c r="AC345" s="48"/>
      <c r="AD345" s="48"/>
      <c r="AE345" s="48"/>
    </row>
    <row r="346">
      <c r="A346" s="57"/>
      <c r="B346" s="58"/>
      <c r="C346" s="58"/>
      <c r="D346" s="58"/>
      <c r="E346" s="17"/>
      <c r="F346" s="17"/>
      <c r="G346" s="15"/>
      <c r="H346" s="59"/>
      <c r="I346" s="60"/>
      <c r="J346" s="60"/>
      <c r="K346" s="61"/>
      <c r="L346" s="62"/>
      <c r="M346" s="63"/>
      <c r="N346" s="63"/>
      <c r="O346" s="60"/>
      <c r="P346" s="60"/>
      <c r="Q346" s="63"/>
      <c r="R346" s="63"/>
      <c r="S346" s="60"/>
      <c r="T346" s="61"/>
      <c r="U346" s="63"/>
      <c r="V346" s="64"/>
      <c r="W346" s="65"/>
      <c r="X346" s="65"/>
      <c r="Y346" s="65"/>
      <c r="Z346" s="63"/>
      <c r="AA346" s="48"/>
      <c r="AB346" s="48"/>
      <c r="AC346" s="48"/>
      <c r="AD346" s="48"/>
      <c r="AE346" s="48"/>
    </row>
    <row r="347">
      <c r="A347" s="57"/>
      <c r="B347" s="58"/>
      <c r="C347" s="58"/>
      <c r="D347" s="58"/>
      <c r="E347" s="17"/>
      <c r="F347" s="17"/>
      <c r="G347" s="15"/>
      <c r="H347" s="59"/>
      <c r="I347" s="60"/>
      <c r="J347" s="60"/>
      <c r="K347" s="61"/>
      <c r="L347" s="62"/>
      <c r="M347" s="63"/>
      <c r="N347" s="63"/>
      <c r="O347" s="60"/>
      <c r="P347" s="60"/>
      <c r="Q347" s="63"/>
      <c r="R347" s="63"/>
      <c r="S347" s="60"/>
      <c r="T347" s="61"/>
      <c r="U347" s="63"/>
      <c r="V347" s="64"/>
      <c r="W347" s="65"/>
      <c r="X347" s="65"/>
      <c r="Y347" s="65"/>
      <c r="Z347" s="63"/>
      <c r="AA347" s="48"/>
      <c r="AB347" s="48"/>
      <c r="AC347" s="48"/>
      <c r="AD347" s="48"/>
      <c r="AE347" s="48"/>
    </row>
    <row r="348">
      <c r="A348" s="57"/>
      <c r="B348" s="58"/>
      <c r="C348" s="58"/>
      <c r="D348" s="58"/>
      <c r="E348" s="17"/>
      <c r="F348" s="17"/>
      <c r="G348" s="15"/>
      <c r="H348" s="59"/>
      <c r="I348" s="60"/>
      <c r="J348" s="60"/>
      <c r="K348" s="61"/>
      <c r="L348" s="62"/>
      <c r="M348" s="63"/>
      <c r="N348" s="63"/>
      <c r="O348" s="60"/>
      <c r="P348" s="60"/>
      <c r="Q348" s="63"/>
      <c r="R348" s="63"/>
      <c r="S348" s="60"/>
      <c r="T348" s="61"/>
      <c r="U348" s="63"/>
      <c r="V348" s="64"/>
      <c r="W348" s="65"/>
      <c r="X348" s="65"/>
      <c r="Y348" s="65"/>
      <c r="Z348" s="63"/>
      <c r="AA348" s="17"/>
      <c r="AB348" s="17"/>
      <c r="AC348" s="17"/>
      <c r="AD348" s="17"/>
      <c r="AE348" s="17"/>
    </row>
    <row r="349">
      <c r="A349" s="57"/>
      <c r="B349" s="58"/>
      <c r="C349" s="58"/>
      <c r="D349" s="58"/>
      <c r="E349" s="17"/>
      <c r="F349" s="17"/>
      <c r="G349" s="15"/>
      <c r="H349" s="59"/>
      <c r="I349" s="60"/>
      <c r="J349" s="60"/>
      <c r="K349" s="61"/>
      <c r="L349" s="62"/>
      <c r="M349" s="63"/>
      <c r="N349" s="63"/>
      <c r="O349" s="60"/>
      <c r="P349" s="60"/>
      <c r="Q349" s="63"/>
      <c r="R349" s="63"/>
      <c r="S349" s="60"/>
      <c r="T349" s="61"/>
      <c r="U349" s="63"/>
      <c r="V349" s="64"/>
      <c r="W349" s="65"/>
      <c r="X349" s="65"/>
      <c r="Y349" s="65"/>
      <c r="Z349" s="63"/>
      <c r="AA349" s="48"/>
      <c r="AB349" s="48"/>
      <c r="AC349" s="48"/>
      <c r="AD349" s="48"/>
      <c r="AE349" s="48"/>
    </row>
    <row r="350">
      <c r="A350" s="57"/>
      <c r="B350" s="58"/>
      <c r="C350" s="58"/>
      <c r="D350" s="58"/>
      <c r="E350" s="17"/>
      <c r="F350" s="17"/>
      <c r="G350" s="15"/>
      <c r="H350" s="59"/>
      <c r="I350" s="60"/>
      <c r="J350" s="60"/>
      <c r="K350" s="61"/>
      <c r="L350" s="62"/>
      <c r="M350" s="63"/>
      <c r="N350" s="63"/>
      <c r="O350" s="60"/>
      <c r="P350" s="60"/>
      <c r="Q350" s="63"/>
      <c r="R350" s="63"/>
      <c r="S350" s="60"/>
      <c r="T350" s="61"/>
      <c r="U350" s="63"/>
      <c r="V350" s="64"/>
      <c r="W350" s="65"/>
      <c r="X350" s="65"/>
      <c r="Y350" s="65"/>
      <c r="Z350" s="63"/>
      <c r="AA350" s="48"/>
      <c r="AB350" s="48"/>
      <c r="AC350" s="48"/>
      <c r="AD350" s="48"/>
      <c r="AE350" s="48"/>
    </row>
    <row r="351">
      <c r="A351" s="57"/>
      <c r="B351" s="58"/>
      <c r="C351" s="58"/>
      <c r="D351" s="58"/>
      <c r="E351" s="17"/>
      <c r="F351" s="17"/>
      <c r="G351" s="15"/>
      <c r="H351" s="59"/>
      <c r="I351" s="60"/>
      <c r="J351" s="60"/>
      <c r="K351" s="61"/>
      <c r="L351" s="66"/>
      <c r="M351" s="67"/>
      <c r="N351" s="67"/>
      <c r="O351" s="60"/>
      <c r="P351" s="60"/>
      <c r="Q351" s="67"/>
      <c r="R351" s="67"/>
      <c r="S351" s="60"/>
      <c r="T351" s="61"/>
      <c r="U351" s="67"/>
      <c r="V351" s="68"/>
      <c r="W351" s="69"/>
      <c r="X351" s="69"/>
      <c r="Y351" s="69"/>
      <c r="Z351" s="67"/>
      <c r="AA351" s="48"/>
      <c r="AB351" s="48"/>
      <c r="AC351" s="48"/>
      <c r="AD351" s="48"/>
      <c r="AE351" s="48"/>
    </row>
    <row r="352">
      <c r="A352" s="57"/>
      <c r="B352" s="58"/>
      <c r="C352" s="58"/>
      <c r="D352" s="58"/>
      <c r="E352" s="17"/>
      <c r="F352" s="17"/>
      <c r="G352" s="15"/>
      <c r="H352" s="59"/>
      <c r="I352" s="60"/>
      <c r="J352" s="60"/>
      <c r="K352" s="61"/>
      <c r="L352" s="62"/>
      <c r="M352" s="63"/>
      <c r="N352" s="63"/>
      <c r="O352" s="60"/>
      <c r="P352" s="60"/>
      <c r="Q352" s="63"/>
      <c r="R352" s="63"/>
      <c r="S352" s="60"/>
      <c r="T352" s="61"/>
      <c r="U352" s="63"/>
      <c r="V352" s="64"/>
      <c r="W352" s="65"/>
      <c r="X352" s="65"/>
      <c r="Y352" s="65"/>
      <c r="Z352" s="63"/>
      <c r="AA352" s="48"/>
      <c r="AB352" s="48"/>
      <c r="AC352" s="48"/>
      <c r="AD352" s="48"/>
      <c r="AE352" s="48"/>
    </row>
    <row r="353">
      <c r="A353" s="70"/>
      <c r="B353" s="58"/>
      <c r="C353" s="58"/>
      <c r="D353" s="58"/>
      <c r="E353" s="17"/>
      <c r="F353" s="17"/>
      <c r="G353" s="15"/>
      <c r="H353" s="59"/>
      <c r="I353" s="60"/>
      <c r="J353" s="60"/>
      <c r="K353" s="61"/>
      <c r="L353" s="66"/>
      <c r="M353" s="67"/>
      <c r="N353" s="67"/>
      <c r="O353" s="60"/>
      <c r="P353" s="60"/>
      <c r="Q353" s="67"/>
      <c r="R353" s="67"/>
      <c r="S353" s="60"/>
      <c r="T353" s="61"/>
      <c r="U353" s="67"/>
      <c r="V353" s="68"/>
      <c r="W353" s="69"/>
      <c r="X353" s="69"/>
      <c r="Y353" s="69"/>
      <c r="Z353" s="67"/>
      <c r="AA353" s="17"/>
      <c r="AB353" s="17"/>
      <c r="AC353" s="17"/>
      <c r="AD353" s="17"/>
      <c r="AE353" s="17"/>
    </row>
    <row r="354">
      <c r="A354" s="57"/>
      <c r="B354" s="58"/>
      <c r="C354" s="58"/>
      <c r="D354" s="58"/>
      <c r="E354" s="17"/>
      <c r="F354" s="17"/>
      <c r="G354" s="15"/>
      <c r="H354" s="59"/>
      <c r="I354" s="60"/>
      <c r="J354" s="60"/>
      <c r="K354" s="61"/>
      <c r="L354" s="66"/>
      <c r="M354" s="67"/>
      <c r="N354" s="67"/>
      <c r="O354" s="60"/>
      <c r="P354" s="60"/>
      <c r="Q354" s="67"/>
      <c r="R354" s="67"/>
      <c r="S354" s="60"/>
      <c r="T354" s="61"/>
      <c r="U354" s="67"/>
      <c r="V354" s="68"/>
      <c r="W354" s="69"/>
      <c r="X354" s="69"/>
      <c r="Y354" s="69"/>
      <c r="Z354" s="67"/>
      <c r="AA354" s="48"/>
      <c r="AB354" s="48"/>
      <c r="AC354" s="48"/>
      <c r="AD354" s="48"/>
      <c r="AE354" s="48"/>
    </row>
    <row r="355">
      <c r="A355" s="57"/>
      <c r="B355" s="58"/>
      <c r="C355" s="58"/>
      <c r="D355" s="58"/>
      <c r="E355" s="17"/>
      <c r="F355" s="17"/>
      <c r="G355" s="15"/>
      <c r="H355" s="59"/>
      <c r="I355" s="60"/>
      <c r="J355" s="60"/>
      <c r="K355" s="61"/>
      <c r="L355" s="62"/>
      <c r="M355" s="63"/>
      <c r="N355" s="63"/>
      <c r="O355" s="60"/>
      <c r="P355" s="60"/>
      <c r="Q355" s="63"/>
      <c r="R355" s="63"/>
      <c r="S355" s="60"/>
      <c r="T355" s="61"/>
      <c r="U355" s="63"/>
      <c r="V355" s="64"/>
      <c r="W355" s="65"/>
      <c r="X355" s="65"/>
      <c r="Y355" s="65"/>
      <c r="Z355" s="63"/>
      <c r="AA355" s="48"/>
      <c r="AB355" s="48"/>
      <c r="AC355" s="48"/>
      <c r="AD355" s="48"/>
      <c r="AE355" s="48"/>
    </row>
    <row r="356">
      <c r="A356" s="57"/>
      <c r="B356" s="58"/>
      <c r="C356" s="58"/>
      <c r="D356" s="58"/>
      <c r="E356" s="17"/>
      <c r="F356" s="17"/>
      <c r="G356" s="15"/>
      <c r="H356" s="59"/>
      <c r="I356" s="60"/>
      <c r="J356" s="60"/>
      <c r="K356" s="61"/>
      <c r="L356" s="62"/>
      <c r="M356" s="63"/>
      <c r="N356" s="63"/>
      <c r="O356" s="60"/>
      <c r="P356" s="60"/>
      <c r="Q356" s="63"/>
      <c r="R356" s="63"/>
      <c r="S356" s="60"/>
      <c r="T356" s="61"/>
      <c r="U356" s="63"/>
      <c r="V356" s="64"/>
      <c r="W356" s="65"/>
      <c r="X356" s="65"/>
      <c r="Y356" s="65"/>
      <c r="Z356" s="63"/>
      <c r="AA356" s="48"/>
      <c r="AB356" s="48"/>
      <c r="AC356" s="48"/>
      <c r="AD356" s="48"/>
      <c r="AE356" s="48"/>
    </row>
    <row r="357">
      <c r="A357" s="57"/>
      <c r="B357" s="58"/>
      <c r="C357" s="58"/>
      <c r="D357" s="58"/>
      <c r="E357" s="17"/>
      <c r="F357" s="17"/>
      <c r="G357" s="15"/>
      <c r="H357" s="59"/>
      <c r="I357" s="60"/>
      <c r="J357" s="60"/>
      <c r="K357" s="61"/>
      <c r="L357" s="62"/>
      <c r="M357" s="63"/>
      <c r="N357" s="63"/>
      <c r="O357" s="60"/>
      <c r="P357" s="60"/>
      <c r="Q357" s="63"/>
      <c r="R357" s="63"/>
      <c r="S357" s="60"/>
      <c r="T357" s="61"/>
      <c r="U357" s="63"/>
      <c r="V357" s="64"/>
      <c r="W357" s="65"/>
      <c r="X357" s="65"/>
      <c r="Y357" s="65"/>
      <c r="Z357" s="63"/>
      <c r="AA357" s="48"/>
      <c r="AB357" s="48"/>
      <c r="AC357" s="48"/>
      <c r="AD357" s="48"/>
      <c r="AE357" s="48"/>
    </row>
    <row r="358">
      <c r="A358" s="57"/>
      <c r="B358" s="58"/>
      <c r="C358" s="58"/>
      <c r="D358" s="58"/>
      <c r="E358" s="17"/>
      <c r="F358" s="17"/>
      <c r="G358" s="15"/>
      <c r="H358" s="59"/>
      <c r="I358" s="60"/>
      <c r="J358" s="60"/>
      <c r="K358" s="61"/>
      <c r="L358" s="66"/>
      <c r="M358" s="67"/>
      <c r="N358" s="67"/>
      <c r="O358" s="60"/>
      <c r="P358" s="60"/>
      <c r="Q358" s="67"/>
      <c r="R358" s="67"/>
      <c r="S358" s="60"/>
      <c r="T358" s="61"/>
      <c r="U358" s="67"/>
      <c r="V358" s="68"/>
      <c r="W358" s="69"/>
      <c r="X358" s="69"/>
      <c r="Y358" s="69"/>
      <c r="Z358" s="67"/>
      <c r="AA358" s="48"/>
      <c r="AB358" s="48"/>
      <c r="AC358" s="48"/>
      <c r="AD358" s="48"/>
      <c r="AE358" s="48"/>
    </row>
    <row r="359">
      <c r="A359" s="57"/>
      <c r="B359" s="58"/>
      <c r="C359" s="58"/>
      <c r="D359" s="58"/>
      <c r="E359" s="17"/>
      <c r="F359" s="17"/>
      <c r="G359" s="15"/>
      <c r="H359" s="59"/>
      <c r="I359" s="60"/>
      <c r="J359" s="60"/>
      <c r="K359" s="61"/>
      <c r="L359" s="66"/>
      <c r="M359" s="67"/>
      <c r="N359" s="67"/>
      <c r="O359" s="60"/>
      <c r="P359" s="60"/>
      <c r="Q359" s="67"/>
      <c r="R359" s="67"/>
      <c r="S359" s="60"/>
      <c r="T359" s="61"/>
      <c r="U359" s="67"/>
      <c r="V359" s="68"/>
      <c r="W359" s="69"/>
      <c r="X359" s="69"/>
      <c r="Y359" s="69"/>
      <c r="Z359" s="67"/>
      <c r="AA359" s="48"/>
      <c r="AB359" s="48"/>
      <c r="AC359" s="48"/>
      <c r="AD359" s="48"/>
      <c r="AE359" s="48"/>
    </row>
    <row r="360">
      <c r="A360" s="57"/>
      <c r="B360" s="58"/>
      <c r="C360" s="58"/>
      <c r="D360" s="58"/>
      <c r="E360" s="17"/>
      <c r="F360" s="17"/>
      <c r="G360" s="15"/>
      <c r="H360" s="59"/>
      <c r="I360" s="60"/>
      <c r="J360" s="60"/>
      <c r="K360" s="61"/>
      <c r="L360" s="66"/>
      <c r="M360" s="67"/>
      <c r="N360" s="67"/>
      <c r="O360" s="60"/>
      <c r="P360" s="60"/>
      <c r="Q360" s="67"/>
      <c r="R360" s="67"/>
      <c r="S360" s="60"/>
      <c r="T360" s="61"/>
      <c r="U360" s="67"/>
      <c r="V360" s="68"/>
      <c r="W360" s="69"/>
      <c r="X360" s="69"/>
      <c r="Y360" s="69"/>
      <c r="Z360" s="67"/>
      <c r="AA360" s="17"/>
      <c r="AB360" s="17"/>
      <c r="AC360" s="17"/>
      <c r="AD360" s="17"/>
      <c r="AE360" s="17"/>
    </row>
    <row r="361">
      <c r="A361" s="57"/>
      <c r="B361" s="58"/>
      <c r="C361" s="58"/>
      <c r="D361" s="58"/>
      <c r="E361" s="17"/>
      <c r="F361" s="17"/>
      <c r="G361" s="15"/>
      <c r="H361" s="59"/>
      <c r="I361" s="60"/>
      <c r="J361" s="60"/>
      <c r="K361" s="61"/>
      <c r="L361" s="62"/>
      <c r="M361" s="63"/>
      <c r="N361" s="63"/>
      <c r="O361" s="60"/>
      <c r="P361" s="60"/>
      <c r="Q361" s="63"/>
      <c r="R361" s="63"/>
      <c r="S361" s="60"/>
      <c r="T361" s="61"/>
      <c r="U361" s="63"/>
      <c r="V361" s="64"/>
      <c r="W361" s="65"/>
      <c r="X361" s="65"/>
      <c r="Y361" s="65"/>
      <c r="Z361" s="63"/>
      <c r="AA361" s="48"/>
      <c r="AB361" s="48"/>
      <c r="AC361" s="48"/>
      <c r="AD361" s="48"/>
      <c r="AE361" s="48"/>
    </row>
    <row r="362">
      <c r="A362" s="57"/>
      <c r="B362" s="58"/>
      <c r="C362" s="58"/>
      <c r="D362" s="58"/>
      <c r="E362" s="17"/>
      <c r="F362" s="17"/>
      <c r="G362" s="15"/>
      <c r="H362" s="59"/>
      <c r="I362" s="60"/>
      <c r="J362" s="60"/>
      <c r="K362" s="61"/>
      <c r="L362" s="62"/>
      <c r="M362" s="63"/>
      <c r="N362" s="63"/>
      <c r="O362" s="60"/>
      <c r="P362" s="60"/>
      <c r="Q362" s="63"/>
      <c r="R362" s="63"/>
      <c r="S362" s="60"/>
      <c r="T362" s="61"/>
      <c r="U362" s="63"/>
      <c r="V362" s="64"/>
      <c r="W362" s="65"/>
      <c r="X362" s="65"/>
      <c r="Y362" s="65"/>
      <c r="Z362" s="63"/>
      <c r="AA362" s="48"/>
      <c r="AB362" s="48"/>
      <c r="AC362" s="48"/>
      <c r="AD362" s="48"/>
      <c r="AE362" s="48"/>
    </row>
    <row r="363">
      <c r="A363" s="57"/>
      <c r="B363" s="58"/>
      <c r="C363" s="58"/>
      <c r="D363" s="58"/>
      <c r="E363" s="17"/>
      <c r="F363" s="17"/>
      <c r="G363" s="15"/>
      <c r="H363" s="59"/>
      <c r="I363" s="60"/>
      <c r="J363" s="60"/>
      <c r="K363" s="61"/>
      <c r="L363" s="62"/>
      <c r="M363" s="63"/>
      <c r="N363" s="63"/>
      <c r="O363" s="60"/>
      <c r="P363" s="60"/>
      <c r="Q363" s="63"/>
      <c r="R363" s="63"/>
      <c r="S363" s="60"/>
      <c r="T363" s="61"/>
      <c r="U363" s="63"/>
      <c r="V363" s="64"/>
      <c r="W363" s="65"/>
      <c r="X363" s="65"/>
      <c r="Y363" s="65"/>
      <c r="Z363" s="63"/>
      <c r="AA363" s="48"/>
      <c r="AB363" s="48"/>
      <c r="AC363" s="48"/>
      <c r="AD363" s="48"/>
      <c r="AE363" s="48"/>
    </row>
    <row r="364">
      <c r="A364" s="57"/>
      <c r="B364" s="58"/>
      <c r="C364" s="58"/>
      <c r="D364" s="58"/>
      <c r="E364" s="17"/>
      <c r="F364" s="17"/>
      <c r="G364" s="15"/>
      <c r="H364" s="59"/>
      <c r="I364" s="60"/>
      <c r="J364" s="60"/>
      <c r="K364" s="61"/>
      <c r="L364" s="62"/>
      <c r="M364" s="63"/>
      <c r="N364" s="63"/>
      <c r="O364" s="60"/>
      <c r="P364" s="60"/>
      <c r="Q364" s="63"/>
      <c r="R364" s="63"/>
      <c r="S364" s="60"/>
      <c r="T364" s="61"/>
      <c r="U364" s="63"/>
      <c r="V364" s="64"/>
      <c r="W364" s="65"/>
      <c r="X364" s="65"/>
      <c r="Y364" s="65"/>
      <c r="Z364" s="63"/>
      <c r="AA364" s="48"/>
      <c r="AB364" s="48"/>
      <c r="AC364" s="48"/>
      <c r="AD364" s="48"/>
      <c r="AE364" s="48"/>
    </row>
    <row r="365">
      <c r="A365" s="57"/>
      <c r="B365" s="58"/>
      <c r="C365" s="58"/>
      <c r="D365" s="58"/>
      <c r="E365" s="17"/>
      <c r="F365" s="17"/>
      <c r="G365" s="15"/>
      <c r="H365" s="59"/>
      <c r="I365" s="60"/>
      <c r="J365" s="60"/>
      <c r="K365" s="61"/>
      <c r="L365" s="62"/>
      <c r="M365" s="63"/>
      <c r="N365" s="63"/>
      <c r="O365" s="60"/>
      <c r="P365" s="60"/>
      <c r="Q365" s="63"/>
      <c r="R365" s="63"/>
      <c r="S365" s="60"/>
      <c r="T365" s="61"/>
      <c r="U365" s="63"/>
      <c r="V365" s="64"/>
      <c r="W365" s="65"/>
      <c r="X365" s="65"/>
      <c r="Y365" s="65"/>
      <c r="Z365" s="63"/>
      <c r="AA365" s="48"/>
      <c r="AB365" s="48"/>
      <c r="AC365" s="48"/>
      <c r="AD365" s="48"/>
      <c r="AE365" s="48"/>
    </row>
    <row r="366">
      <c r="A366" s="57"/>
      <c r="B366" s="58"/>
      <c r="C366" s="58"/>
      <c r="D366" s="58"/>
      <c r="E366" s="17"/>
      <c r="F366" s="17"/>
      <c r="G366" s="15"/>
      <c r="H366" s="59"/>
      <c r="I366" s="60"/>
      <c r="J366" s="60"/>
      <c r="K366" s="61"/>
      <c r="L366" s="62"/>
      <c r="M366" s="63"/>
      <c r="N366" s="63"/>
      <c r="O366" s="60"/>
      <c r="P366" s="60"/>
      <c r="Q366" s="63"/>
      <c r="R366" s="63"/>
      <c r="S366" s="60"/>
      <c r="T366" s="61"/>
      <c r="U366" s="63"/>
      <c r="V366" s="64"/>
      <c r="W366" s="65"/>
      <c r="X366" s="65"/>
      <c r="Y366" s="65"/>
      <c r="Z366" s="63"/>
      <c r="AA366" s="48"/>
      <c r="AB366" s="48"/>
      <c r="AC366" s="48"/>
      <c r="AD366" s="48"/>
      <c r="AE366" s="48"/>
    </row>
    <row r="367">
      <c r="A367" s="57"/>
      <c r="B367" s="58"/>
      <c r="C367" s="58"/>
      <c r="D367" s="58"/>
      <c r="E367" s="17"/>
      <c r="F367" s="17"/>
      <c r="G367" s="15"/>
      <c r="H367" s="59"/>
      <c r="I367" s="60"/>
      <c r="J367" s="60"/>
      <c r="K367" s="61"/>
      <c r="L367" s="66"/>
      <c r="M367" s="67"/>
      <c r="N367" s="67"/>
      <c r="O367" s="60"/>
      <c r="P367" s="60"/>
      <c r="Q367" s="67"/>
      <c r="R367" s="67"/>
      <c r="S367" s="60"/>
      <c r="T367" s="61"/>
      <c r="U367" s="67"/>
      <c r="V367" s="68"/>
      <c r="W367" s="69"/>
      <c r="X367" s="69"/>
      <c r="Y367" s="69"/>
      <c r="Z367" s="67"/>
      <c r="AA367" s="48"/>
      <c r="AB367" s="48"/>
      <c r="AC367" s="48"/>
      <c r="AD367" s="48"/>
      <c r="AE367" s="48"/>
    </row>
    <row r="368">
      <c r="A368" s="57"/>
      <c r="B368" s="58"/>
      <c r="C368" s="58"/>
      <c r="D368" s="58"/>
      <c r="E368" s="17"/>
      <c r="F368" s="17"/>
      <c r="G368" s="15"/>
      <c r="H368" s="59"/>
      <c r="I368" s="60"/>
      <c r="J368" s="60"/>
      <c r="K368" s="61"/>
      <c r="L368" s="62"/>
      <c r="M368" s="63"/>
      <c r="N368" s="63"/>
      <c r="O368" s="60"/>
      <c r="P368" s="60"/>
      <c r="Q368" s="63"/>
      <c r="R368" s="63"/>
      <c r="S368" s="60"/>
      <c r="T368" s="61"/>
      <c r="U368" s="63"/>
      <c r="V368" s="64"/>
      <c r="W368" s="65"/>
      <c r="X368" s="65"/>
      <c r="Y368" s="65"/>
      <c r="Z368" s="63"/>
      <c r="AA368" s="48"/>
      <c r="AB368" s="48"/>
      <c r="AC368" s="48"/>
      <c r="AD368" s="48"/>
      <c r="AE368" s="48"/>
    </row>
    <row r="369">
      <c r="A369" s="57"/>
      <c r="B369" s="58"/>
      <c r="C369" s="58"/>
      <c r="D369" s="58"/>
      <c r="E369" s="17"/>
      <c r="F369" s="17"/>
      <c r="G369" s="15"/>
      <c r="H369" s="59"/>
      <c r="I369" s="60"/>
      <c r="J369" s="60"/>
      <c r="K369" s="61"/>
      <c r="L369" s="62"/>
      <c r="M369" s="63"/>
      <c r="N369" s="63"/>
      <c r="O369" s="60"/>
      <c r="P369" s="60"/>
      <c r="Q369" s="63"/>
      <c r="R369" s="63"/>
      <c r="S369" s="60"/>
      <c r="T369" s="61"/>
      <c r="U369" s="63"/>
      <c r="V369" s="64"/>
      <c r="W369" s="65"/>
      <c r="X369" s="65"/>
      <c r="Y369" s="65"/>
      <c r="Z369" s="63"/>
      <c r="AA369" s="17"/>
      <c r="AB369" s="17"/>
      <c r="AC369" s="17"/>
      <c r="AD369" s="17"/>
      <c r="AE369" s="17"/>
    </row>
    <row r="370">
      <c r="A370" s="57"/>
      <c r="B370" s="58"/>
      <c r="C370" s="58"/>
      <c r="D370" s="58"/>
      <c r="E370" s="17"/>
      <c r="F370" s="17"/>
      <c r="G370" s="15"/>
      <c r="H370" s="59"/>
      <c r="I370" s="60"/>
      <c r="J370" s="60"/>
      <c r="K370" s="61"/>
      <c r="L370" s="62"/>
      <c r="M370" s="63"/>
      <c r="N370" s="63"/>
      <c r="O370" s="60"/>
      <c r="P370" s="60"/>
      <c r="Q370" s="63"/>
      <c r="R370" s="63"/>
      <c r="S370" s="60"/>
      <c r="T370" s="61"/>
      <c r="U370" s="63"/>
      <c r="V370" s="64"/>
      <c r="W370" s="65"/>
      <c r="X370" s="65"/>
      <c r="Y370" s="65"/>
      <c r="Z370" s="63"/>
      <c r="AA370" s="48"/>
      <c r="AB370" s="48"/>
      <c r="AC370" s="48"/>
      <c r="AD370" s="48"/>
      <c r="AE370" s="48"/>
    </row>
    <row r="371">
      <c r="A371" s="57"/>
      <c r="B371" s="58"/>
      <c r="C371" s="58"/>
      <c r="D371" s="58"/>
      <c r="E371" s="17"/>
      <c r="F371" s="17"/>
      <c r="G371" s="15"/>
      <c r="H371" s="59"/>
      <c r="I371" s="60"/>
      <c r="J371" s="60"/>
      <c r="K371" s="61"/>
      <c r="L371" s="62"/>
      <c r="M371" s="63"/>
      <c r="N371" s="63"/>
      <c r="O371" s="60"/>
      <c r="P371" s="60"/>
      <c r="Q371" s="63"/>
      <c r="R371" s="63"/>
      <c r="S371" s="60"/>
      <c r="T371" s="61"/>
      <c r="U371" s="63"/>
      <c r="V371" s="64"/>
      <c r="W371" s="65"/>
      <c r="X371" s="65"/>
      <c r="Y371" s="65"/>
      <c r="Z371" s="63"/>
      <c r="AA371" s="48"/>
      <c r="AB371" s="48"/>
      <c r="AC371" s="48"/>
      <c r="AD371" s="48"/>
      <c r="AE371" s="48"/>
    </row>
    <row r="372">
      <c r="A372" s="57"/>
      <c r="B372" s="58"/>
      <c r="C372" s="58"/>
      <c r="D372" s="58"/>
      <c r="E372" s="17"/>
      <c r="F372" s="17"/>
      <c r="G372" s="15"/>
      <c r="H372" s="59"/>
      <c r="I372" s="60"/>
      <c r="J372" s="60"/>
      <c r="K372" s="61"/>
      <c r="L372" s="62"/>
      <c r="M372" s="63"/>
      <c r="N372" s="63"/>
      <c r="O372" s="60"/>
      <c r="P372" s="60"/>
      <c r="Q372" s="63"/>
      <c r="R372" s="63"/>
      <c r="S372" s="60"/>
      <c r="T372" s="61"/>
      <c r="U372" s="63"/>
      <c r="V372" s="64"/>
      <c r="W372" s="65"/>
      <c r="X372" s="65"/>
      <c r="Y372" s="65"/>
      <c r="Z372" s="63"/>
      <c r="AA372" s="48"/>
      <c r="AB372" s="48"/>
      <c r="AC372" s="48"/>
      <c r="AD372" s="48"/>
      <c r="AE372" s="48"/>
    </row>
    <row r="373">
      <c r="A373" s="57"/>
      <c r="B373" s="58"/>
      <c r="C373" s="58"/>
      <c r="D373" s="58"/>
      <c r="E373" s="17"/>
      <c r="F373" s="17"/>
      <c r="G373" s="15"/>
      <c r="H373" s="59"/>
      <c r="I373" s="60"/>
      <c r="J373" s="60"/>
      <c r="K373" s="61"/>
      <c r="L373" s="62"/>
      <c r="M373" s="63"/>
      <c r="N373" s="63"/>
      <c r="O373" s="60"/>
      <c r="P373" s="60"/>
      <c r="Q373" s="63"/>
      <c r="R373" s="63"/>
      <c r="S373" s="60"/>
      <c r="T373" s="61"/>
      <c r="U373" s="63"/>
      <c r="V373" s="64"/>
      <c r="W373" s="65"/>
      <c r="X373" s="65"/>
      <c r="Y373" s="65"/>
      <c r="Z373" s="63"/>
      <c r="AA373" s="48"/>
      <c r="AB373" s="48"/>
      <c r="AC373" s="48"/>
      <c r="AD373" s="48"/>
      <c r="AE373" s="48"/>
    </row>
    <row r="374">
      <c r="A374" s="57"/>
      <c r="B374" s="58"/>
      <c r="C374" s="58"/>
      <c r="D374" s="58"/>
      <c r="E374" s="17"/>
      <c r="F374" s="17"/>
      <c r="G374" s="15"/>
      <c r="H374" s="59"/>
      <c r="I374" s="60"/>
      <c r="J374" s="60"/>
      <c r="K374" s="61"/>
      <c r="L374" s="66"/>
      <c r="M374" s="67"/>
      <c r="N374" s="67"/>
      <c r="O374" s="60"/>
      <c r="P374" s="60"/>
      <c r="Q374" s="67"/>
      <c r="R374" s="67"/>
      <c r="S374" s="60"/>
      <c r="T374" s="61"/>
      <c r="U374" s="67"/>
      <c r="V374" s="68"/>
      <c r="W374" s="69"/>
      <c r="X374" s="69"/>
      <c r="Y374" s="69"/>
      <c r="Z374" s="67"/>
      <c r="AA374" s="48"/>
      <c r="AB374" s="48"/>
      <c r="AC374" s="48"/>
      <c r="AD374" s="48"/>
      <c r="AE374" s="48"/>
    </row>
    <row r="375">
      <c r="A375" s="57"/>
      <c r="B375" s="58"/>
      <c r="C375" s="58"/>
      <c r="D375" s="58"/>
      <c r="E375" s="17"/>
      <c r="F375" s="17"/>
      <c r="G375" s="15"/>
      <c r="H375" s="59"/>
      <c r="I375" s="60"/>
      <c r="J375" s="60"/>
      <c r="K375" s="61"/>
      <c r="L375" s="62"/>
      <c r="M375" s="63"/>
      <c r="N375" s="63"/>
      <c r="O375" s="60"/>
      <c r="P375" s="60"/>
      <c r="Q375" s="63"/>
      <c r="R375" s="63"/>
      <c r="S375" s="60"/>
      <c r="T375" s="61"/>
      <c r="U375" s="63"/>
      <c r="V375" s="64"/>
      <c r="W375" s="65"/>
      <c r="X375" s="65"/>
      <c r="Y375" s="65"/>
      <c r="Z375" s="63"/>
      <c r="AA375" s="48"/>
      <c r="AB375" s="48"/>
      <c r="AC375" s="48"/>
      <c r="AD375" s="48"/>
      <c r="AE375" s="48"/>
    </row>
    <row r="376">
      <c r="A376" s="57"/>
      <c r="B376" s="58"/>
      <c r="C376" s="58"/>
      <c r="D376" s="58"/>
      <c r="E376" s="17"/>
      <c r="F376" s="17"/>
      <c r="G376" s="15"/>
      <c r="H376" s="59"/>
      <c r="I376" s="60"/>
      <c r="J376" s="60"/>
      <c r="K376" s="61"/>
      <c r="L376" s="66"/>
      <c r="M376" s="67"/>
      <c r="N376" s="67"/>
      <c r="O376" s="60"/>
      <c r="P376" s="60"/>
      <c r="Q376" s="67"/>
      <c r="R376" s="67"/>
      <c r="S376" s="60"/>
      <c r="T376" s="61"/>
      <c r="U376" s="67"/>
      <c r="V376" s="68"/>
      <c r="W376" s="69"/>
      <c r="X376" s="69"/>
      <c r="Y376" s="69"/>
      <c r="Z376" s="67"/>
      <c r="AA376" s="48"/>
      <c r="AB376" s="48"/>
      <c r="AC376" s="48"/>
      <c r="AD376" s="48"/>
      <c r="AE376" s="48"/>
    </row>
    <row r="377">
      <c r="A377" s="57"/>
      <c r="B377" s="58"/>
      <c r="C377" s="58"/>
      <c r="D377" s="58"/>
      <c r="E377" s="17"/>
      <c r="F377" s="17"/>
      <c r="G377" s="15"/>
      <c r="H377" s="59"/>
      <c r="I377" s="60"/>
      <c r="J377" s="60"/>
      <c r="K377" s="61"/>
      <c r="L377" s="66"/>
      <c r="M377" s="67"/>
      <c r="N377" s="67"/>
      <c r="O377" s="60"/>
      <c r="P377" s="60"/>
      <c r="Q377" s="67"/>
      <c r="R377" s="67"/>
      <c r="S377" s="60"/>
      <c r="T377" s="61"/>
      <c r="U377" s="67"/>
      <c r="V377" s="68"/>
      <c r="W377" s="69"/>
      <c r="X377" s="69"/>
      <c r="Y377" s="69"/>
      <c r="Z377" s="67"/>
      <c r="AA377" s="48"/>
      <c r="AB377" s="48"/>
      <c r="AC377" s="48"/>
      <c r="AD377" s="48"/>
      <c r="AE377" s="48"/>
    </row>
    <row r="378">
      <c r="A378" s="57"/>
      <c r="B378" s="58"/>
      <c r="C378" s="58"/>
      <c r="D378" s="58"/>
      <c r="E378" s="17"/>
      <c r="F378" s="17"/>
      <c r="G378" s="15"/>
      <c r="H378" s="59"/>
      <c r="I378" s="60"/>
      <c r="J378" s="60"/>
      <c r="K378" s="61"/>
      <c r="L378" s="62"/>
      <c r="M378" s="63"/>
      <c r="N378" s="63"/>
      <c r="O378" s="60"/>
      <c r="P378" s="60"/>
      <c r="Q378" s="63"/>
      <c r="R378" s="63"/>
      <c r="S378" s="60"/>
      <c r="T378" s="61"/>
      <c r="U378" s="63"/>
      <c r="V378" s="64"/>
      <c r="W378" s="65"/>
      <c r="X378" s="65"/>
      <c r="Y378" s="65"/>
      <c r="Z378" s="63"/>
      <c r="AA378" s="48"/>
      <c r="AB378" s="48"/>
      <c r="AC378" s="48"/>
      <c r="AD378" s="48"/>
      <c r="AE378" s="48"/>
    </row>
    <row r="379">
      <c r="A379" s="57"/>
      <c r="B379" s="58"/>
      <c r="C379" s="58"/>
      <c r="D379" s="58"/>
      <c r="E379" s="17"/>
      <c r="F379" s="17"/>
      <c r="G379" s="15"/>
      <c r="H379" s="59"/>
      <c r="I379" s="60"/>
      <c r="J379" s="60"/>
      <c r="K379" s="61"/>
      <c r="L379" s="62"/>
      <c r="M379" s="63"/>
      <c r="N379" s="63"/>
      <c r="O379" s="60"/>
      <c r="P379" s="60"/>
      <c r="Q379" s="63"/>
      <c r="R379" s="63"/>
      <c r="S379" s="60"/>
      <c r="T379" s="61"/>
      <c r="U379" s="63"/>
      <c r="V379" s="64"/>
      <c r="W379" s="65"/>
      <c r="X379" s="65"/>
      <c r="Y379" s="65"/>
      <c r="Z379" s="63"/>
      <c r="AA379" s="48"/>
      <c r="AB379" s="48"/>
      <c r="AC379" s="48"/>
      <c r="AD379" s="48"/>
      <c r="AE379" s="48"/>
    </row>
    <row r="380">
      <c r="A380" s="57"/>
      <c r="B380" s="58"/>
      <c r="C380" s="58"/>
      <c r="D380" s="58"/>
      <c r="E380" s="17"/>
      <c r="F380" s="17"/>
      <c r="G380" s="15"/>
      <c r="H380" s="59"/>
      <c r="I380" s="60"/>
      <c r="J380" s="60"/>
      <c r="K380" s="61"/>
      <c r="L380" s="62"/>
      <c r="M380" s="63"/>
      <c r="N380" s="63"/>
      <c r="O380" s="60"/>
      <c r="P380" s="60"/>
      <c r="Q380" s="63"/>
      <c r="R380" s="63"/>
      <c r="S380" s="60"/>
      <c r="T380" s="61"/>
      <c r="U380" s="63"/>
      <c r="V380" s="64"/>
      <c r="W380" s="65"/>
      <c r="X380" s="65"/>
      <c r="Y380" s="65"/>
      <c r="Z380" s="63"/>
      <c r="AA380" s="48"/>
      <c r="AB380" s="48"/>
      <c r="AC380" s="48"/>
      <c r="AD380" s="48"/>
      <c r="AE380" s="48"/>
    </row>
    <row r="381">
      <c r="A381" s="57"/>
      <c r="B381" s="58"/>
      <c r="C381" s="58"/>
      <c r="D381" s="58"/>
      <c r="E381" s="17"/>
      <c r="F381" s="17"/>
      <c r="G381" s="15"/>
      <c r="H381" s="59"/>
      <c r="I381" s="60"/>
      <c r="J381" s="60"/>
      <c r="K381" s="61"/>
      <c r="L381" s="62"/>
      <c r="M381" s="63"/>
      <c r="N381" s="63"/>
      <c r="O381" s="60"/>
      <c r="P381" s="60"/>
      <c r="Q381" s="63"/>
      <c r="R381" s="63"/>
      <c r="S381" s="60"/>
      <c r="T381" s="61"/>
      <c r="U381" s="63"/>
      <c r="V381" s="64"/>
      <c r="W381" s="65"/>
      <c r="X381" s="65"/>
      <c r="Y381" s="65"/>
      <c r="Z381" s="63"/>
      <c r="AA381" s="17"/>
      <c r="AB381" s="17"/>
      <c r="AC381" s="17"/>
      <c r="AD381" s="17"/>
      <c r="AE381" s="17"/>
    </row>
    <row r="382">
      <c r="A382" s="57"/>
      <c r="B382" s="58"/>
      <c r="C382" s="58"/>
      <c r="D382" s="58"/>
      <c r="E382" s="17"/>
      <c r="F382" s="17"/>
      <c r="G382" s="15"/>
      <c r="H382" s="59"/>
      <c r="I382" s="60"/>
      <c r="J382" s="60"/>
      <c r="K382" s="61"/>
      <c r="L382" s="62"/>
      <c r="M382" s="63"/>
      <c r="N382" s="63"/>
      <c r="O382" s="60"/>
      <c r="P382" s="60"/>
      <c r="Q382" s="63"/>
      <c r="R382" s="63"/>
      <c r="S382" s="60"/>
      <c r="T382" s="61"/>
      <c r="U382" s="63"/>
      <c r="V382" s="64"/>
      <c r="W382" s="65"/>
      <c r="X382" s="65"/>
      <c r="Y382" s="65"/>
      <c r="Z382" s="63"/>
      <c r="AA382" s="17"/>
      <c r="AB382" s="17"/>
      <c r="AC382" s="17"/>
      <c r="AD382" s="17"/>
      <c r="AE382" s="17"/>
    </row>
    <row r="383">
      <c r="A383" s="57"/>
      <c r="B383" s="58"/>
      <c r="C383" s="58"/>
      <c r="D383" s="58"/>
      <c r="E383" s="17"/>
      <c r="F383" s="17"/>
      <c r="G383" s="15"/>
      <c r="H383" s="59"/>
      <c r="I383" s="60"/>
      <c r="J383" s="60"/>
      <c r="K383" s="61"/>
      <c r="L383" s="66"/>
      <c r="M383" s="67"/>
      <c r="N383" s="67"/>
      <c r="O383" s="60"/>
      <c r="P383" s="60"/>
      <c r="Q383" s="67"/>
      <c r="R383" s="67"/>
      <c r="S383" s="60"/>
      <c r="T383" s="61"/>
      <c r="U383" s="67"/>
      <c r="V383" s="68"/>
      <c r="W383" s="69"/>
      <c r="X383" s="69"/>
      <c r="Y383" s="69"/>
      <c r="Z383" s="67"/>
      <c r="AA383" s="48"/>
      <c r="AB383" s="48"/>
      <c r="AC383" s="48"/>
      <c r="AD383" s="48"/>
      <c r="AE383" s="48"/>
    </row>
    <row r="384">
      <c r="A384" s="57"/>
      <c r="B384" s="58"/>
      <c r="C384" s="58"/>
      <c r="D384" s="58"/>
      <c r="E384" s="17"/>
      <c r="F384" s="17"/>
      <c r="G384" s="15"/>
      <c r="H384" s="59"/>
      <c r="I384" s="60"/>
      <c r="J384" s="60"/>
      <c r="K384" s="61"/>
      <c r="L384" s="62"/>
      <c r="M384" s="63"/>
      <c r="N384" s="63"/>
      <c r="O384" s="60"/>
      <c r="P384" s="60"/>
      <c r="Q384" s="63"/>
      <c r="R384" s="63"/>
      <c r="S384" s="60"/>
      <c r="T384" s="61"/>
      <c r="U384" s="63"/>
      <c r="V384" s="64"/>
      <c r="W384" s="65"/>
      <c r="X384" s="65"/>
      <c r="Y384" s="65"/>
      <c r="Z384" s="63"/>
      <c r="AA384" s="48"/>
      <c r="AB384" s="48"/>
      <c r="AC384" s="48"/>
      <c r="AD384" s="48"/>
      <c r="AE384" s="48"/>
    </row>
    <row r="385">
      <c r="A385" s="57"/>
      <c r="B385" s="58"/>
      <c r="C385" s="58"/>
      <c r="D385" s="58"/>
      <c r="E385" s="17"/>
      <c r="F385" s="17"/>
      <c r="G385" s="15"/>
      <c r="H385" s="59"/>
      <c r="I385" s="60"/>
      <c r="J385" s="60"/>
      <c r="K385" s="61"/>
      <c r="L385" s="62"/>
      <c r="M385" s="63"/>
      <c r="N385" s="63"/>
      <c r="O385" s="60"/>
      <c r="P385" s="60"/>
      <c r="Q385" s="63"/>
      <c r="R385" s="63"/>
      <c r="S385" s="60"/>
      <c r="T385" s="61"/>
      <c r="U385" s="63"/>
      <c r="V385" s="64"/>
      <c r="W385" s="65"/>
      <c r="X385" s="65"/>
      <c r="Y385" s="65"/>
      <c r="Z385" s="63"/>
      <c r="AA385" s="48"/>
      <c r="AB385" s="48"/>
      <c r="AC385" s="48"/>
      <c r="AD385" s="48"/>
      <c r="AE385" s="48"/>
    </row>
    <row r="386">
      <c r="A386" s="57"/>
      <c r="B386" s="58"/>
      <c r="C386" s="58"/>
      <c r="D386" s="58"/>
      <c r="E386" s="17"/>
      <c r="F386" s="17"/>
      <c r="G386" s="15"/>
      <c r="H386" s="59"/>
      <c r="I386" s="60"/>
      <c r="J386" s="60"/>
      <c r="K386" s="61"/>
      <c r="L386" s="62"/>
      <c r="M386" s="63"/>
      <c r="N386" s="63"/>
      <c r="O386" s="60"/>
      <c r="P386" s="60"/>
      <c r="Q386" s="63"/>
      <c r="R386" s="63"/>
      <c r="S386" s="60"/>
      <c r="T386" s="61"/>
      <c r="U386" s="63"/>
      <c r="V386" s="64"/>
      <c r="W386" s="65"/>
      <c r="X386" s="65"/>
      <c r="Y386" s="65"/>
      <c r="Z386" s="63"/>
      <c r="AA386" s="48"/>
      <c r="AB386" s="48"/>
      <c r="AC386" s="48"/>
      <c r="AD386" s="48"/>
      <c r="AE386" s="48"/>
    </row>
    <row r="387">
      <c r="A387" s="57"/>
      <c r="B387" s="58"/>
      <c r="C387" s="58"/>
      <c r="D387" s="58"/>
      <c r="E387" s="17"/>
      <c r="F387" s="17"/>
      <c r="G387" s="15"/>
      <c r="H387" s="59"/>
      <c r="I387" s="60"/>
      <c r="J387" s="60"/>
      <c r="K387" s="61"/>
      <c r="L387" s="62"/>
      <c r="M387" s="63"/>
      <c r="N387" s="63"/>
      <c r="O387" s="60"/>
      <c r="P387" s="60"/>
      <c r="Q387" s="63"/>
      <c r="R387" s="63"/>
      <c r="S387" s="60"/>
      <c r="T387" s="61"/>
      <c r="U387" s="63"/>
      <c r="V387" s="64"/>
      <c r="W387" s="65"/>
      <c r="X387" s="65"/>
      <c r="Y387" s="65"/>
      <c r="Z387" s="63"/>
      <c r="AA387" s="48"/>
      <c r="AB387" s="48"/>
      <c r="AC387" s="48"/>
      <c r="AD387" s="48"/>
      <c r="AE387" s="48"/>
    </row>
    <row r="388">
      <c r="A388" s="57"/>
      <c r="B388" s="58"/>
      <c r="C388" s="58"/>
      <c r="D388" s="58"/>
      <c r="E388" s="17"/>
      <c r="F388" s="17"/>
      <c r="G388" s="15"/>
      <c r="H388" s="59"/>
      <c r="I388" s="60"/>
      <c r="J388" s="60"/>
      <c r="K388" s="61"/>
      <c r="L388" s="62"/>
      <c r="M388" s="63"/>
      <c r="N388" s="63"/>
      <c r="O388" s="60"/>
      <c r="P388" s="60"/>
      <c r="Q388" s="63"/>
      <c r="R388" s="63"/>
      <c r="S388" s="60"/>
      <c r="T388" s="61"/>
      <c r="U388" s="63"/>
      <c r="V388" s="64"/>
      <c r="W388" s="65"/>
      <c r="X388" s="65"/>
      <c r="Y388" s="65"/>
      <c r="Z388" s="63"/>
      <c r="AA388" s="48"/>
      <c r="AB388" s="48"/>
      <c r="AC388" s="48"/>
      <c r="AD388" s="48"/>
      <c r="AE388" s="48"/>
    </row>
    <row r="389">
      <c r="A389" s="57"/>
      <c r="B389" s="58"/>
      <c r="C389" s="58"/>
      <c r="D389" s="58"/>
      <c r="E389" s="17"/>
      <c r="F389" s="17"/>
      <c r="G389" s="15"/>
      <c r="H389" s="59"/>
      <c r="I389" s="60"/>
      <c r="J389" s="60"/>
      <c r="K389" s="61"/>
      <c r="L389" s="62"/>
      <c r="M389" s="63"/>
      <c r="N389" s="63"/>
      <c r="O389" s="60"/>
      <c r="P389" s="60"/>
      <c r="Q389" s="63"/>
      <c r="R389" s="63"/>
      <c r="S389" s="60"/>
      <c r="T389" s="61"/>
      <c r="U389" s="63"/>
      <c r="V389" s="64"/>
      <c r="W389" s="65"/>
      <c r="X389" s="65"/>
      <c r="Y389" s="65"/>
      <c r="Z389" s="63"/>
      <c r="AA389" s="48"/>
      <c r="AB389" s="48"/>
      <c r="AC389" s="48"/>
      <c r="AD389" s="48"/>
      <c r="AE389" s="48"/>
    </row>
    <row r="390">
      <c r="A390" s="57"/>
      <c r="B390" s="58"/>
      <c r="C390" s="58"/>
      <c r="D390" s="58"/>
      <c r="E390" s="17"/>
      <c r="F390" s="17"/>
      <c r="G390" s="15"/>
      <c r="H390" s="59"/>
      <c r="I390" s="60"/>
      <c r="J390" s="60"/>
      <c r="K390" s="61"/>
      <c r="L390" s="66"/>
      <c r="M390" s="67"/>
      <c r="N390" s="67"/>
      <c r="O390" s="60"/>
      <c r="P390" s="60"/>
      <c r="Q390" s="67"/>
      <c r="R390" s="67"/>
      <c r="S390" s="60"/>
      <c r="T390" s="61"/>
      <c r="U390" s="67"/>
      <c r="V390" s="68"/>
      <c r="W390" s="69"/>
      <c r="X390" s="69"/>
      <c r="Y390" s="69"/>
      <c r="Z390" s="67"/>
      <c r="AA390" s="48"/>
      <c r="AB390" s="48"/>
      <c r="AC390" s="48"/>
      <c r="AD390" s="48"/>
      <c r="AE390" s="48"/>
    </row>
    <row r="391">
      <c r="A391" s="57"/>
      <c r="B391" s="58"/>
      <c r="C391" s="58"/>
      <c r="D391" s="58"/>
      <c r="E391" s="17"/>
      <c r="F391" s="17"/>
      <c r="G391" s="15"/>
      <c r="H391" s="59"/>
      <c r="I391" s="60"/>
      <c r="J391" s="60"/>
      <c r="K391" s="61"/>
      <c r="L391" s="62"/>
      <c r="M391" s="63"/>
      <c r="N391" s="63"/>
      <c r="O391" s="60"/>
      <c r="P391" s="60"/>
      <c r="Q391" s="63"/>
      <c r="R391" s="63"/>
      <c r="S391" s="60"/>
      <c r="T391" s="61"/>
      <c r="U391" s="63"/>
      <c r="V391" s="64"/>
      <c r="W391" s="65"/>
      <c r="X391" s="65"/>
      <c r="Y391" s="65"/>
      <c r="Z391" s="63"/>
      <c r="AA391" s="48"/>
      <c r="AB391" s="48"/>
      <c r="AC391" s="48"/>
      <c r="AD391" s="48"/>
      <c r="AE391" s="48"/>
    </row>
    <row r="392">
      <c r="A392" s="57"/>
      <c r="B392" s="58"/>
      <c r="C392" s="58"/>
      <c r="D392" s="58"/>
      <c r="E392" s="17"/>
      <c r="F392" s="17"/>
      <c r="G392" s="15"/>
      <c r="H392" s="59"/>
      <c r="I392" s="60"/>
      <c r="J392" s="60"/>
      <c r="K392" s="61"/>
      <c r="L392" s="62"/>
      <c r="M392" s="63"/>
      <c r="N392" s="63"/>
      <c r="O392" s="60"/>
      <c r="P392" s="60"/>
      <c r="Q392" s="63"/>
      <c r="R392" s="63"/>
      <c r="S392" s="60"/>
      <c r="T392" s="61"/>
      <c r="U392" s="63"/>
      <c r="V392" s="64"/>
      <c r="W392" s="65"/>
      <c r="X392" s="65"/>
      <c r="Y392" s="65"/>
      <c r="Z392" s="63"/>
      <c r="AA392" s="48"/>
      <c r="AB392" s="48"/>
      <c r="AC392" s="48"/>
      <c r="AD392" s="48"/>
      <c r="AE392" s="48"/>
    </row>
    <row r="393">
      <c r="A393" s="57"/>
      <c r="B393" s="58"/>
      <c r="C393" s="58"/>
      <c r="D393" s="58"/>
      <c r="E393" s="17"/>
      <c r="F393" s="17"/>
      <c r="G393" s="15"/>
      <c r="H393" s="59"/>
      <c r="I393" s="60"/>
      <c r="J393" s="60"/>
      <c r="K393" s="61"/>
      <c r="L393" s="62"/>
      <c r="M393" s="63"/>
      <c r="N393" s="63"/>
      <c r="O393" s="60"/>
      <c r="P393" s="60"/>
      <c r="Q393" s="63"/>
      <c r="R393" s="63"/>
      <c r="S393" s="60"/>
      <c r="T393" s="61"/>
      <c r="U393" s="63"/>
      <c r="V393" s="64"/>
      <c r="W393" s="65"/>
      <c r="X393" s="65"/>
      <c r="Y393" s="65"/>
      <c r="Z393" s="63"/>
      <c r="AA393" s="48"/>
      <c r="AB393" s="48"/>
      <c r="AC393" s="48"/>
      <c r="AD393" s="48"/>
      <c r="AE393" s="48"/>
    </row>
    <row r="394">
      <c r="A394" s="57"/>
      <c r="B394" s="58"/>
      <c r="C394" s="58"/>
      <c r="D394" s="58"/>
      <c r="E394" s="17"/>
      <c r="F394" s="17"/>
      <c r="G394" s="15"/>
      <c r="H394" s="59"/>
      <c r="I394" s="60"/>
      <c r="J394" s="60"/>
      <c r="K394" s="61"/>
      <c r="L394" s="62"/>
      <c r="M394" s="63"/>
      <c r="N394" s="63"/>
      <c r="O394" s="60"/>
      <c r="P394" s="60"/>
      <c r="Q394" s="63"/>
      <c r="R394" s="63"/>
      <c r="S394" s="60"/>
      <c r="T394" s="61"/>
      <c r="U394" s="63"/>
      <c r="V394" s="64"/>
      <c r="W394" s="65"/>
      <c r="X394" s="65"/>
      <c r="Y394" s="65"/>
      <c r="Z394" s="63"/>
      <c r="AA394" s="48"/>
      <c r="AB394" s="48"/>
      <c r="AC394" s="48"/>
      <c r="AD394" s="48"/>
      <c r="AE394" s="48"/>
    </row>
    <row r="395">
      <c r="A395" s="57"/>
      <c r="B395" s="58"/>
      <c r="C395" s="58"/>
      <c r="D395" s="58"/>
      <c r="E395" s="17"/>
      <c r="F395" s="17"/>
      <c r="G395" s="15"/>
      <c r="H395" s="59"/>
      <c r="I395" s="60"/>
      <c r="J395" s="60"/>
      <c r="K395" s="61"/>
      <c r="L395" s="62"/>
      <c r="M395" s="63"/>
      <c r="N395" s="63"/>
      <c r="O395" s="60"/>
      <c r="P395" s="60"/>
      <c r="Q395" s="63"/>
      <c r="R395" s="63"/>
      <c r="S395" s="60"/>
      <c r="T395" s="61"/>
      <c r="U395" s="63"/>
      <c r="V395" s="64"/>
      <c r="W395" s="65"/>
      <c r="X395" s="65"/>
      <c r="Y395" s="65"/>
      <c r="Z395" s="63"/>
      <c r="AA395" s="48"/>
      <c r="AB395" s="48"/>
      <c r="AC395" s="48"/>
      <c r="AD395" s="48"/>
      <c r="AE395" s="48"/>
    </row>
    <row r="396">
      <c r="A396" s="57"/>
      <c r="B396" s="58"/>
      <c r="C396" s="58"/>
      <c r="D396" s="58"/>
      <c r="E396" s="17"/>
      <c r="F396" s="17"/>
      <c r="G396" s="15"/>
      <c r="H396" s="59"/>
      <c r="I396" s="60"/>
      <c r="J396" s="60"/>
      <c r="K396" s="61"/>
      <c r="L396" s="66"/>
      <c r="M396" s="67"/>
      <c r="N396" s="67"/>
      <c r="O396" s="60"/>
      <c r="P396" s="60"/>
      <c r="Q396" s="67"/>
      <c r="R396" s="67"/>
      <c r="S396" s="60"/>
      <c r="T396" s="61"/>
      <c r="U396" s="67"/>
      <c r="V396" s="68"/>
      <c r="W396" s="69"/>
      <c r="X396" s="69"/>
      <c r="Y396" s="69"/>
      <c r="Z396" s="67"/>
      <c r="AA396" s="48"/>
      <c r="AB396" s="48"/>
      <c r="AC396" s="48"/>
      <c r="AD396" s="48"/>
      <c r="AE396" s="48"/>
    </row>
    <row r="397">
      <c r="A397" s="57"/>
      <c r="B397" s="58"/>
      <c r="C397" s="58"/>
      <c r="D397" s="58"/>
      <c r="E397" s="17"/>
      <c r="F397" s="17"/>
      <c r="G397" s="15"/>
      <c r="H397" s="59"/>
      <c r="I397" s="60"/>
      <c r="J397" s="60"/>
      <c r="K397" s="61"/>
      <c r="L397" s="62"/>
      <c r="M397" s="63"/>
      <c r="N397" s="63"/>
      <c r="O397" s="60"/>
      <c r="P397" s="60"/>
      <c r="Q397" s="63"/>
      <c r="R397" s="63"/>
      <c r="S397" s="60"/>
      <c r="T397" s="61"/>
      <c r="U397" s="63"/>
      <c r="V397" s="64"/>
      <c r="W397" s="65"/>
      <c r="X397" s="65"/>
      <c r="Y397" s="65"/>
      <c r="Z397" s="63"/>
      <c r="AA397" s="17"/>
      <c r="AB397" s="17"/>
      <c r="AC397" s="17"/>
      <c r="AD397" s="17"/>
      <c r="AE397" s="17"/>
    </row>
    <row r="398">
      <c r="A398" s="57"/>
      <c r="B398" s="58"/>
      <c r="C398" s="58"/>
      <c r="D398" s="58"/>
      <c r="E398" s="17"/>
      <c r="F398" s="17"/>
      <c r="G398" s="15"/>
      <c r="H398" s="59"/>
      <c r="I398" s="60"/>
      <c r="J398" s="60"/>
      <c r="K398" s="61"/>
      <c r="L398" s="62"/>
      <c r="M398" s="63"/>
      <c r="N398" s="63"/>
      <c r="O398" s="60"/>
      <c r="P398" s="60"/>
      <c r="Q398" s="63"/>
      <c r="R398" s="63"/>
      <c r="S398" s="60"/>
      <c r="T398" s="61"/>
      <c r="U398" s="63"/>
      <c r="V398" s="64"/>
      <c r="W398" s="65"/>
      <c r="X398" s="65"/>
      <c r="Y398" s="65"/>
      <c r="Z398" s="63"/>
      <c r="AA398" s="48"/>
      <c r="AB398" s="48"/>
      <c r="AC398" s="48"/>
      <c r="AD398" s="48"/>
      <c r="AE398" s="48"/>
    </row>
    <row r="399">
      <c r="A399" s="57"/>
      <c r="B399" s="58"/>
      <c r="C399" s="58"/>
      <c r="D399" s="58"/>
      <c r="E399" s="17"/>
      <c r="F399" s="17"/>
      <c r="G399" s="15"/>
      <c r="H399" s="59"/>
      <c r="I399" s="60"/>
      <c r="J399" s="60"/>
      <c r="K399" s="61"/>
      <c r="L399" s="62"/>
      <c r="M399" s="63"/>
      <c r="N399" s="63"/>
      <c r="O399" s="60"/>
      <c r="P399" s="60"/>
      <c r="Q399" s="63"/>
      <c r="R399" s="63"/>
      <c r="S399" s="60"/>
      <c r="T399" s="61"/>
      <c r="U399" s="63"/>
      <c r="V399" s="64"/>
      <c r="W399" s="65"/>
      <c r="X399" s="65"/>
      <c r="Y399" s="65"/>
      <c r="Z399" s="63"/>
      <c r="AA399" s="48"/>
      <c r="AB399" s="48"/>
      <c r="AC399" s="48"/>
      <c r="AD399" s="48"/>
      <c r="AE399" s="48"/>
    </row>
    <row r="400">
      <c r="A400" s="57"/>
      <c r="B400" s="58"/>
      <c r="C400" s="58"/>
      <c r="D400" s="58"/>
      <c r="E400" s="17"/>
      <c r="F400" s="17"/>
      <c r="G400" s="15"/>
      <c r="H400" s="59"/>
      <c r="I400" s="60"/>
      <c r="J400" s="60"/>
      <c r="K400" s="61"/>
      <c r="L400" s="66"/>
      <c r="M400" s="67"/>
      <c r="N400" s="67"/>
      <c r="O400" s="60"/>
      <c r="P400" s="60"/>
      <c r="Q400" s="67"/>
      <c r="R400" s="67"/>
      <c r="S400" s="60"/>
      <c r="T400" s="61"/>
      <c r="U400" s="67"/>
      <c r="V400" s="68"/>
      <c r="W400" s="69"/>
      <c r="X400" s="69"/>
      <c r="Y400" s="69"/>
      <c r="Z400" s="67"/>
      <c r="AA400" s="48"/>
      <c r="AB400" s="48"/>
      <c r="AC400" s="48"/>
      <c r="AD400" s="48"/>
      <c r="AE400" s="48"/>
    </row>
    <row r="401">
      <c r="A401" s="57"/>
      <c r="B401" s="58"/>
      <c r="C401" s="58"/>
      <c r="D401" s="58"/>
      <c r="E401" s="17"/>
      <c r="F401" s="17"/>
      <c r="G401" s="15"/>
      <c r="H401" s="59"/>
      <c r="I401" s="60"/>
      <c r="J401" s="60"/>
      <c r="K401" s="61"/>
      <c r="L401" s="62"/>
      <c r="M401" s="63"/>
      <c r="N401" s="63"/>
      <c r="O401" s="60"/>
      <c r="P401" s="60"/>
      <c r="Q401" s="63"/>
      <c r="R401" s="63"/>
      <c r="S401" s="60"/>
      <c r="T401" s="61"/>
      <c r="U401" s="63"/>
      <c r="V401" s="64"/>
      <c r="W401" s="65"/>
      <c r="X401" s="65"/>
      <c r="Y401" s="65"/>
      <c r="Z401" s="63"/>
      <c r="AA401" s="48"/>
      <c r="AB401" s="48"/>
      <c r="AC401" s="48"/>
      <c r="AD401" s="48"/>
      <c r="AE401" s="48"/>
    </row>
    <row r="402">
      <c r="A402" s="57"/>
      <c r="B402" s="58"/>
      <c r="C402" s="58"/>
      <c r="D402" s="58"/>
      <c r="E402" s="17"/>
      <c r="F402" s="17"/>
      <c r="G402" s="15"/>
      <c r="H402" s="59"/>
      <c r="I402" s="60"/>
      <c r="J402" s="60"/>
      <c r="K402" s="61"/>
      <c r="L402" s="62"/>
      <c r="M402" s="63"/>
      <c r="N402" s="63"/>
      <c r="O402" s="60"/>
      <c r="P402" s="60"/>
      <c r="Q402" s="63"/>
      <c r="R402" s="63"/>
      <c r="S402" s="60"/>
      <c r="T402" s="61"/>
      <c r="U402" s="63"/>
      <c r="V402" s="64"/>
      <c r="W402" s="65"/>
      <c r="X402" s="65"/>
      <c r="Y402" s="65"/>
      <c r="Z402" s="63"/>
      <c r="AA402" s="48"/>
      <c r="AB402" s="48"/>
      <c r="AC402" s="48"/>
      <c r="AD402" s="48"/>
      <c r="AE402" s="48"/>
    </row>
    <row r="403">
      <c r="A403" s="57"/>
      <c r="B403" s="58"/>
      <c r="C403" s="58"/>
      <c r="D403" s="58"/>
      <c r="E403" s="17"/>
      <c r="F403" s="17"/>
      <c r="G403" s="15"/>
      <c r="H403" s="59"/>
      <c r="I403" s="60"/>
      <c r="J403" s="60"/>
      <c r="K403" s="61"/>
      <c r="L403" s="62"/>
      <c r="M403" s="63"/>
      <c r="N403" s="63"/>
      <c r="O403" s="60"/>
      <c r="P403" s="60"/>
      <c r="Q403" s="63"/>
      <c r="R403" s="63"/>
      <c r="S403" s="60"/>
      <c r="T403" s="61"/>
      <c r="U403" s="63"/>
      <c r="V403" s="64"/>
      <c r="W403" s="65"/>
      <c r="X403" s="65"/>
      <c r="Y403" s="65"/>
      <c r="Z403" s="63"/>
      <c r="AA403" s="48"/>
      <c r="AB403" s="48"/>
      <c r="AC403" s="48"/>
      <c r="AD403" s="48"/>
      <c r="AE403" s="48"/>
    </row>
    <row r="404">
      <c r="A404" s="57"/>
      <c r="B404" s="58"/>
      <c r="C404" s="58"/>
      <c r="D404" s="58"/>
      <c r="E404" s="17"/>
      <c r="F404" s="17"/>
      <c r="G404" s="15"/>
      <c r="H404" s="59"/>
      <c r="I404" s="60"/>
      <c r="J404" s="60"/>
      <c r="K404" s="61"/>
      <c r="L404" s="62"/>
      <c r="M404" s="63"/>
      <c r="N404" s="63"/>
      <c r="O404" s="60"/>
      <c r="P404" s="60"/>
      <c r="Q404" s="63"/>
      <c r="R404" s="63"/>
      <c r="S404" s="60"/>
      <c r="T404" s="61"/>
      <c r="U404" s="63"/>
      <c r="V404" s="64"/>
      <c r="W404" s="65"/>
      <c r="X404" s="65"/>
      <c r="Y404" s="65"/>
      <c r="Z404" s="63"/>
      <c r="AA404" s="48"/>
      <c r="AB404" s="48"/>
      <c r="AC404" s="48"/>
      <c r="AD404" s="48"/>
      <c r="AE404" s="48"/>
    </row>
    <row r="405">
      <c r="A405" s="57"/>
      <c r="B405" s="58"/>
      <c r="C405" s="58"/>
      <c r="D405" s="58"/>
      <c r="E405" s="17"/>
      <c r="F405" s="17"/>
      <c r="G405" s="15"/>
      <c r="H405" s="59"/>
      <c r="I405" s="60"/>
      <c r="J405" s="60"/>
      <c r="K405" s="61"/>
      <c r="L405" s="62"/>
      <c r="M405" s="63"/>
      <c r="N405" s="63"/>
      <c r="O405" s="60"/>
      <c r="P405" s="60"/>
      <c r="Q405" s="63"/>
      <c r="R405" s="63"/>
      <c r="S405" s="60"/>
      <c r="T405" s="61"/>
      <c r="U405" s="63"/>
      <c r="V405" s="64"/>
      <c r="W405" s="65"/>
      <c r="X405" s="65"/>
      <c r="Y405" s="65"/>
      <c r="Z405" s="63"/>
      <c r="AA405" s="48"/>
      <c r="AB405" s="48"/>
      <c r="AC405" s="48"/>
      <c r="AD405" s="48"/>
      <c r="AE405" s="48"/>
    </row>
    <row r="406">
      <c r="A406" s="57"/>
      <c r="B406" s="58"/>
      <c r="C406" s="58"/>
      <c r="D406" s="58"/>
      <c r="E406" s="17"/>
      <c r="F406" s="17"/>
      <c r="G406" s="15"/>
      <c r="H406" s="59"/>
      <c r="I406" s="60"/>
      <c r="J406" s="60"/>
      <c r="K406" s="61"/>
      <c r="L406" s="62"/>
      <c r="M406" s="63"/>
      <c r="N406" s="63"/>
      <c r="O406" s="60"/>
      <c r="P406" s="60"/>
      <c r="Q406" s="63"/>
      <c r="R406" s="63"/>
      <c r="S406" s="60"/>
      <c r="T406" s="61"/>
      <c r="U406" s="63"/>
      <c r="V406" s="64"/>
      <c r="W406" s="65"/>
      <c r="X406" s="65"/>
      <c r="Y406" s="65"/>
      <c r="Z406" s="63"/>
      <c r="AA406" s="48"/>
      <c r="AB406" s="48"/>
      <c r="AC406" s="48"/>
      <c r="AD406" s="48"/>
      <c r="AE406" s="48"/>
    </row>
    <row r="407">
      <c r="A407" s="57"/>
      <c r="B407" s="58"/>
      <c r="C407" s="58"/>
      <c r="D407" s="58"/>
      <c r="E407" s="17"/>
      <c r="F407" s="17"/>
      <c r="G407" s="15"/>
      <c r="H407" s="59"/>
      <c r="I407" s="60"/>
      <c r="J407" s="60"/>
      <c r="K407" s="61"/>
      <c r="L407" s="62"/>
      <c r="M407" s="63"/>
      <c r="N407" s="63"/>
      <c r="O407" s="60"/>
      <c r="P407" s="60"/>
      <c r="Q407" s="63"/>
      <c r="R407" s="63"/>
      <c r="S407" s="60"/>
      <c r="T407" s="61"/>
      <c r="U407" s="63"/>
      <c r="V407" s="64"/>
      <c r="W407" s="65"/>
      <c r="X407" s="65"/>
      <c r="Y407" s="65"/>
      <c r="Z407" s="63"/>
      <c r="AA407" s="48"/>
      <c r="AB407" s="48"/>
      <c r="AC407" s="48"/>
      <c r="AD407" s="48"/>
      <c r="AE407" s="48"/>
    </row>
    <row r="408">
      <c r="A408" s="57"/>
      <c r="B408" s="58"/>
      <c r="C408" s="58"/>
      <c r="D408" s="58"/>
      <c r="E408" s="17"/>
      <c r="F408" s="17"/>
      <c r="G408" s="15"/>
      <c r="H408" s="59"/>
      <c r="I408" s="60"/>
      <c r="J408" s="60"/>
      <c r="K408" s="61"/>
      <c r="L408" s="62"/>
      <c r="M408" s="63"/>
      <c r="N408" s="63"/>
      <c r="O408" s="60"/>
      <c r="P408" s="60"/>
      <c r="Q408" s="63"/>
      <c r="R408" s="63"/>
      <c r="S408" s="60"/>
      <c r="T408" s="61"/>
      <c r="U408" s="63"/>
      <c r="V408" s="64"/>
      <c r="W408" s="65"/>
      <c r="X408" s="65"/>
      <c r="Y408" s="65"/>
      <c r="Z408" s="63"/>
      <c r="AA408" s="48"/>
      <c r="AB408" s="48"/>
      <c r="AC408" s="48"/>
      <c r="AD408" s="48"/>
      <c r="AE408" s="48"/>
    </row>
    <row r="409">
      <c r="A409" s="57"/>
      <c r="B409" s="58"/>
      <c r="C409" s="58"/>
      <c r="D409" s="58"/>
      <c r="E409" s="17"/>
      <c r="F409" s="17"/>
      <c r="G409" s="15"/>
      <c r="H409" s="59"/>
      <c r="I409" s="60"/>
      <c r="J409" s="60"/>
      <c r="K409" s="61"/>
      <c r="L409" s="62"/>
      <c r="M409" s="63"/>
      <c r="N409" s="63"/>
      <c r="O409" s="60"/>
      <c r="P409" s="60"/>
      <c r="Q409" s="63"/>
      <c r="R409" s="63"/>
      <c r="S409" s="60"/>
      <c r="T409" s="61"/>
      <c r="U409" s="63"/>
      <c r="V409" s="64"/>
      <c r="W409" s="65"/>
      <c r="X409" s="65"/>
      <c r="Y409" s="65"/>
      <c r="Z409" s="63"/>
      <c r="AA409" s="48"/>
      <c r="AB409" s="48"/>
      <c r="AC409" s="48"/>
      <c r="AD409" s="48"/>
      <c r="AE409" s="48"/>
    </row>
    <row r="410">
      <c r="A410" s="57"/>
      <c r="B410" s="58"/>
      <c r="C410" s="58"/>
      <c r="D410" s="58"/>
      <c r="E410" s="17"/>
      <c r="F410" s="17"/>
      <c r="G410" s="15"/>
      <c r="H410" s="59"/>
      <c r="I410" s="60"/>
      <c r="J410" s="60"/>
      <c r="K410" s="61"/>
      <c r="L410" s="62"/>
      <c r="M410" s="63"/>
      <c r="N410" s="63"/>
      <c r="O410" s="60"/>
      <c r="P410" s="60"/>
      <c r="Q410" s="63"/>
      <c r="R410" s="63"/>
      <c r="S410" s="60"/>
      <c r="T410" s="61"/>
      <c r="U410" s="63"/>
      <c r="V410" s="64"/>
      <c r="W410" s="65"/>
      <c r="X410" s="65"/>
      <c r="Y410" s="65"/>
      <c r="Z410" s="63"/>
      <c r="AA410" s="48"/>
      <c r="AB410" s="48"/>
      <c r="AC410" s="48"/>
      <c r="AD410" s="48"/>
      <c r="AE410" s="48"/>
    </row>
    <row r="411">
      <c r="A411" s="57"/>
      <c r="B411" s="58"/>
      <c r="C411" s="58"/>
      <c r="D411" s="58"/>
      <c r="E411" s="17"/>
      <c r="F411" s="17"/>
      <c r="G411" s="15"/>
      <c r="H411" s="59"/>
      <c r="I411" s="60"/>
      <c r="J411" s="60"/>
      <c r="K411" s="61"/>
      <c r="L411" s="62"/>
      <c r="M411" s="63"/>
      <c r="N411" s="63"/>
      <c r="O411" s="60"/>
      <c r="P411" s="60"/>
      <c r="Q411" s="63"/>
      <c r="R411" s="63"/>
      <c r="S411" s="60"/>
      <c r="T411" s="61"/>
      <c r="U411" s="63"/>
      <c r="V411" s="64"/>
      <c r="W411" s="65"/>
      <c r="X411" s="65"/>
      <c r="Y411" s="65"/>
      <c r="Z411" s="63"/>
      <c r="AA411" s="48"/>
      <c r="AB411" s="48"/>
      <c r="AC411" s="48"/>
      <c r="AD411" s="48"/>
      <c r="AE411" s="48"/>
    </row>
    <row r="412">
      <c r="A412" s="57"/>
      <c r="B412" s="58"/>
      <c r="C412" s="58"/>
      <c r="D412" s="58"/>
      <c r="E412" s="17"/>
      <c r="F412" s="17"/>
      <c r="G412" s="15"/>
      <c r="H412" s="59"/>
      <c r="I412" s="60"/>
      <c r="J412" s="60"/>
      <c r="K412" s="61"/>
      <c r="L412" s="62"/>
      <c r="M412" s="63"/>
      <c r="N412" s="63"/>
      <c r="O412" s="60"/>
      <c r="P412" s="60"/>
      <c r="Q412" s="63"/>
      <c r="R412" s="63"/>
      <c r="S412" s="60"/>
      <c r="T412" s="61"/>
      <c r="U412" s="63"/>
      <c r="V412" s="64"/>
      <c r="W412" s="65"/>
      <c r="X412" s="65"/>
      <c r="Y412" s="65"/>
      <c r="Z412" s="63"/>
      <c r="AA412" s="48"/>
      <c r="AB412" s="48"/>
      <c r="AC412" s="48"/>
      <c r="AD412" s="48"/>
      <c r="AE412" s="48"/>
    </row>
    <row r="413">
      <c r="A413" s="57"/>
      <c r="B413" s="58"/>
      <c r="C413" s="58"/>
      <c r="D413" s="58"/>
      <c r="E413" s="17"/>
      <c r="F413" s="17"/>
      <c r="G413" s="15"/>
      <c r="H413" s="59"/>
      <c r="I413" s="60"/>
      <c r="J413" s="60"/>
      <c r="K413" s="61"/>
      <c r="L413" s="62"/>
      <c r="M413" s="63"/>
      <c r="N413" s="63"/>
      <c r="O413" s="60"/>
      <c r="P413" s="60"/>
      <c r="Q413" s="63"/>
      <c r="R413" s="63"/>
      <c r="S413" s="60"/>
      <c r="T413" s="61"/>
      <c r="U413" s="63"/>
      <c r="V413" s="64"/>
      <c r="W413" s="65"/>
      <c r="X413" s="65"/>
      <c r="Y413" s="65"/>
      <c r="Z413" s="63"/>
      <c r="AA413" s="48"/>
      <c r="AB413" s="48"/>
      <c r="AC413" s="48"/>
      <c r="AD413" s="48"/>
      <c r="AE413" s="48"/>
    </row>
    <row r="414">
      <c r="A414" s="57"/>
      <c r="B414" s="58"/>
      <c r="C414" s="58"/>
      <c r="D414" s="58"/>
      <c r="E414" s="17"/>
      <c r="F414" s="17"/>
      <c r="G414" s="15"/>
      <c r="H414" s="59"/>
      <c r="I414" s="60"/>
      <c r="J414" s="60"/>
      <c r="K414" s="61"/>
      <c r="L414" s="62"/>
      <c r="M414" s="63"/>
      <c r="N414" s="63"/>
      <c r="O414" s="60"/>
      <c r="P414" s="60"/>
      <c r="Q414" s="63"/>
      <c r="R414" s="63"/>
      <c r="S414" s="60"/>
      <c r="T414" s="61"/>
      <c r="U414" s="63"/>
      <c r="V414" s="64"/>
      <c r="W414" s="65"/>
      <c r="X414" s="65"/>
      <c r="Y414" s="65"/>
      <c r="Z414" s="63"/>
      <c r="AA414" s="48"/>
      <c r="AB414" s="48"/>
      <c r="AC414" s="48"/>
      <c r="AD414" s="48"/>
      <c r="AE414" s="48"/>
    </row>
    <row r="415">
      <c r="A415" s="57"/>
      <c r="B415" s="58"/>
      <c r="C415" s="58"/>
      <c r="D415" s="58"/>
      <c r="E415" s="17"/>
      <c r="F415" s="17"/>
      <c r="G415" s="15"/>
      <c r="H415" s="59"/>
      <c r="I415" s="60"/>
      <c r="J415" s="60"/>
      <c r="K415" s="61"/>
      <c r="L415" s="62"/>
      <c r="M415" s="63"/>
      <c r="N415" s="63"/>
      <c r="O415" s="60"/>
      <c r="P415" s="60"/>
      <c r="Q415" s="63"/>
      <c r="R415" s="63"/>
      <c r="S415" s="60"/>
      <c r="T415" s="61"/>
      <c r="U415" s="63"/>
      <c r="V415" s="64"/>
      <c r="W415" s="65"/>
      <c r="X415" s="65"/>
      <c r="Y415" s="65"/>
      <c r="Z415" s="63"/>
      <c r="AA415" s="48"/>
      <c r="AB415" s="48"/>
      <c r="AC415" s="48"/>
      <c r="AD415" s="48"/>
      <c r="AE415" s="48"/>
    </row>
    <row r="416">
      <c r="A416" s="57"/>
      <c r="B416" s="58"/>
      <c r="C416" s="58"/>
      <c r="D416" s="58"/>
      <c r="E416" s="17"/>
      <c r="F416" s="17"/>
      <c r="G416" s="15"/>
      <c r="H416" s="59"/>
      <c r="I416" s="60"/>
      <c r="J416" s="60"/>
      <c r="K416" s="61"/>
      <c r="L416" s="62"/>
      <c r="M416" s="63"/>
      <c r="N416" s="63"/>
      <c r="O416" s="60"/>
      <c r="P416" s="60"/>
      <c r="Q416" s="63"/>
      <c r="R416" s="63"/>
      <c r="S416" s="60"/>
      <c r="T416" s="61"/>
      <c r="U416" s="63"/>
      <c r="V416" s="64"/>
      <c r="W416" s="65"/>
      <c r="X416" s="65"/>
      <c r="Y416" s="65"/>
      <c r="Z416" s="63"/>
      <c r="AA416" s="17"/>
      <c r="AB416" s="17"/>
      <c r="AC416" s="17"/>
      <c r="AD416" s="17"/>
      <c r="AE416" s="17"/>
    </row>
    <row r="417">
      <c r="A417" s="57"/>
      <c r="B417" s="58"/>
      <c r="C417" s="58"/>
      <c r="D417" s="58"/>
      <c r="E417" s="17"/>
      <c r="F417" s="17"/>
      <c r="G417" s="15"/>
      <c r="H417" s="59"/>
      <c r="I417" s="60"/>
      <c r="J417" s="60"/>
      <c r="K417" s="61"/>
      <c r="L417" s="62"/>
      <c r="M417" s="63"/>
      <c r="N417" s="63"/>
      <c r="O417" s="60"/>
      <c r="P417" s="60"/>
      <c r="Q417" s="63"/>
      <c r="R417" s="63"/>
      <c r="S417" s="60"/>
      <c r="T417" s="61"/>
      <c r="U417" s="63"/>
      <c r="V417" s="64"/>
      <c r="W417" s="65"/>
      <c r="X417" s="65"/>
      <c r="Y417" s="65"/>
      <c r="Z417" s="63"/>
      <c r="AA417" s="17"/>
      <c r="AB417" s="17"/>
      <c r="AC417" s="17"/>
      <c r="AD417" s="17"/>
      <c r="AE417" s="17"/>
    </row>
    <row r="418">
      <c r="A418" s="57"/>
      <c r="B418" s="58"/>
      <c r="C418" s="58"/>
      <c r="D418" s="58"/>
      <c r="E418" s="17"/>
      <c r="F418" s="17"/>
      <c r="G418" s="15"/>
      <c r="H418" s="59"/>
      <c r="I418" s="60"/>
      <c r="J418" s="60"/>
      <c r="K418" s="61"/>
      <c r="L418" s="62"/>
      <c r="M418" s="63"/>
      <c r="N418" s="63"/>
      <c r="O418" s="60"/>
      <c r="P418" s="60"/>
      <c r="Q418" s="63"/>
      <c r="R418" s="63"/>
      <c r="S418" s="60"/>
      <c r="T418" s="61"/>
      <c r="U418" s="63"/>
      <c r="V418" s="64"/>
      <c r="W418" s="65"/>
      <c r="X418" s="65"/>
      <c r="Y418" s="65"/>
      <c r="Z418" s="63"/>
      <c r="AA418" s="17"/>
      <c r="AB418" s="17"/>
      <c r="AC418" s="17"/>
      <c r="AD418" s="17"/>
      <c r="AE418" s="17"/>
    </row>
    <row r="419">
      <c r="A419" s="57"/>
      <c r="B419" s="58"/>
      <c r="C419" s="58"/>
      <c r="D419" s="58"/>
      <c r="E419" s="17"/>
      <c r="F419" s="17"/>
      <c r="G419" s="15"/>
      <c r="H419" s="59"/>
      <c r="I419" s="60"/>
      <c r="J419" s="60"/>
      <c r="K419" s="61"/>
      <c r="L419" s="62"/>
      <c r="M419" s="63"/>
      <c r="N419" s="63"/>
      <c r="O419" s="60"/>
      <c r="P419" s="60"/>
      <c r="Q419" s="63"/>
      <c r="R419" s="63"/>
      <c r="S419" s="60"/>
      <c r="T419" s="61"/>
      <c r="U419" s="63"/>
      <c r="V419" s="64"/>
      <c r="W419" s="65"/>
      <c r="X419" s="65"/>
      <c r="Y419" s="65"/>
      <c r="Z419" s="63"/>
      <c r="AA419" s="17"/>
      <c r="AB419" s="17"/>
      <c r="AC419" s="17"/>
      <c r="AD419" s="17"/>
      <c r="AE419" s="17"/>
    </row>
    <row r="420">
      <c r="A420" s="57"/>
      <c r="B420" s="58"/>
      <c r="C420" s="58"/>
      <c r="D420" s="58"/>
      <c r="E420" s="17"/>
      <c r="F420" s="17"/>
      <c r="G420" s="15"/>
      <c r="H420" s="59"/>
      <c r="I420" s="60"/>
      <c r="J420" s="60"/>
      <c r="K420" s="61"/>
      <c r="L420" s="62"/>
      <c r="M420" s="63"/>
      <c r="N420" s="63"/>
      <c r="O420" s="60"/>
      <c r="P420" s="60"/>
      <c r="Q420" s="63"/>
      <c r="R420" s="63"/>
      <c r="S420" s="60"/>
      <c r="T420" s="61"/>
      <c r="U420" s="63"/>
      <c r="V420" s="64"/>
      <c r="W420" s="65"/>
      <c r="X420" s="65"/>
      <c r="Y420" s="65"/>
      <c r="Z420" s="63"/>
      <c r="AA420" s="17"/>
      <c r="AB420" s="17"/>
      <c r="AC420" s="17"/>
      <c r="AD420" s="17"/>
      <c r="AE420" s="17"/>
    </row>
    <row r="421">
      <c r="A421" s="71"/>
      <c r="B421" s="12"/>
      <c r="C421" s="12"/>
      <c r="D421" s="12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6"/>
      <c r="W421" s="13"/>
      <c r="X421" s="13"/>
      <c r="Y421" s="13"/>
      <c r="Z421" s="13"/>
      <c r="AA421" s="17"/>
      <c r="AB421" s="17"/>
      <c r="AC421" s="17"/>
      <c r="AD421" s="17"/>
      <c r="AE421" s="17"/>
    </row>
    <row r="422">
      <c r="A422" s="71"/>
      <c r="B422" s="12"/>
      <c r="C422" s="12"/>
      <c r="D422" s="12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6"/>
      <c r="W422" s="13"/>
      <c r="X422" s="13"/>
      <c r="Y422" s="13"/>
      <c r="Z422" s="13"/>
      <c r="AA422" s="17"/>
      <c r="AB422" s="17"/>
      <c r="AC422" s="17"/>
      <c r="AD422" s="17"/>
      <c r="AE422" s="17"/>
    </row>
    <row r="423">
      <c r="A423" s="71"/>
      <c r="B423" s="12"/>
      <c r="C423" s="12"/>
      <c r="D423" s="12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6"/>
      <c r="W423" s="13"/>
      <c r="X423" s="13"/>
      <c r="Y423" s="13"/>
      <c r="Z423" s="13"/>
      <c r="AA423" s="17"/>
      <c r="AB423" s="17"/>
      <c r="AC423" s="17"/>
      <c r="AD423" s="17"/>
      <c r="AE423" s="17"/>
    </row>
    <row r="424">
      <c r="A424" s="71"/>
      <c r="B424" s="12"/>
      <c r="C424" s="12"/>
      <c r="D424" s="12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6"/>
      <c r="W424" s="13"/>
      <c r="X424" s="13"/>
      <c r="Y424" s="13"/>
      <c r="Z424" s="13"/>
      <c r="AA424" s="17"/>
      <c r="AB424" s="17"/>
      <c r="AC424" s="17"/>
      <c r="AD424" s="17"/>
      <c r="AE424" s="17"/>
    </row>
    <row r="425">
      <c r="A425" s="71"/>
      <c r="B425" s="12"/>
      <c r="C425" s="12"/>
      <c r="D425" s="12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6"/>
      <c r="W425" s="13"/>
      <c r="X425" s="13"/>
      <c r="Y425" s="13"/>
      <c r="Z425" s="13"/>
      <c r="AA425" s="17"/>
      <c r="AB425" s="17"/>
      <c r="AC425" s="17"/>
      <c r="AD425" s="17"/>
      <c r="AE425" s="17"/>
    </row>
    <row r="426">
      <c r="A426" s="71"/>
      <c r="B426" s="12"/>
      <c r="C426" s="12"/>
      <c r="D426" s="12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6"/>
      <c r="W426" s="13"/>
      <c r="X426" s="13"/>
      <c r="Y426" s="13"/>
      <c r="Z426" s="13"/>
      <c r="AA426" s="17"/>
      <c r="AB426" s="17"/>
      <c r="AC426" s="17"/>
      <c r="AD426" s="17"/>
      <c r="AE426" s="17"/>
    </row>
    <row r="427">
      <c r="A427" s="71"/>
      <c r="B427" s="12"/>
      <c r="C427" s="12"/>
      <c r="D427" s="12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6"/>
      <c r="W427" s="13"/>
      <c r="X427" s="13"/>
      <c r="Y427" s="13"/>
      <c r="Z427" s="13"/>
      <c r="AA427" s="17"/>
      <c r="AB427" s="17"/>
      <c r="AC427" s="17"/>
      <c r="AD427" s="17"/>
      <c r="AE427" s="17"/>
    </row>
    <row r="428">
      <c r="A428" s="71"/>
      <c r="B428" s="12"/>
      <c r="C428" s="12"/>
      <c r="D428" s="12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6"/>
      <c r="W428" s="13"/>
      <c r="X428" s="13"/>
      <c r="Y428" s="13"/>
      <c r="Z428" s="13"/>
      <c r="AA428" s="17"/>
      <c r="AB428" s="17"/>
      <c r="AC428" s="17"/>
      <c r="AD428" s="17"/>
      <c r="AE428" s="17"/>
    </row>
    <row r="429">
      <c r="A429" s="71"/>
      <c r="B429" s="12"/>
      <c r="C429" s="12"/>
      <c r="D429" s="12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6"/>
      <c r="W429" s="13"/>
      <c r="X429" s="13"/>
      <c r="Y429" s="13"/>
      <c r="Z429" s="13"/>
      <c r="AA429" s="17"/>
      <c r="AB429" s="17"/>
      <c r="AC429" s="17"/>
      <c r="AD429" s="17"/>
      <c r="AE429" s="17"/>
    </row>
    <row r="430">
      <c r="A430" s="71"/>
      <c r="B430" s="12"/>
      <c r="C430" s="12"/>
      <c r="D430" s="12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6"/>
      <c r="W430" s="13"/>
      <c r="X430" s="13"/>
      <c r="Y430" s="13"/>
      <c r="Z430" s="13"/>
      <c r="AA430" s="17"/>
      <c r="AB430" s="17"/>
      <c r="AC430" s="17"/>
      <c r="AD430" s="17"/>
      <c r="AE430" s="17"/>
    </row>
    <row r="431">
      <c r="A431" s="71"/>
      <c r="B431" s="12"/>
      <c r="C431" s="12"/>
      <c r="D431" s="12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6"/>
      <c r="W431" s="13"/>
      <c r="X431" s="13"/>
      <c r="Y431" s="13"/>
      <c r="Z431" s="13"/>
      <c r="AA431" s="17"/>
      <c r="AB431" s="17"/>
      <c r="AC431" s="17"/>
      <c r="AD431" s="17"/>
      <c r="AE431" s="17"/>
    </row>
    <row r="432">
      <c r="A432" s="71"/>
      <c r="B432" s="12"/>
      <c r="C432" s="12"/>
      <c r="D432" s="12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6"/>
      <c r="W432" s="13"/>
      <c r="X432" s="13"/>
      <c r="Y432" s="13"/>
      <c r="Z432" s="13"/>
      <c r="AA432" s="17"/>
      <c r="AB432" s="17"/>
      <c r="AC432" s="17"/>
      <c r="AD432" s="17"/>
      <c r="AE432" s="17"/>
    </row>
    <row r="433">
      <c r="A433" s="71"/>
      <c r="B433" s="12"/>
      <c r="C433" s="12"/>
      <c r="D433" s="12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6"/>
      <c r="W433" s="13"/>
      <c r="X433" s="13"/>
      <c r="Y433" s="13"/>
      <c r="Z433" s="13"/>
      <c r="AA433" s="17"/>
      <c r="AB433" s="17"/>
      <c r="AC433" s="17"/>
      <c r="AD433" s="17"/>
      <c r="AE433" s="17"/>
    </row>
    <row r="434">
      <c r="A434" s="71"/>
      <c r="B434" s="12"/>
      <c r="C434" s="12"/>
      <c r="D434" s="12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6"/>
      <c r="W434" s="13"/>
      <c r="X434" s="13"/>
      <c r="Y434" s="13"/>
      <c r="Z434" s="13"/>
      <c r="AA434" s="17"/>
      <c r="AB434" s="17"/>
      <c r="AC434" s="17"/>
      <c r="AD434" s="17"/>
      <c r="AE434" s="17"/>
    </row>
    <row r="435">
      <c r="A435" s="71"/>
      <c r="B435" s="12"/>
      <c r="C435" s="12"/>
      <c r="D435" s="12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6"/>
      <c r="W435" s="13"/>
      <c r="X435" s="13"/>
      <c r="Y435" s="13"/>
      <c r="Z435" s="13"/>
      <c r="AA435" s="17"/>
      <c r="AB435" s="17"/>
      <c r="AC435" s="17"/>
      <c r="AD435" s="17"/>
      <c r="AE435" s="17"/>
    </row>
    <row r="436">
      <c r="A436" s="71"/>
      <c r="B436" s="12"/>
      <c r="C436" s="12"/>
      <c r="D436" s="12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6"/>
      <c r="W436" s="13"/>
      <c r="X436" s="13"/>
      <c r="Y436" s="13"/>
      <c r="Z436" s="13"/>
      <c r="AA436" s="17"/>
      <c r="AB436" s="17"/>
      <c r="AC436" s="17"/>
      <c r="AD436" s="17"/>
      <c r="AE436" s="17"/>
    </row>
    <row r="437">
      <c r="A437" s="71"/>
      <c r="B437" s="12"/>
      <c r="C437" s="12"/>
      <c r="D437" s="12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6"/>
      <c r="W437" s="13"/>
      <c r="X437" s="13"/>
      <c r="Y437" s="13"/>
      <c r="Z437" s="13"/>
      <c r="AA437" s="17"/>
      <c r="AB437" s="17"/>
      <c r="AC437" s="17"/>
      <c r="AD437" s="17"/>
      <c r="AE437" s="17"/>
    </row>
    <row r="438">
      <c r="A438" s="71"/>
      <c r="B438" s="12"/>
      <c r="C438" s="12"/>
      <c r="D438" s="12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6"/>
      <c r="W438" s="13"/>
      <c r="X438" s="13"/>
      <c r="Y438" s="13"/>
      <c r="Z438" s="13"/>
      <c r="AA438" s="17"/>
      <c r="AB438" s="17"/>
      <c r="AC438" s="17"/>
      <c r="AD438" s="17"/>
      <c r="AE438" s="17"/>
    </row>
    <row r="439">
      <c r="A439" s="71"/>
      <c r="B439" s="12"/>
      <c r="C439" s="12"/>
      <c r="D439" s="12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6"/>
      <c r="W439" s="13"/>
      <c r="X439" s="13"/>
      <c r="Y439" s="13"/>
      <c r="Z439" s="13"/>
      <c r="AA439" s="17"/>
      <c r="AB439" s="17"/>
      <c r="AC439" s="17"/>
      <c r="AD439" s="17"/>
      <c r="AE439" s="17"/>
    </row>
    <row r="440">
      <c r="A440" s="71"/>
      <c r="B440" s="12"/>
      <c r="C440" s="12"/>
      <c r="D440" s="12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6"/>
      <c r="W440" s="13"/>
      <c r="X440" s="13"/>
      <c r="Y440" s="13"/>
      <c r="Z440" s="13"/>
      <c r="AA440" s="17"/>
      <c r="AB440" s="17"/>
      <c r="AC440" s="17"/>
      <c r="AD440" s="17"/>
      <c r="AE440" s="17"/>
    </row>
    <row r="441">
      <c r="A441" s="71"/>
      <c r="B441" s="12"/>
      <c r="C441" s="12"/>
      <c r="D441" s="12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6"/>
      <c r="W441" s="13"/>
      <c r="X441" s="13"/>
      <c r="Y441" s="13"/>
      <c r="Z441" s="13"/>
      <c r="AA441" s="17"/>
      <c r="AB441" s="17"/>
      <c r="AC441" s="17"/>
      <c r="AD441" s="17"/>
      <c r="AE441" s="17"/>
    </row>
    <row r="442">
      <c r="A442" s="71"/>
      <c r="B442" s="12"/>
      <c r="C442" s="12"/>
      <c r="D442" s="12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6"/>
      <c r="W442" s="13"/>
      <c r="X442" s="13"/>
      <c r="Y442" s="13"/>
      <c r="Z442" s="13"/>
      <c r="AA442" s="17"/>
      <c r="AB442" s="17"/>
      <c r="AC442" s="17"/>
      <c r="AD442" s="17"/>
      <c r="AE442" s="17"/>
    </row>
    <row r="443">
      <c r="A443" s="71"/>
      <c r="B443" s="12"/>
      <c r="C443" s="12"/>
      <c r="D443" s="12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6"/>
      <c r="W443" s="13"/>
      <c r="X443" s="13"/>
      <c r="Y443" s="13"/>
      <c r="Z443" s="13"/>
      <c r="AA443" s="17"/>
      <c r="AB443" s="17"/>
      <c r="AC443" s="17"/>
      <c r="AD443" s="17"/>
      <c r="AE443" s="17"/>
    </row>
    <row r="444">
      <c r="A444" s="71"/>
      <c r="B444" s="12"/>
      <c r="C444" s="12"/>
      <c r="D444" s="12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6"/>
      <c r="W444" s="13"/>
      <c r="X444" s="13"/>
      <c r="Y444" s="13"/>
      <c r="Z444" s="13"/>
      <c r="AA444" s="17"/>
      <c r="AB444" s="17"/>
      <c r="AC444" s="17"/>
      <c r="AD444" s="17"/>
      <c r="AE444" s="17"/>
    </row>
    <row r="445">
      <c r="A445" s="71"/>
      <c r="B445" s="12"/>
      <c r="C445" s="12"/>
      <c r="D445" s="12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6"/>
      <c r="W445" s="13"/>
      <c r="X445" s="13"/>
      <c r="Y445" s="13"/>
      <c r="Z445" s="13"/>
      <c r="AA445" s="17"/>
      <c r="AB445" s="17"/>
      <c r="AC445" s="17"/>
      <c r="AD445" s="17"/>
      <c r="AE445" s="17"/>
    </row>
    <row r="446">
      <c r="A446" s="71"/>
      <c r="B446" s="12"/>
      <c r="C446" s="12"/>
      <c r="D446" s="12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6"/>
      <c r="W446" s="13"/>
      <c r="X446" s="13"/>
      <c r="Y446" s="13"/>
      <c r="Z446" s="13"/>
      <c r="AA446" s="17"/>
      <c r="AB446" s="17"/>
      <c r="AC446" s="17"/>
      <c r="AD446" s="17"/>
      <c r="AE446" s="17"/>
    </row>
    <row r="447">
      <c r="A447" s="71"/>
      <c r="B447" s="12"/>
      <c r="C447" s="12"/>
      <c r="D447" s="12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6"/>
      <c r="W447" s="13"/>
      <c r="X447" s="13"/>
      <c r="Y447" s="13"/>
      <c r="Z447" s="13"/>
      <c r="AA447" s="17"/>
      <c r="AB447" s="17"/>
      <c r="AC447" s="17"/>
      <c r="AD447" s="17"/>
      <c r="AE447" s="17"/>
    </row>
    <row r="448">
      <c r="A448" s="71"/>
      <c r="B448" s="12"/>
      <c r="C448" s="12"/>
      <c r="D448" s="12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6"/>
      <c r="W448" s="13"/>
      <c r="X448" s="13"/>
      <c r="Y448" s="13"/>
      <c r="Z448" s="13"/>
      <c r="AA448" s="17"/>
      <c r="AB448" s="17"/>
      <c r="AC448" s="17"/>
      <c r="AD448" s="17"/>
      <c r="AE448" s="17"/>
    </row>
    <row r="449">
      <c r="A449" s="71"/>
      <c r="B449" s="12"/>
      <c r="C449" s="12"/>
      <c r="D449" s="12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6"/>
      <c r="W449" s="13"/>
      <c r="X449" s="13"/>
      <c r="Y449" s="13"/>
      <c r="Z449" s="13"/>
      <c r="AA449" s="17"/>
      <c r="AB449" s="17"/>
      <c r="AC449" s="17"/>
      <c r="AD449" s="17"/>
      <c r="AE449" s="17"/>
    </row>
    <row r="450">
      <c r="A450" s="71"/>
      <c r="B450" s="12"/>
      <c r="C450" s="12"/>
      <c r="D450" s="12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6"/>
      <c r="W450" s="13"/>
      <c r="X450" s="13"/>
      <c r="Y450" s="13"/>
      <c r="Z450" s="13"/>
      <c r="AA450" s="17"/>
      <c r="AB450" s="17"/>
      <c r="AC450" s="17"/>
      <c r="AD450" s="17"/>
      <c r="AE450" s="17"/>
    </row>
    <row r="451">
      <c r="A451" s="71"/>
      <c r="B451" s="12"/>
      <c r="C451" s="12"/>
      <c r="D451" s="12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6"/>
      <c r="W451" s="13"/>
      <c r="X451" s="13"/>
      <c r="Y451" s="13"/>
      <c r="Z451" s="13"/>
      <c r="AA451" s="17"/>
      <c r="AB451" s="17"/>
      <c r="AC451" s="17"/>
      <c r="AD451" s="17"/>
      <c r="AE451" s="17"/>
    </row>
    <row r="452">
      <c r="A452" s="71"/>
      <c r="B452" s="12"/>
      <c r="C452" s="12"/>
      <c r="D452" s="12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6"/>
      <c r="W452" s="13"/>
      <c r="X452" s="13"/>
      <c r="Y452" s="13"/>
      <c r="Z452" s="13"/>
      <c r="AA452" s="17"/>
      <c r="AB452" s="17"/>
      <c r="AC452" s="17"/>
      <c r="AD452" s="17"/>
      <c r="AE452" s="17"/>
    </row>
    <row r="453">
      <c r="A453" s="71"/>
      <c r="B453" s="12"/>
      <c r="C453" s="12"/>
      <c r="D453" s="12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6"/>
      <c r="W453" s="13"/>
      <c r="X453" s="13"/>
      <c r="Y453" s="13"/>
      <c r="Z453" s="13"/>
      <c r="AA453" s="17"/>
      <c r="AB453" s="17"/>
      <c r="AC453" s="17"/>
      <c r="AD453" s="17"/>
      <c r="AE453" s="17"/>
    </row>
    <row r="454">
      <c r="A454" s="71"/>
      <c r="B454" s="12"/>
      <c r="C454" s="12"/>
      <c r="D454" s="12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6"/>
      <c r="W454" s="13"/>
      <c r="X454" s="13"/>
      <c r="Y454" s="13"/>
      <c r="Z454" s="13"/>
      <c r="AA454" s="17"/>
      <c r="AB454" s="17"/>
      <c r="AC454" s="17"/>
      <c r="AD454" s="17"/>
      <c r="AE454" s="17"/>
    </row>
    <row r="455">
      <c r="A455" s="71"/>
      <c r="B455" s="12"/>
      <c r="C455" s="12"/>
      <c r="D455" s="12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6"/>
      <c r="W455" s="13"/>
      <c r="X455" s="13"/>
      <c r="Y455" s="13"/>
      <c r="Z455" s="13"/>
      <c r="AA455" s="17"/>
      <c r="AB455" s="17"/>
      <c r="AC455" s="17"/>
      <c r="AD455" s="17"/>
      <c r="AE455" s="17"/>
    </row>
    <row r="456">
      <c r="A456" s="71"/>
      <c r="B456" s="12"/>
      <c r="C456" s="12"/>
      <c r="D456" s="12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6"/>
      <c r="W456" s="13"/>
      <c r="X456" s="13"/>
      <c r="Y456" s="13"/>
      <c r="Z456" s="13"/>
      <c r="AA456" s="17"/>
      <c r="AB456" s="17"/>
      <c r="AC456" s="17"/>
      <c r="AD456" s="17"/>
      <c r="AE456" s="17"/>
    </row>
    <row r="457">
      <c r="A457" s="71"/>
      <c r="B457" s="12"/>
      <c r="C457" s="12"/>
      <c r="D457" s="12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6"/>
      <c r="W457" s="13"/>
      <c r="X457" s="13"/>
      <c r="Y457" s="13"/>
      <c r="Z457" s="13"/>
      <c r="AA457" s="17"/>
      <c r="AB457" s="17"/>
      <c r="AC457" s="17"/>
      <c r="AD457" s="17"/>
      <c r="AE457" s="17"/>
    </row>
    <row r="458">
      <c r="A458" s="71"/>
      <c r="B458" s="12"/>
      <c r="C458" s="12"/>
      <c r="D458" s="12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6"/>
      <c r="W458" s="13"/>
      <c r="X458" s="13"/>
      <c r="Y458" s="13"/>
      <c r="Z458" s="13"/>
      <c r="AA458" s="17"/>
      <c r="AB458" s="17"/>
      <c r="AC458" s="17"/>
      <c r="AD458" s="17"/>
      <c r="AE458" s="17"/>
    </row>
    <row r="459">
      <c r="A459" s="71"/>
      <c r="B459" s="12"/>
      <c r="C459" s="12"/>
      <c r="D459" s="12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6"/>
      <c r="W459" s="13"/>
      <c r="X459" s="13"/>
      <c r="Y459" s="13"/>
      <c r="Z459" s="13"/>
      <c r="AA459" s="17"/>
      <c r="AB459" s="17"/>
      <c r="AC459" s="17"/>
      <c r="AD459" s="17"/>
      <c r="AE459" s="17"/>
    </row>
    <row r="460">
      <c r="A460" s="71"/>
      <c r="B460" s="12"/>
      <c r="C460" s="12"/>
      <c r="D460" s="12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6"/>
      <c r="W460" s="13"/>
      <c r="X460" s="13"/>
      <c r="Y460" s="13"/>
      <c r="Z460" s="13"/>
      <c r="AA460" s="17"/>
      <c r="AB460" s="17"/>
      <c r="AC460" s="17"/>
      <c r="AD460" s="17"/>
      <c r="AE460" s="17"/>
    </row>
    <row r="461">
      <c r="A461" s="71"/>
      <c r="B461" s="12"/>
      <c r="C461" s="12"/>
      <c r="D461" s="12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6"/>
      <c r="W461" s="13"/>
      <c r="X461" s="13"/>
      <c r="Y461" s="13"/>
      <c r="Z461" s="13"/>
      <c r="AA461" s="17"/>
      <c r="AB461" s="17"/>
      <c r="AC461" s="17"/>
      <c r="AD461" s="17"/>
      <c r="AE461" s="17"/>
    </row>
    <row r="462">
      <c r="A462" s="71"/>
      <c r="B462" s="12"/>
      <c r="C462" s="12"/>
      <c r="D462" s="12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6"/>
      <c r="W462" s="13"/>
      <c r="X462" s="13"/>
      <c r="Y462" s="13"/>
      <c r="Z462" s="13"/>
      <c r="AA462" s="17"/>
      <c r="AB462" s="17"/>
      <c r="AC462" s="17"/>
      <c r="AD462" s="17"/>
      <c r="AE462" s="17"/>
    </row>
    <row r="463">
      <c r="A463" s="71"/>
      <c r="B463" s="12"/>
      <c r="C463" s="12"/>
      <c r="D463" s="12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6"/>
      <c r="W463" s="13"/>
      <c r="X463" s="13"/>
      <c r="Y463" s="13"/>
      <c r="Z463" s="13"/>
      <c r="AA463" s="17"/>
      <c r="AB463" s="17"/>
      <c r="AC463" s="17"/>
      <c r="AD463" s="17"/>
      <c r="AE463" s="17"/>
    </row>
    <row r="464">
      <c r="A464" s="71"/>
      <c r="B464" s="12"/>
      <c r="C464" s="12"/>
      <c r="D464" s="12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6"/>
      <c r="W464" s="13"/>
      <c r="X464" s="13"/>
      <c r="Y464" s="13"/>
      <c r="Z464" s="13"/>
      <c r="AA464" s="17"/>
      <c r="AB464" s="17"/>
      <c r="AC464" s="17"/>
      <c r="AD464" s="17"/>
      <c r="AE464" s="17"/>
    </row>
    <row r="465">
      <c r="A465" s="71"/>
      <c r="B465" s="12"/>
      <c r="C465" s="12"/>
      <c r="D465" s="12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6"/>
      <c r="W465" s="13"/>
      <c r="X465" s="13"/>
      <c r="Y465" s="13"/>
      <c r="Z465" s="13"/>
      <c r="AA465" s="17"/>
      <c r="AB465" s="17"/>
      <c r="AC465" s="17"/>
      <c r="AD465" s="17"/>
      <c r="AE465" s="17"/>
    </row>
    <row r="466">
      <c r="A466" s="71"/>
      <c r="B466" s="12"/>
      <c r="C466" s="12"/>
      <c r="D466" s="12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6"/>
      <c r="W466" s="13"/>
      <c r="X466" s="13"/>
      <c r="Y466" s="13"/>
      <c r="Z466" s="13"/>
      <c r="AA466" s="17"/>
      <c r="AB466" s="17"/>
      <c r="AC466" s="17"/>
      <c r="AD466" s="17"/>
      <c r="AE466" s="17"/>
    </row>
    <row r="467">
      <c r="A467" s="71"/>
      <c r="B467" s="12"/>
      <c r="C467" s="12"/>
      <c r="D467" s="12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6"/>
      <c r="W467" s="13"/>
      <c r="X467" s="13"/>
      <c r="Y467" s="13"/>
      <c r="Z467" s="13"/>
      <c r="AA467" s="17"/>
      <c r="AB467" s="17"/>
      <c r="AC467" s="17"/>
      <c r="AD467" s="17"/>
      <c r="AE467" s="17"/>
    </row>
    <row r="468">
      <c r="A468" s="71"/>
      <c r="B468" s="12"/>
      <c r="C468" s="12"/>
      <c r="D468" s="12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6"/>
      <c r="W468" s="13"/>
      <c r="X468" s="13"/>
      <c r="Y468" s="13"/>
      <c r="Z468" s="13"/>
      <c r="AA468" s="17"/>
      <c r="AB468" s="17"/>
      <c r="AC468" s="17"/>
      <c r="AD468" s="17"/>
      <c r="AE468" s="17"/>
    </row>
    <row r="469">
      <c r="A469" s="71"/>
      <c r="B469" s="12"/>
      <c r="C469" s="12"/>
      <c r="D469" s="12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6"/>
      <c r="W469" s="13"/>
      <c r="X469" s="13"/>
      <c r="Y469" s="13"/>
      <c r="Z469" s="13"/>
      <c r="AA469" s="17"/>
      <c r="AB469" s="17"/>
      <c r="AC469" s="17"/>
      <c r="AD469" s="17"/>
      <c r="AE469" s="17"/>
    </row>
    <row r="470">
      <c r="A470" s="71"/>
      <c r="B470" s="12"/>
      <c r="C470" s="12"/>
      <c r="D470" s="12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6"/>
      <c r="W470" s="13"/>
      <c r="X470" s="13"/>
      <c r="Y470" s="13"/>
      <c r="Z470" s="13"/>
      <c r="AA470" s="17"/>
      <c r="AB470" s="17"/>
      <c r="AC470" s="17"/>
      <c r="AD470" s="17"/>
      <c r="AE470" s="17"/>
    </row>
    <row r="471">
      <c r="A471" s="71"/>
      <c r="B471" s="12"/>
      <c r="C471" s="12"/>
      <c r="D471" s="12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6"/>
      <c r="W471" s="13"/>
      <c r="X471" s="13"/>
      <c r="Y471" s="13"/>
      <c r="Z471" s="13"/>
      <c r="AA471" s="17"/>
      <c r="AB471" s="17"/>
      <c r="AC471" s="17"/>
      <c r="AD471" s="17"/>
      <c r="AE471" s="17"/>
    </row>
    <row r="472">
      <c r="A472" s="71"/>
      <c r="B472" s="12"/>
      <c r="C472" s="12"/>
      <c r="D472" s="12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6"/>
      <c r="W472" s="13"/>
      <c r="X472" s="13"/>
      <c r="Y472" s="13"/>
      <c r="Z472" s="13"/>
      <c r="AA472" s="17"/>
      <c r="AB472" s="17"/>
      <c r="AC472" s="17"/>
      <c r="AD472" s="17"/>
      <c r="AE472" s="17"/>
    </row>
    <row r="473">
      <c r="A473" s="71"/>
      <c r="B473" s="12"/>
      <c r="C473" s="12"/>
      <c r="D473" s="12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6"/>
      <c r="W473" s="13"/>
      <c r="X473" s="13"/>
      <c r="Y473" s="13"/>
      <c r="Z473" s="13"/>
      <c r="AA473" s="17"/>
      <c r="AB473" s="17"/>
      <c r="AC473" s="17"/>
      <c r="AD473" s="17"/>
      <c r="AE473" s="17"/>
    </row>
    <row r="474">
      <c r="A474" s="72"/>
      <c r="B474" s="12"/>
      <c r="C474" s="12"/>
      <c r="D474" s="12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6"/>
      <c r="W474" s="13"/>
      <c r="X474" s="13"/>
      <c r="Y474" s="13"/>
      <c r="Z474" s="13"/>
      <c r="AA474" s="17"/>
      <c r="AB474" s="17"/>
      <c r="AC474" s="17"/>
      <c r="AD474" s="17"/>
      <c r="AE474" s="17"/>
    </row>
    <row r="475">
      <c r="A475" s="72"/>
      <c r="B475" s="12"/>
      <c r="C475" s="12"/>
      <c r="D475" s="12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6"/>
      <c r="W475" s="13"/>
      <c r="X475" s="13"/>
      <c r="Y475" s="13"/>
      <c r="Z475" s="13"/>
      <c r="AA475" s="17"/>
      <c r="AB475" s="17"/>
      <c r="AC475" s="17"/>
      <c r="AD475" s="17"/>
      <c r="AE475" s="17"/>
    </row>
    <row r="476">
      <c r="A476" s="72"/>
      <c r="B476" s="12"/>
      <c r="C476" s="12"/>
      <c r="D476" s="12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6"/>
      <c r="W476" s="13"/>
      <c r="X476" s="13"/>
      <c r="Y476" s="13"/>
      <c r="Z476" s="13"/>
      <c r="AA476" s="17"/>
      <c r="AB476" s="17"/>
      <c r="AC476" s="17"/>
      <c r="AD476" s="17"/>
      <c r="AE476" s="17"/>
    </row>
    <row r="477">
      <c r="A477" s="72"/>
      <c r="B477" s="12"/>
      <c r="C477" s="12"/>
      <c r="D477" s="12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6"/>
      <c r="W477" s="13"/>
      <c r="X477" s="13"/>
      <c r="Y477" s="13"/>
      <c r="Z477" s="13"/>
      <c r="AA477" s="17"/>
      <c r="AB477" s="17"/>
      <c r="AC477" s="17"/>
      <c r="AD477" s="17"/>
      <c r="AE477" s="17"/>
    </row>
    <row r="478">
      <c r="A478" s="72"/>
      <c r="B478" s="12"/>
      <c r="C478" s="12"/>
      <c r="D478" s="12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6"/>
      <c r="W478" s="13"/>
      <c r="X478" s="13"/>
      <c r="Y478" s="13"/>
      <c r="Z478" s="13"/>
      <c r="AA478" s="17"/>
      <c r="AB478" s="17"/>
      <c r="AC478" s="17"/>
      <c r="AD478" s="17"/>
      <c r="AE478" s="17"/>
    </row>
    <row r="479">
      <c r="A479" s="72"/>
      <c r="B479" s="12"/>
      <c r="C479" s="12"/>
      <c r="D479" s="12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6"/>
      <c r="W479" s="13"/>
      <c r="X479" s="13"/>
      <c r="Y479" s="13"/>
      <c r="Z479" s="13"/>
      <c r="AA479" s="17"/>
      <c r="AB479" s="17"/>
      <c r="AC479" s="17"/>
      <c r="AD479" s="17"/>
      <c r="AE479" s="17"/>
    </row>
    <row r="480">
      <c r="A480" s="72"/>
      <c r="B480" s="12"/>
      <c r="C480" s="12"/>
      <c r="D480" s="12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6"/>
      <c r="W480" s="13"/>
      <c r="X480" s="13"/>
      <c r="Y480" s="13"/>
      <c r="Z480" s="13"/>
      <c r="AA480" s="17"/>
      <c r="AB480" s="17"/>
      <c r="AC480" s="17"/>
      <c r="AD480" s="17"/>
      <c r="AE480" s="17"/>
    </row>
    <row r="481">
      <c r="A481" s="72"/>
      <c r="B481" s="12"/>
      <c r="C481" s="12"/>
      <c r="D481" s="12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6"/>
      <c r="W481" s="13"/>
      <c r="X481" s="13"/>
      <c r="Y481" s="13"/>
      <c r="Z481" s="13"/>
      <c r="AA481" s="17"/>
      <c r="AB481" s="17"/>
      <c r="AC481" s="17"/>
      <c r="AD481" s="17"/>
      <c r="AE481" s="17"/>
    </row>
    <row r="482">
      <c r="A482" s="72"/>
      <c r="B482" s="12"/>
      <c r="C482" s="12"/>
      <c r="D482" s="12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6"/>
      <c r="W482" s="13"/>
      <c r="X482" s="13"/>
      <c r="Y482" s="13"/>
      <c r="Z482" s="13"/>
      <c r="AA482" s="17"/>
      <c r="AB482" s="17"/>
      <c r="AC482" s="17"/>
      <c r="AD482" s="17"/>
      <c r="AE482" s="17"/>
    </row>
    <row r="483">
      <c r="A483" s="72"/>
      <c r="B483" s="12"/>
      <c r="C483" s="12"/>
      <c r="D483" s="12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6"/>
      <c r="W483" s="13"/>
      <c r="X483" s="13"/>
      <c r="Y483" s="13"/>
      <c r="Z483" s="13"/>
      <c r="AA483" s="17"/>
      <c r="AB483" s="17"/>
      <c r="AC483" s="17"/>
      <c r="AD483" s="17"/>
      <c r="AE483" s="17"/>
    </row>
    <row r="484">
      <c r="A484" s="72"/>
      <c r="B484" s="12"/>
      <c r="C484" s="12"/>
      <c r="D484" s="12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6"/>
      <c r="W484" s="13"/>
      <c r="X484" s="13"/>
      <c r="Y484" s="13"/>
      <c r="Z484" s="13"/>
      <c r="AA484" s="17"/>
      <c r="AB484" s="17"/>
      <c r="AC484" s="17"/>
      <c r="AD484" s="17"/>
      <c r="AE484" s="17"/>
    </row>
    <row r="485">
      <c r="A485" s="72"/>
      <c r="B485" s="12"/>
      <c r="C485" s="12"/>
      <c r="D485" s="12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6"/>
      <c r="W485" s="13"/>
      <c r="X485" s="13"/>
      <c r="Y485" s="13"/>
      <c r="Z485" s="13"/>
      <c r="AA485" s="17"/>
      <c r="AB485" s="17"/>
      <c r="AC485" s="17"/>
      <c r="AD485" s="17"/>
      <c r="AE485" s="17"/>
    </row>
    <row r="486">
      <c r="A486" s="72"/>
      <c r="B486" s="12"/>
      <c r="C486" s="12"/>
      <c r="D486" s="12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6"/>
      <c r="W486" s="13"/>
      <c r="X486" s="13"/>
      <c r="Y486" s="13"/>
      <c r="Z486" s="13"/>
      <c r="AA486" s="17"/>
      <c r="AB486" s="17"/>
      <c r="AC486" s="17"/>
      <c r="AD486" s="17"/>
      <c r="AE486" s="17"/>
    </row>
    <row r="487">
      <c r="A487" s="72"/>
      <c r="B487" s="12"/>
      <c r="C487" s="12"/>
      <c r="D487" s="12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6"/>
      <c r="W487" s="13"/>
      <c r="X487" s="13"/>
      <c r="Y487" s="13"/>
      <c r="Z487" s="13"/>
      <c r="AA487" s="17"/>
      <c r="AB487" s="17"/>
      <c r="AC487" s="17"/>
      <c r="AD487" s="17"/>
      <c r="AE487" s="17"/>
    </row>
    <row r="488">
      <c r="A488" s="72"/>
      <c r="B488" s="12"/>
      <c r="C488" s="12"/>
      <c r="D488" s="12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6"/>
      <c r="W488" s="13"/>
      <c r="X488" s="13"/>
      <c r="Y488" s="13"/>
      <c r="Z488" s="13"/>
      <c r="AA488" s="17"/>
      <c r="AB488" s="17"/>
      <c r="AC488" s="17"/>
      <c r="AD488" s="17"/>
      <c r="AE488" s="17"/>
    </row>
    <row r="489">
      <c r="A489" s="72"/>
      <c r="B489" s="12"/>
      <c r="C489" s="12"/>
      <c r="D489" s="12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6"/>
      <c r="W489" s="13"/>
      <c r="X489" s="13"/>
      <c r="Y489" s="13"/>
      <c r="Z489" s="13"/>
      <c r="AA489" s="17"/>
      <c r="AB489" s="17"/>
      <c r="AC489" s="17"/>
      <c r="AD489" s="17"/>
      <c r="AE489" s="17"/>
    </row>
    <row r="490">
      <c r="A490" s="72"/>
      <c r="B490" s="12"/>
      <c r="C490" s="12"/>
      <c r="D490" s="12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6"/>
      <c r="W490" s="13"/>
      <c r="X490" s="13"/>
      <c r="Y490" s="13"/>
      <c r="Z490" s="13"/>
      <c r="AA490" s="17"/>
      <c r="AB490" s="17"/>
      <c r="AC490" s="17"/>
      <c r="AD490" s="17"/>
      <c r="AE490" s="17"/>
    </row>
    <row r="491">
      <c r="A491" s="72"/>
      <c r="B491" s="12"/>
      <c r="C491" s="12"/>
      <c r="D491" s="12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6"/>
      <c r="W491" s="13"/>
      <c r="X491" s="13"/>
      <c r="Y491" s="13"/>
      <c r="Z491" s="13"/>
      <c r="AA491" s="17"/>
      <c r="AB491" s="17"/>
      <c r="AC491" s="17"/>
      <c r="AD491" s="17"/>
      <c r="AE491" s="17"/>
    </row>
    <row r="492">
      <c r="A492" s="72"/>
      <c r="B492" s="12"/>
      <c r="C492" s="12"/>
      <c r="D492" s="12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6"/>
      <c r="W492" s="13"/>
      <c r="X492" s="13"/>
      <c r="Y492" s="13"/>
      <c r="Z492" s="13"/>
      <c r="AA492" s="17"/>
      <c r="AB492" s="17"/>
      <c r="AC492" s="17"/>
      <c r="AD492" s="17"/>
      <c r="AE492" s="17"/>
    </row>
    <row r="493">
      <c r="A493" s="72"/>
      <c r="B493" s="12"/>
      <c r="C493" s="12"/>
      <c r="D493" s="12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6"/>
      <c r="W493" s="13"/>
      <c r="X493" s="13"/>
      <c r="Y493" s="13"/>
      <c r="Z493" s="13"/>
      <c r="AA493" s="17"/>
      <c r="AB493" s="17"/>
      <c r="AC493" s="17"/>
      <c r="AD493" s="17"/>
      <c r="AE493" s="17"/>
    </row>
    <row r="494">
      <c r="A494" s="72"/>
      <c r="B494" s="12"/>
      <c r="C494" s="12"/>
      <c r="D494" s="12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6"/>
      <c r="W494" s="13"/>
      <c r="X494" s="13"/>
      <c r="Y494" s="13"/>
      <c r="Z494" s="13"/>
      <c r="AA494" s="17"/>
      <c r="AB494" s="17"/>
      <c r="AC494" s="17"/>
      <c r="AD494" s="17"/>
      <c r="AE494" s="17"/>
    </row>
    <row r="495">
      <c r="A495" s="72"/>
      <c r="B495" s="12"/>
      <c r="C495" s="12"/>
      <c r="D495" s="12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6"/>
      <c r="W495" s="13"/>
      <c r="X495" s="13"/>
      <c r="Y495" s="13"/>
      <c r="Z495" s="13"/>
      <c r="AA495" s="17"/>
      <c r="AB495" s="17"/>
      <c r="AC495" s="17"/>
      <c r="AD495" s="17"/>
      <c r="AE495" s="17"/>
    </row>
    <row r="496">
      <c r="A496" s="72"/>
      <c r="B496" s="12"/>
      <c r="C496" s="12"/>
      <c r="D496" s="12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6"/>
      <c r="W496" s="13"/>
      <c r="X496" s="13"/>
      <c r="Y496" s="13"/>
      <c r="Z496" s="13"/>
      <c r="AA496" s="17"/>
      <c r="AB496" s="17"/>
      <c r="AC496" s="17"/>
      <c r="AD496" s="17"/>
      <c r="AE496" s="17"/>
    </row>
    <row r="497">
      <c r="A497" s="72"/>
      <c r="B497" s="12"/>
      <c r="C497" s="12"/>
      <c r="D497" s="12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6"/>
      <c r="W497" s="13"/>
      <c r="X497" s="13"/>
      <c r="Y497" s="13"/>
      <c r="Z497" s="13"/>
      <c r="AA497" s="17"/>
      <c r="AB497" s="17"/>
      <c r="AC497" s="17"/>
      <c r="AD497" s="17"/>
      <c r="AE497" s="17"/>
    </row>
    <row r="498">
      <c r="A498" s="72"/>
      <c r="B498" s="12"/>
      <c r="C498" s="12"/>
      <c r="D498" s="12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6"/>
      <c r="W498" s="13"/>
      <c r="X498" s="13"/>
      <c r="Y498" s="13"/>
      <c r="Z498" s="13"/>
      <c r="AA498" s="17"/>
      <c r="AB498" s="17"/>
      <c r="AC498" s="17"/>
      <c r="AD498" s="17"/>
      <c r="AE498" s="17"/>
    </row>
    <row r="499">
      <c r="A499" s="72"/>
      <c r="B499" s="12"/>
      <c r="C499" s="12"/>
      <c r="D499" s="12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6"/>
      <c r="W499" s="13"/>
      <c r="X499" s="13"/>
      <c r="Y499" s="13"/>
      <c r="Z499" s="13"/>
      <c r="AA499" s="17"/>
      <c r="AB499" s="17"/>
      <c r="AC499" s="17"/>
      <c r="AD499" s="17"/>
      <c r="AE499" s="17"/>
    </row>
    <row r="500">
      <c r="A500" s="72"/>
      <c r="B500" s="12"/>
      <c r="C500" s="12"/>
      <c r="D500" s="12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6"/>
      <c r="W500" s="13"/>
      <c r="X500" s="13"/>
      <c r="Y500" s="13"/>
      <c r="Z500" s="13"/>
      <c r="AA500" s="17"/>
      <c r="AB500" s="17"/>
      <c r="AC500" s="17"/>
      <c r="AD500" s="17"/>
      <c r="AE500" s="17"/>
    </row>
    <row r="501">
      <c r="A501" s="72"/>
      <c r="B501" s="12"/>
      <c r="C501" s="12"/>
      <c r="D501" s="12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6"/>
      <c r="W501" s="13"/>
      <c r="X501" s="13"/>
      <c r="Y501" s="13"/>
      <c r="Z501" s="13"/>
      <c r="AA501" s="17"/>
      <c r="AB501" s="17"/>
      <c r="AC501" s="17"/>
      <c r="AD501" s="17"/>
      <c r="AE501" s="17"/>
    </row>
    <row r="502">
      <c r="A502" s="72"/>
      <c r="B502" s="12"/>
      <c r="C502" s="12"/>
      <c r="D502" s="12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6"/>
      <c r="W502" s="13"/>
      <c r="X502" s="13"/>
      <c r="Y502" s="13"/>
      <c r="Z502" s="13"/>
      <c r="AA502" s="17"/>
      <c r="AB502" s="17"/>
      <c r="AC502" s="17"/>
      <c r="AD502" s="17"/>
      <c r="AE502" s="17"/>
    </row>
    <row r="503">
      <c r="A503" s="72"/>
      <c r="B503" s="12"/>
      <c r="C503" s="12"/>
      <c r="D503" s="12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6"/>
      <c r="W503" s="13"/>
      <c r="X503" s="13"/>
      <c r="Y503" s="13"/>
      <c r="Z503" s="13"/>
      <c r="AA503" s="17"/>
      <c r="AB503" s="17"/>
      <c r="AC503" s="17"/>
      <c r="AD503" s="17"/>
      <c r="AE503" s="17"/>
    </row>
    <row r="504">
      <c r="A504" s="72"/>
      <c r="B504" s="12"/>
      <c r="C504" s="12"/>
      <c r="D504" s="12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6"/>
      <c r="W504" s="13"/>
      <c r="X504" s="13"/>
      <c r="Y504" s="13"/>
      <c r="Z504" s="13"/>
      <c r="AA504" s="17"/>
      <c r="AB504" s="17"/>
      <c r="AC504" s="17"/>
      <c r="AD504" s="17"/>
      <c r="AE504" s="17"/>
    </row>
    <row r="505">
      <c r="A505" s="72"/>
      <c r="B505" s="12"/>
      <c r="C505" s="12"/>
      <c r="D505" s="12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6"/>
      <c r="W505" s="13"/>
      <c r="X505" s="13"/>
      <c r="Y505" s="13"/>
      <c r="Z505" s="13"/>
      <c r="AA505" s="17"/>
      <c r="AB505" s="17"/>
      <c r="AC505" s="17"/>
      <c r="AD505" s="17"/>
      <c r="AE505" s="17"/>
    </row>
    <row r="506">
      <c r="A506" s="72"/>
      <c r="B506" s="12"/>
      <c r="C506" s="12"/>
      <c r="D506" s="12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6"/>
      <c r="W506" s="13"/>
      <c r="X506" s="13"/>
      <c r="Y506" s="13"/>
      <c r="Z506" s="13"/>
      <c r="AA506" s="17"/>
      <c r="AB506" s="17"/>
      <c r="AC506" s="17"/>
      <c r="AD506" s="17"/>
      <c r="AE506" s="17"/>
    </row>
    <row r="507">
      <c r="A507" s="72"/>
      <c r="B507" s="12"/>
      <c r="C507" s="12"/>
      <c r="D507" s="12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6"/>
      <c r="W507" s="13"/>
      <c r="X507" s="13"/>
      <c r="Y507" s="13"/>
      <c r="Z507" s="13"/>
      <c r="AA507" s="17"/>
      <c r="AB507" s="17"/>
      <c r="AC507" s="17"/>
      <c r="AD507" s="17"/>
      <c r="AE507" s="17"/>
    </row>
    <row r="508">
      <c r="A508" s="72"/>
      <c r="B508" s="12"/>
      <c r="C508" s="12"/>
      <c r="D508" s="12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6"/>
      <c r="W508" s="13"/>
      <c r="X508" s="13"/>
      <c r="Y508" s="13"/>
      <c r="Z508" s="13"/>
      <c r="AA508" s="17"/>
      <c r="AB508" s="17"/>
      <c r="AC508" s="17"/>
      <c r="AD508" s="17"/>
      <c r="AE508" s="17"/>
    </row>
    <row r="509">
      <c r="A509" s="72"/>
      <c r="B509" s="12"/>
      <c r="C509" s="12"/>
      <c r="D509" s="12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6"/>
      <c r="W509" s="13"/>
      <c r="X509" s="13"/>
      <c r="Y509" s="13"/>
      <c r="Z509" s="13"/>
      <c r="AA509" s="17"/>
      <c r="AB509" s="17"/>
      <c r="AC509" s="17"/>
      <c r="AD509" s="17"/>
      <c r="AE509" s="17"/>
    </row>
    <row r="510">
      <c r="A510" s="72"/>
      <c r="B510" s="12"/>
      <c r="C510" s="12"/>
      <c r="D510" s="12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6"/>
      <c r="W510" s="13"/>
      <c r="X510" s="13"/>
      <c r="Y510" s="13"/>
      <c r="Z510" s="13"/>
      <c r="AA510" s="17"/>
      <c r="AB510" s="17"/>
      <c r="AC510" s="17"/>
      <c r="AD510" s="17"/>
      <c r="AE510" s="17"/>
    </row>
    <row r="511">
      <c r="A511" s="72"/>
      <c r="B511" s="12"/>
      <c r="C511" s="12"/>
      <c r="D511" s="12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6"/>
      <c r="W511" s="13"/>
      <c r="X511" s="13"/>
      <c r="Y511" s="13"/>
      <c r="Z511" s="13"/>
      <c r="AA511" s="17"/>
      <c r="AB511" s="17"/>
      <c r="AC511" s="17"/>
      <c r="AD511" s="17"/>
      <c r="AE511" s="17"/>
    </row>
    <row r="512">
      <c r="A512" s="72"/>
      <c r="B512" s="12"/>
      <c r="C512" s="12"/>
      <c r="D512" s="12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6"/>
      <c r="W512" s="13"/>
      <c r="X512" s="13"/>
      <c r="Y512" s="13"/>
      <c r="Z512" s="13"/>
      <c r="AA512" s="17"/>
      <c r="AB512" s="17"/>
      <c r="AC512" s="17"/>
      <c r="AD512" s="17"/>
      <c r="AE512" s="17"/>
    </row>
    <row r="513">
      <c r="A513" s="72"/>
      <c r="B513" s="12"/>
      <c r="C513" s="12"/>
      <c r="D513" s="12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6"/>
      <c r="W513" s="13"/>
      <c r="X513" s="13"/>
      <c r="Y513" s="13"/>
      <c r="Z513" s="13"/>
      <c r="AA513" s="17"/>
      <c r="AB513" s="17"/>
      <c r="AC513" s="17"/>
      <c r="AD513" s="17"/>
      <c r="AE513" s="17"/>
    </row>
    <row r="514">
      <c r="A514" s="72"/>
      <c r="B514" s="12"/>
      <c r="C514" s="12"/>
      <c r="D514" s="12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6"/>
      <c r="W514" s="13"/>
      <c r="X514" s="13"/>
      <c r="Y514" s="13"/>
      <c r="Z514" s="13"/>
      <c r="AA514" s="17"/>
      <c r="AB514" s="17"/>
      <c r="AC514" s="17"/>
      <c r="AD514" s="17"/>
      <c r="AE514" s="17"/>
    </row>
    <row r="515">
      <c r="A515" s="72"/>
      <c r="B515" s="12"/>
      <c r="C515" s="12"/>
      <c r="D515" s="12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6"/>
      <c r="W515" s="13"/>
      <c r="X515" s="13"/>
      <c r="Y515" s="13"/>
      <c r="Z515" s="13"/>
      <c r="AA515" s="17"/>
      <c r="AB515" s="17"/>
      <c r="AC515" s="17"/>
      <c r="AD515" s="17"/>
      <c r="AE515" s="17"/>
    </row>
    <row r="516">
      <c r="A516" s="72"/>
      <c r="B516" s="12"/>
      <c r="C516" s="12"/>
      <c r="D516" s="12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6"/>
      <c r="W516" s="13"/>
      <c r="X516" s="13"/>
      <c r="Y516" s="13"/>
      <c r="Z516" s="13"/>
      <c r="AA516" s="17"/>
      <c r="AB516" s="17"/>
      <c r="AC516" s="17"/>
      <c r="AD516" s="17"/>
      <c r="AE516" s="17"/>
    </row>
    <row r="517">
      <c r="A517" s="72"/>
      <c r="B517" s="12"/>
      <c r="C517" s="12"/>
      <c r="D517" s="12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6"/>
      <c r="W517" s="13"/>
      <c r="X517" s="13"/>
      <c r="Y517" s="13"/>
      <c r="Z517" s="13"/>
      <c r="AA517" s="17"/>
      <c r="AB517" s="17"/>
      <c r="AC517" s="17"/>
      <c r="AD517" s="17"/>
      <c r="AE517" s="17"/>
    </row>
    <row r="518">
      <c r="A518" s="72"/>
      <c r="B518" s="12"/>
      <c r="C518" s="12"/>
      <c r="D518" s="12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6"/>
      <c r="W518" s="13"/>
      <c r="X518" s="13"/>
      <c r="Y518" s="13"/>
      <c r="Z518" s="13"/>
      <c r="AA518" s="17"/>
      <c r="AB518" s="17"/>
      <c r="AC518" s="17"/>
      <c r="AD518" s="17"/>
      <c r="AE518" s="17"/>
    </row>
    <row r="519">
      <c r="A519" s="72"/>
      <c r="B519" s="12"/>
      <c r="C519" s="12"/>
      <c r="D519" s="12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6"/>
      <c r="W519" s="13"/>
      <c r="X519" s="13"/>
      <c r="Y519" s="13"/>
      <c r="Z519" s="13"/>
      <c r="AA519" s="17"/>
      <c r="AB519" s="17"/>
      <c r="AC519" s="17"/>
      <c r="AD519" s="17"/>
      <c r="AE519" s="17"/>
    </row>
    <row r="520">
      <c r="A520" s="72"/>
      <c r="B520" s="12"/>
      <c r="C520" s="12"/>
      <c r="D520" s="12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6"/>
      <c r="W520" s="13"/>
      <c r="X520" s="13"/>
      <c r="Y520" s="13"/>
      <c r="Z520" s="13"/>
      <c r="AA520" s="17"/>
      <c r="AB520" s="17"/>
      <c r="AC520" s="17"/>
      <c r="AD520" s="17"/>
      <c r="AE520" s="17"/>
    </row>
    <row r="521">
      <c r="A521" s="72"/>
      <c r="B521" s="12"/>
      <c r="C521" s="12"/>
      <c r="D521" s="12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6"/>
      <c r="W521" s="13"/>
      <c r="X521" s="13"/>
      <c r="Y521" s="13"/>
      <c r="Z521" s="13"/>
      <c r="AA521" s="17"/>
      <c r="AB521" s="17"/>
      <c r="AC521" s="17"/>
      <c r="AD521" s="17"/>
      <c r="AE521" s="17"/>
    </row>
    <row r="522">
      <c r="A522" s="72"/>
      <c r="B522" s="12"/>
      <c r="C522" s="12"/>
      <c r="D522" s="12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6"/>
      <c r="W522" s="13"/>
      <c r="X522" s="13"/>
      <c r="Y522" s="13"/>
      <c r="Z522" s="13"/>
      <c r="AA522" s="17"/>
      <c r="AB522" s="17"/>
      <c r="AC522" s="17"/>
      <c r="AD522" s="17"/>
      <c r="AE522" s="17"/>
    </row>
    <row r="523">
      <c r="A523" s="72"/>
      <c r="B523" s="12"/>
      <c r="C523" s="12"/>
      <c r="D523" s="12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6"/>
      <c r="W523" s="13"/>
      <c r="X523" s="13"/>
      <c r="Y523" s="13"/>
      <c r="Z523" s="13"/>
      <c r="AA523" s="17"/>
      <c r="AB523" s="17"/>
      <c r="AC523" s="17"/>
      <c r="AD523" s="17"/>
      <c r="AE523" s="17"/>
    </row>
    <row r="524">
      <c r="A524" s="72"/>
      <c r="B524" s="12"/>
      <c r="C524" s="12"/>
      <c r="D524" s="12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6"/>
      <c r="W524" s="13"/>
      <c r="X524" s="13"/>
      <c r="Y524" s="13"/>
      <c r="Z524" s="13"/>
      <c r="AA524" s="17"/>
      <c r="AB524" s="17"/>
      <c r="AC524" s="17"/>
      <c r="AD524" s="17"/>
      <c r="AE524" s="17"/>
    </row>
    <row r="525">
      <c r="A525" s="72"/>
      <c r="B525" s="12"/>
      <c r="C525" s="12"/>
      <c r="D525" s="12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6"/>
      <c r="W525" s="13"/>
      <c r="X525" s="13"/>
      <c r="Y525" s="13"/>
      <c r="Z525" s="13"/>
      <c r="AA525" s="17"/>
      <c r="AB525" s="17"/>
      <c r="AC525" s="17"/>
      <c r="AD525" s="17"/>
      <c r="AE525" s="17"/>
    </row>
    <row r="526">
      <c r="A526" s="72"/>
      <c r="B526" s="12"/>
      <c r="C526" s="12"/>
      <c r="D526" s="12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6"/>
      <c r="W526" s="13"/>
      <c r="X526" s="13"/>
      <c r="Y526" s="13"/>
      <c r="Z526" s="13"/>
      <c r="AA526" s="17"/>
      <c r="AB526" s="17"/>
      <c r="AC526" s="17"/>
      <c r="AD526" s="17"/>
      <c r="AE526" s="17"/>
    </row>
    <row r="527">
      <c r="A527" s="72"/>
      <c r="B527" s="12"/>
      <c r="C527" s="12"/>
      <c r="D527" s="12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6"/>
      <c r="W527" s="13"/>
      <c r="X527" s="13"/>
      <c r="Y527" s="13"/>
      <c r="Z527" s="13"/>
      <c r="AA527" s="17"/>
      <c r="AB527" s="17"/>
      <c r="AC527" s="17"/>
      <c r="AD527" s="17"/>
      <c r="AE527" s="17"/>
    </row>
    <row r="528">
      <c r="A528" s="72"/>
      <c r="B528" s="12"/>
      <c r="C528" s="12"/>
      <c r="D528" s="12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6"/>
      <c r="W528" s="13"/>
      <c r="X528" s="13"/>
      <c r="Y528" s="13"/>
      <c r="Z528" s="13"/>
      <c r="AA528" s="17"/>
      <c r="AB528" s="17"/>
      <c r="AC528" s="17"/>
      <c r="AD528" s="17"/>
      <c r="AE528" s="17"/>
    </row>
    <row r="529">
      <c r="A529" s="72"/>
      <c r="B529" s="12"/>
      <c r="C529" s="12"/>
      <c r="D529" s="12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6"/>
      <c r="W529" s="13"/>
      <c r="X529" s="13"/>
      <c r="Y529" s="13"/>
      <c r="Z529" s="13"/>
      <c r="AA529" s="17"/>
      <c r="AB529" s="17"/>
      <c r="AC529" s="17"/>
      <c r="AD529" s="17"/>
      <c r="AE529" s="17"/>
    </row>
    <row r="530">
      <c r="A530" s="72"/>
      <c r="B530" s="12"/>
      <c r="C530" s="12"/>
      <c r="D530" s="12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6"/>
      <c r="W530" s="13"/>
      <c r="X530" s="13"/>
      <c r="Y530" s="13"/>
      <c r="Z530" s="13"/>
      <c r="AA530" s="17"/>
      <c r="AB530" s="17"/>
      <c r="AC530" s="17"/>
      <c r="AD530" s="17"/>
      <c r="AE530" s="17"/>
    </row>
    <row r="531">
      <c r="A531" s="72"/>
      <c r="B531" s="12"/>
      <c r="C531" s="12"/>
      <c r="D531" s="12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6"/>
      <c r="W531" s="13"/>
      <c r="X531" s="13"/>
      <c r="Y531" s="13"/>
      <c r="Z531" s="13"/>
      <c r="AA531" s="17"/>
      <c r="AB531" s="17"/>
      <c r="AC531" s="17"/>
      <c r="AD531" s="17"/>
      <c r="AE531" s="17"/>
    </row>
    <row r="532">
      <c r="A532" s="72"/>
      <c r="B532" s="12"/>
      <c r="C532" s="12"/>
      <c r="D532" s="12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6"/>
      <c r="W532" s="13"/>
      <c r="X532" s="13"/>
      <c r="Y532" s="13"/>
      <c r="Z532" s="13"/>
      <c r="AA532" s="17"/>
      <c r="AB532" s="17"/>
      <c r="AC532" s="17"/>
      <c r="AD532" s="17"/>
      <c r="AE532" s="17"/>
    </row>
    <row r="533">
      <c r="A533" s="72"/>
      <c r="B533" s="12"/>
      <c r="C533" s="12"/>
      <c r="D533" s="12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6"/>
      <c r="W533" s="13"/>
      <c r="X533" s="13"/>
      <c r="Y533" s="13"/>
      <c r="Z533" s="13"/>
      <c r="AA533" s="17"/>
      <c r="AB533" s="17"/>
      <c r="AC533" s="17"/>
      <c r="AD533" s="17"/>
      <c r="AE533" s="17"/>
    </row>
    <row r="534">
      <c r="A534" s="72"/>
      <c r="B534" s="12"/>
      <c r="C534" s="12"/>
      <c r="D534" s="12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6"/>
      <c r="W534" s="13"/>
      <c r="X534" s="13"/>
      <c r="Y534" s="13"/>
      <c r="Z534" s="13"/>
      <c r="AA534" s="17"/>
      <c r="AB534" s="17"/>
      <c r="AC534" s="17"/>
      <c r="AD534" s="17"/>
      <c r="AE534" s="17"/>
    </row>
    <row r="535">
      <c r="A535" s="72"/>
      <c r="B535" s="12"/>
      <c r="C535" s="12"/>
      <c r="D535" s="12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6"/>
      <c r="W535" s="13"/>
      <c r="X535" s="13"/>
      <c r="Y535" s="13"/>
      <c r="Z535" s="13"/>
      <c r="AA535" s="17"/>
      <c r="AB535" s="17"/>
      <c r="AC535" s="17"/>
      <c r="AD535" s="17"/>
      <c r="AE535" s="17"/>
    </row>
    <row r="536">
      <c r="A536" s="72"/>
      <c r="B536" s="12"/>
      <c r="C536" s="12"/>
      <c r="D536" s="12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6"/>
      <c r="W536" s="13"/>
      <c r="X536" s="13"/>
      <c r="Y536" s="13"/>
      <c r="Z536" s="13"/>
      <c r="AA536" s="17"/>
      <c r="AB536" s="17"/>
      <c r="AC536" s="17"/>
      <c r="AD536" s="17"/>
      <c r="AE536" s="17"/>
    </row>
    <row r="537">
      <c r="A537" s="72"/>
      <c r="B537" s="12"/>
      <c r="C537" s="12"/>
      <c r="D537" s="12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6"/>
      <c r="W537" s="13"/>
      <c r="X537" s="13"/>
      <c r="Y537" s="13"/>
      <c r="Z537" s="13"/>
      <c r="AA537" s="17"/>
      <c r="AB537" s="17"/>
      <c r="AC537" s="17"/>
      <c r="AD537" s="17"/>
      <c r="AE537" s="17"/>
    </row>
    <row r="538">
      <c r="A538" s="72"/>
      <c r="B538" s="12"/>
      <c r="C538" s="12"/>
      <c r="D538" s="12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6"/>
      <c r="W538" s="13"/>
      <c r="X538" s="13"/>
      <c r="Y538" s="13"/>
      <c r="Z538" s="13"/>
      <c r="AA538" s="17"/>
      <c r="AB538" s="17"/>
      <c r="AC538" s="17"/>
      <c r="AD538" s="17"/>
      <c r="AE538" s="17"/>
    </row>
    <row r="539">
      <c r="A539" s="72"/>
      <c r="B539" s="12"/>
      <c r="C539" s="12"/>
      <c r="D539" s="12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6"/>
      <c r="W539" s="13"/>
      <c r="X539" s="13"/>
      <c r="Y539" s="13"/>
      <c r="Z539" s="13"/>
      <c r="AA539" s="17"/>
      <c r="AB539" s="17"/>
      <c r="AC539" s="17"/>
      <c r="AD539" s="17"/>
      <c r="AE539" s="17"/>
    </row>
    <row r="540">
      <c r="A540" s="72"/>
      <c r="B540" s="12"/>
      <c r="C540" s="12"/>
      <c r="D540" s="12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6"/>
      <c r="W540" s="13"/>
      <c r="X540" s="13"/>
      <c r="Y540" s="13"/>
      <c r="Z540" s="13"/>
      <c r="AA540" s="17"/>
      <c r="AB540" s="17"/>
      <c r="AC540" s="17"/>
      <c r="AD540" s="17"/>
      <c r="AE540" s="17"/>
    </row>
    <row r="541">
      <c r="A541" s="72"/>
      <c r="B541" s="12"/>
      <c r="C541" s="12"/>
      <c r="D541" s="12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6"/>
      <c r="W541" s="13"/>
      <c r="X541" s="13"/>
      <c r="Y541" s="13"/>
      <c r="Z541" s="13"/>
      <c r="AA541" s="17"/>
      <c r="AB541" s="17"/>
      <c r="AC541" s="17"/>
      <c r="AD541" s="17"/>
      <c r="AE541" s="17"/>
    </row>
    <row r="542">
      <c r="A542" s="72"/>
      <c r="B542" s="12"/>
      <c r="C542" s="12"/>
      <c r="D542" s="12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6"/>
      <c r="W542" s="13"/>
      <c r="X542" s="13"/>
      <c r="Y542" s="13"/>
      <c r="Z542" s="13"/>
      <c r="AA542" s="17"/>
      <c r="AB542" s="17"/>
      <c r="AC542" s="17"/>
      <c r="AD542" s="17"/>
      <c r="AE542" s="17"/>
    </row>
    <row r="543">
      <c r="A543" s="72"/>
      <c r="B543" s="12"/>
      <c r="C543" s="12"/>
      <c r="D543" s="12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6"/>
      <c r="W543" s="13"/>
      <c r="X543" s="13"/>
      <c r="Y543" s="13"/>
      <c r="Z543" s="13"/>
      <c r="AA543" s="17"/>
      <c r="AB543" s="17"/>
      <c r="AC543" s="17"/>
      <c r="AD543" s="17"/>
      <c r="AE543" s="17"/>
    </row>
    <row r="544">
      <c r="A544" s="72"/>
      <c r="B544" s="12"/>
      <c r="C544" s="12"/>
      <c r="D544" s="12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6"/>
      <c r="W544" s="13"/>
      <c r="X544" s="13"/>
      <c r="Y544" s="13"/>
      <c r="Z544" s="13"/>
      <c r="AA544" s="17"/>
      <c r="AB544" s="17"/>
      <c r="AC544" s="17"/>
      <c r="AD544" s="17"/>
      <c r="AE544" s="17"/>
    </row>
    <row r="545">
      <c r="A545" s="72"/>
      <c r="B545" s="12"/>
      <c r="C545" s="12"/>
      <c r="D545" s="12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6"/>
      <c r="W545" s="13"/>
      <c r="X545" s="13"/>
      <c r="Y545" s="13"/>
      <c r="Z545" s="13"/>
      <c r="AA545" s="17"/>
      <c r="AB545" s="17"/>
      <c r="AC545" s="17"/>
      <c r="AD545" s="17"/>
      <c r="AE545" s="17"/>
    </row>
    <row r="546">
      <c r="A546" s="72"/>
      <c r="B546" s="12"/>
      <c r="C546" s="12"/>
      <c r="D546" s="12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6"/>
      <c r="W546" s="13"/>
      <c r="X546" s="13"/>
      <c r="Y546" s="13"/>
      <c r="Z546" s="13"/>
      <c r="AA546" s="17"/>
      <c r="AB546" s="17"/>
      <c r="AC546" s="17"/>
      <c r="AD546" s="17"/>
      <c r="AE546" s="17"/>
    </row>
    <row r="547">
      <c r="A547" s="72"/>
      <c r="B547" s="12"/>
      <c r="C547" s="12"/>
      <c r="D547" s="12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6"/>
      <c r="W547" s="13"/>
      <c r="X547" s="13"/>
      <c r="Y547" s="13"/>
      <c r="Z547" s="13"/>
      <c r="AA547" s="17"/>
      <c r="AB547" s="17"/>
      <c r="AC547" s="17"/>
      <c r="AD547" s="17"/>
      <c r="AE547" s="17"/>
    </row>
    <row r="548">
      <c r="A548" s="72"/>
      <c r="B548" s="12"/>
      <c r="C548" s="12"/>
      <c r="D548" s="12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6"/>
      <c r="W548" s="13"/>
      <c r="X548" s="13"/>
      <c r="Y548" s="13"/>
      <c r="Z548" s="13"/>
      <c r="AA548" s="17"/>
      <c r="AB548" s="17"/>
      <c r="AC548" s="17"/>
      <c r="AD548" s="17"/>
      <c r="AE548" s="17"/>
    </row>
    <row r="549">
      <c r="A549" s="72"/>
      <c r="B549" s="12"/>
      <c r="C549" s="12"/>
      <c r="D549" s="12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6"/>
      <c r="W549" s="13"/>
      <c r="X549" s="13"/>
      <c r="Y549" s="13"/>
      <c r="Z549" s="13"/>
      <c r="AA549" s="17"/>
      <c r="AB549" s="17"/>
      <c r="AC549" s="17"/>
      <c r="AD549" s="17"/>
      <c r="AE549" s="17"/>
    </row>
    <row r="550">
      <c r="A550" s="72"/>
      <c r="B550" s="12"/>
      <c r="C550" s="12"/>
      <c r="D550" s="12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6"/>
      <c r="W550" s="13"/>
      <c r="X550" s="13"/>
      <c r="Y550" s="13"/>
      <c r="Z550" s="13"/>
      <c r="AA550" s="17"/>
      <c r="AB550" s="17"/>
      <c r="AC550" s="17"/>
      <c r="AD550" s="17"/>
      <c r="AE550" s="17"/>
    </row>
    <row r="551">
      <c r="A551" s="72"/>
      <c r="B551" s="12"/>
      <c r="C551" s="12"/>
      <c r="D551" s="12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6"/>
      <c r="W551" s="13"/>
      <c r="X551" s="13"/>
      <c r="Y551" s="13"/>
      <c r="Z551" s="13"/>
      <c r="AA551" s="17"/>
      <c r="AB551" s="17"/>
      <c r="AC551" s="17"/>
      <c r="AD551" s="17"/>
      <c r="AE551" s="17"/>
    </row>
    <row r="552">
      <c r="A552" s="72"/>
      <c r="B552" s="12"/>
      <c r="C552" s="12"/>
      <c r="D552" s="12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6"/>
      <c r="W552" s="13"/>
      <c r="X552" s="13"/>
      <c r="Y552" s="13"/>
      <c r="Z552" s="13"/>
      <c r="AA552" s="17"/>
      <c r="AB552" s="17"/>
      <c r="AC552" s="17"/>
      <c r="AD552" s="17"/>
      <c r="AE552" s="17"/>
    </row>
    <row r="553">
      <c r="A553" s="72"/>
      <c r="B553" s="12"/>
      <c r="C553" s="12"/>
      <c r="D553" s="12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6"/>
      <c r="W553" s="13"/>
      <c r="X553" s="13"/>
      <c r="Y553" s="13"/>
      <c r="Z553" s="13"/>
      <c r="AA553" s="17"/>
      <c r="AB553" s="17"/>
      <c r="AC553" s="17"/>
      <c r="AD553" s="17"/>
      <c r="AE553" s="17"/>
    </row>
    <row r="554">
      <c r="A554" s="72"/>
      <c r="B554" s="12"/>
      <c r="C554" s="12"/>
      <c r="D554" s="12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6"/>
      <c r="W554" s="13"/>
      <c r="X554" s="13"/>
      <c r="Y554" s="13"/>
      <c r="Z554" s="13"/>
      <c r="AA554" s="17"/>
      <c r="AB554" s="17"/>
      <c r="AC554" s="17"/>
      <c r="AD554" s="17"/>
      <c r="AE554" s="17"/>
    </row>
    <row r="555">
      <c r="A555" s="72"/>
      <c r="B555" s="12"/>
      <c r="C555" s="12"/>
      <c r="D555" s="12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6"/>
      <c r="W555" s="13"/>
      <c r="X555" s="13"/>
      <c r="Y555" s="13"/>
      <c r="Z555" s="13"/>
      <c r="AA555" s="17"/>
      <c r="AB555" s="17"/>
      <c r="AC555" s="17"/>
      <c r="AD555" s="17"/>
      <c r="AE555" s="17"/>
    </row>
    <row r="556">
      <c r="A556" s="72"/>
      <c r="B556" s="12"/>
      <c r="C556" s="12"/>
      <c r="D556" s="12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6"/>
      <c r="W556" s="13"/>
      <c r="X556" s="13"/>
      <c r="Y556" s="13"/>
      <c r="Z556" s="13"/>
      <c r="AA556" s="17"/>
      <c r="AB556" s="17"/>
      <c r="AC556" s="17"/>
      <c r="AD556" s="17"/>
      <c r="AE556" s="17"/>
    </row>
    <row r="557">
      <c r="A557" s="72"/>
      <c r="B557" s="12"/>
      <c r="C557" s="12"/>
      <c r="D557" s="12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6"/>
      <c r="W557" s="13"/>
      <c r="X557" s="13"/>
      <c r="Y557" s="13"/>
      <c r="Z557" s="13"/>
      <c r="AA557" s="17"/>
      <c r="AB557" s="17"/>
      <c r="AC557" s="17"/>
      <c r="AD557" s="17"/>
      <c r="AE557" s="17"/>
    </row>
    <row r="558">
      <c r="A558" s="72"/>
      <c r="B558" s="12"/>
      <c r="C558" s="12"/>
      <c r="D558" s="12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6"/>
      <c r="W558" s="13"/>
      <c r="X558" s="13"/>
      <c r="Y558" s="13"/>
      <c r="Z558" s="13"/>
      <c r="AA558" s="17"/>
      <c r="AB558" s="17"/>
      <c r="AC558" s="17"/>
      <c r="AD558" s="17"/>
      <c r="AE558" s="17"/>
    </row>
    <row r="559">
      <c r="A559" s="72"/>
      <c r="B559" s="12"/>
      <c r="C559" s="12"/>
      <c r="D559" s="12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6"/>
      <c r="W559" s="13"/>
      <c r="X559" s="13"/>
      <c r="Y559" s="13"/>
      <c r="Z559" s="13"/>
      <c r="AA559" s="17"/>
      <c r="AB559" s="17"/>
      <c r="AC559" s="17"/>
      <c r="AD559" s="17"/>
      <c r="AE559" s="17"/>
    </row>
    <row r="560">
      <c r="A560" s="72"/>
      <c r="B560" s="12"/>
      <c r="C560" s="12"/>
      <c r="D560" s="12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6"/>
      <c r="W560" s="13"/>
      <c r="X560" s="13"/>
      <c r="Y560" s="13"/>
      <c r="Z560" s="13"/>
      <c r="AA560" s="17"/>
      <c r="AB560" s="17"/>
      <c r="AC560" s="17"/>
      <c r="AD560" s="17"/>
      <c r="AE560" s="17"/>
    </row>
    <row r="561">
      <c r="A561" s="72"/>
      <c r="B561" s="12"/>
      <c r="C561" s="12"/>
      <c r="D561" s="12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6"/>
      <c r="W561" s="13"/>
      <c r="X561" s="13"/>
      <c r="Y561" s="13"/>
      <c r="Z561" s="13"/>
      <c r="AA561" s="17"/>
      <c r="AB561" s="17"/>
      <c r="AC561" s="17"/>
      <c r="AD561" s="17"/>
      <c r="AE561" s="17"/>
    </row>
    <row r="562">
      <c r="A562" s="72"/>
      <c r="B562" s="12"/>
      <c r="C562" s="12"/>
      <c r="D562" s="12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6"/>
      <c r="W562" s="13"/>
      <c r="X562" s="13"/>
      <c r="Y562" s="13"/>
      <c r="Z562" s="13"/>
      <c r="AA562" s="17"/>
      <c r="AB562" s="17"/>
      <c r="AC562" s="17"/>
      <c r="AD562" s="17"/>
      <c r="AE562" s="17"/>
    </row>
    <row r="563">
      <c r="A563" s="72"/>
      <c r="B563" s="12"/>
      <c r="C563" s="12"/>
      <c r="D563" s="12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6"/>
      <c r="W563" s="13"/>
      <c r="X563" s="13"/>
      <c r="Y563" s="13"/>
      <c r="Z563" s="13"/>
      <c r="AA563" s="17"/>
      <c r="AB563" s="17"/>
      <c r="AC563" s="17"/>
      <c r="AD563" s="17"/>
      <c r="AE563" s="17"/>
    </row>
    <row r="564">
      <c r="A564" s="72"/>
      <c r="B564" s="12"/>
      <c r="C564" s="12"/>
      <c r="D564" s="12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6"/>
      <c r="W564" s="13"/>
      <c r="X564" s="13"/>
      <c r="Y564" s="13"/>
      <c r="Z564" s="13"/>
      <c r="AA564" s="17"/>
      <c r="AB564" s="17"/>
      <c r="AC564" s="17"/>
      <c r="AD564" s="17"/>
      <c r="AE564" s="17"/>
    </row>
    <row r="565">
      <c r="A565" s="72"/>
      <c r="B565" s="12"/>
      <c r="C565" s="12"/>
      <c r="D565" s="12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6"/>
      <c r="W565" s="13"/>
      <c r="X565" s="13"/>
      <c r="Y565" s="13"/>
      <c r="Z565" s="13"/>
      <c r="AA565" s="17"/>
      <c r="AB565" s="17"/>
      <c r="AC565" s="17"/>
      <c r="AD565" s="17"/>
      <c r="AE565" s="17"/>
    </row>
    <row r="566">
      <c r="A566" s="72"/>
      <c r="B566" s="12"/>
      <c r="C566" s="12"/>
      <c r="D566" s="12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6"/>
      <c r="W566" s="13"/>
      <c r="X566" s="13"/>
      <c r="Y566" s="13"/>
      <c r="Z566" s="13"/>
      <c r="AA566" s="17"/>
      <c r="AB566" s="17"/>
      <c r="AC566" s="17"/>
      <c r="AD566" s="17"/>
      <c r="AE566" s="17"/>
    </row>
    <row r="567">
      <c r="A567" s="72"/>
      <c r="B567" s="12"/>
      <c r="C567" s="12"/>
      <c r="D567" s="12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6"/>
      <c r="W567" s="13"/>
      <c r="X567" s="13"/>
      <c r="Y567" s="13"/>
      <c r="Z567" s="13"/>
      <c r="AA567" s="17"/>
      <c r="AB567" s="17"/>
      <c r="AC567" s="17"/>
      <c r="AD567" s="17"/>
      <c r="AE567" s="17"/>
    </row>
    <row r="568">
      <c r="A568" s="72"/>
      <c r="B568" s="12"/>
      <c r="C568" s="12"/>
      <c r="D568" s="12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6"/>
      <c r="W568" s="13"/>
      <c r="X568" s="13"/>
      <c r="Y568" s="13"/>
      <c r="Z568" s="13"/>
      <c r="AA568" s="17"/>
      <c r="AB568" s="17"/>
      <c r="AC568" s="17"/>
      <c r="AD568" s="17"/>
      <c r="AE568" s="17"/>
    </row>
    <row r="569">
      <c r="A569" s="72"/>
      <c r="B569" s="12"/>
      <c r="C569" s="12"/>
      <c r="D569" s="12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6"/>
      <c r="W569" s="13"/>
      <c r="X569" s="13"/>
      <c r="Y569" s="13"/>
      <c r="Z569" s="13"/>
      <c r="AA569" s="17"/>
      <c r="AB569" s="17"/>
      <c r="AC569" s="17"/>
      <c r="AD569" s="17"/>
      <c r="AE569" s="17"/>
    </row>
    <row r="570">
      <c r="A570" s="72"/>
      <c r="B570" s="12"/>
      <c r="C570" s="12"/>
      <c r="D570" s="12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6"/>
      <c r="W570" s="13"/>
      <c r="X570" s="13"/>
      <c r="Y570" s="13"/>
      <c r="Z570" s="13"/>
      <c r="AA570" s="17"/>
      <c r="AB570" s="17"/>
      <c r="AC570" s="17"/>
      <c r="AD570" s="17"/>
      <c r="AE570" s="17"/>
    </row>
    <row r="571">
      <c r="A571" s="72"/>
      <c r="B571" s="12"/>
      <c r="C571" s="12"/>
      <c r="D571" s="12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6"/>
      <c r="W571" s="13"/>
      <c r="X571" s="13"/>
      <c r="Y571" s="13"/>
      <c r="Z571" s="13"/>
      <c r="AA571" s="17"/>
      <c r="AB571" s="17"/>
      <c r="AC571" s="17"/>
      <c r="AD571" s="17"/>
      <c r="AE571" s="17"/>
    </row>
    <row r="572">
      <c r="A572" s="72"/>
      <c r="B572" s="12"/>
      <c r="C572" s="12"/>
      <c r="D572" s="12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6"/>
      <c r="W572" s="13"/>
      <c r="X572" s="13"/>
      <c r="Y572" s="13"/>
      <c r="Z572" s="13"/>
      <c r="AA572" s="17"/>
      <c r="AB572" s="17"/>
      <c r="AC572" s="17"/>
      <c r="AD572" s="17"/>
      <c r="AE572" s="17"/>
    </row>
    <row r="573">
      <c r="A573" s="72"/>
      <c r="B573" s="12"/>
      <c r="C573" s="12"/>
      <c r="D573" s="12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6"/>
      <c r="W573" s="13"/>
      <c r="X573" s="13"/>
      <c r="Y573" s="13"/>
      <c r="Z573" s="13"/>
      <c r="AA573" s="17"/>
      <c r="AB573" s="17"/>
      <c r="AC573" s="17"/>
      <c r="AD573" s="17"/>
      <c r="AE573" s="17"/>
    </row>
    <row r="574">
      <c r="A574" s="72"/>
      <c r="B574" s="12"/>
      <c r="C574" s="12"/>
      <c r="D574" s="12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6"/>
      <c r="W574" s="13"/>
      <c r="X574" s="13"/>
      <c r="Y574" s="13"/>
      <c r="Z574" s="13"/>
      <c r="AA574" s="17"/>
      <c r="AB574" s="17"/>
      <c r="AC574" s="17"/>
      <c r="AD574" s="17"/>
      <c r="AE574" s="17"/>
    </row>
    <row r="575">
      <c r="A575" s="72"/>
      <c r="B575" s="12"/>
      <c r="C575" s="12"/>
      <c r="D575" s="12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6"/>
      <c r="W575" s="13"/>
      <c r="X575" s="13"/>
      <c r="Y575" s="13"/>
      <c r="Z575" s="13"/>
      <c r="AA575" s="17"/>
      <c r="AB575" s="17"/>
      <c r="AC575" s="17"/>
      <c r="AD575" s="17"/>
      <c r="AE575" s="17"/>
    </row>
    <row r="576">
      <c r="A576" s="72"/>
      <c r="B576" s="12"/>
      <c r="C576" s="12"/>
      <c r="D576" s="12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6"/>
      <c r="W576" s="13"/>
      <c r="X576" s="13"/>
      <c r="Y576" s="13"/>
      <c r="Z576" s="13"/>
      <c r="AA576" s="17"/>
      <c r="AB576" s="17"/>
      <c r="AC576" s="17"/>
      <c r="AD576" s="17"/>
      <c r="AE576" s="17"/>
    </row>
    <row r="577">
      <c r="A577" s="72"/>
      <c r="B577" s="12"/>
      <c r="C577" s="12"/>
      <c r="D577" s="12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6"/>
      <c r="W577" s="13"/>
      <c r="X577" s="13"/>
      <c r="Y577" s="13"/>
      <c r="Z577" s="13"/>
      <c r="AA577" s="17"/>
      <c r="AB577" s="17"/>
      <c r="AC577" s="17"/>
      <c r="AD577" s="17"/>
      <c r="AE577" s="17"/>
    </row>
    <row r="578">
      <c r="A578" s="72"/>
      <c r="B578" s="12"/>
      <c r="C578" s="12"/>
      <c r="D578" s="12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6"/>
      <c r="W578" s="13"/>
      <c r="X578" s="13"/>
      <c r="Y578" s="13"/>
      <c r="Z578" s="13"/>
      <c r="AA578" s="17"/>
      <c r="AB578" s="17"/>
      <c r="AC578" s="17"/>
      <c r="AD578" s="17"/>
      <c r="AE578" s="17"/>
    </row>
    <row r="579">
      <c r="A579" s="72"/>
      <c r="B579" s="12"/>
      <c r="C579" s="12"/>
      <c r="D579" s="12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6"/>
      <c r="W579" s="13"/>
      <c r="X579" s="13"/>
      <c r="Y579" s="13"/>
      <c r="Z579" s="13"/>
      <c r="AA579" s="17"/>
      <c r="AB579" s="17"/>
      <c r="AC579" s="17"/>
      <c r="AD579" s="17"/>
      <c r="AE579" s="17"/>
    </row>
    <row r="580">
      <c r="A580" s="72"/>
      <c r="B580" s="12"/>
      <c r="C580" s="12"/>
      <c r="D580" s="12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6"/>
      <c r="W580" s="13"/>
      <c r="X580" s="13"/>
      <c r="Y580" s="13"/>
      <c r="Z580" s="13"/>
      <c r="AA580" s="17"/>
      <c r="AB580" s="17"/>
      <c r="AC580" s="17"/>
      <c r="AD580" s="17"/>
      <c r="AE580" s="17"/>
    </row>
    <row r="581">
      <c r="A581" s="72"/>
      <c r="B581" s="12"/>
      <c r="C581" s="12"/>
      <c r="D581" s="12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6"/>
      <c r="W581" s="13"/>
      <c r="X581" s="13"/>
      <c r="Y581" s="13"/>
      <c r="Z581" s="13"/>
      <c r="AA581" s="17"/>
      <c r="AB581" s="17"/>
      <c r="AC581" s="17"/>
      <c r="AD581" s="17"/>
      <c r="AE581" s="17"/>
    </row>
    <row r="582">
      <c r="A582" s="72"/>
      <c r="B582" s="12"/>
      <c r="C582" s="12"/>
      <c r="D582" s="12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6"/>
      <c r="W582" s="13"/>
      <c r="X582" s="13"/>
      <c r="Y582" s="13"/>
      <c r="Z582" s="13"/>
      <c r="AA582" s="17"/>
      <c r="AB582" s="17"/>
      <c r="AC582" s="17"/>
      <c r="AD582" s="17"/>
      <c r="AE582" s="17"/>
    </row>
    <row r="583">
      <c r="A583" s="72"/>
      <c r="B583" s="12"/>
      <c r="C583" s="12"/>
      <c r="D583" s="12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6"/>
      <c r="W583" s="13"/>
      <c r="X583" s="13"/>
      <c r="Y583" s="13"/>
      <c r="Z583" s="13"/>
      <c r="AA583" s="17"/>
      <c r="AB583" s="17"/>
      <c r="AC583" s="17"/>
      <c r="AD583" s="17"/>
      <c r="AE583" s="17"/>
    </row>
    <row r="584">
      <c r="A584" s="72"/>
      <c r="B584" s="12"/>
      <c r="C584" s="12"/>
      <c r="D584" s="12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6"/>
      <c r="W584" s="13"/>
      <c r="X584" s="13"/>
      <c r="Y584" s="13"/>
      <c r="Z584" s="13"/>
      <c r="AA584" s="17"/>
      <c r="AB584" s="17"/>
      <c r="AC584" s="17"/>
      <c r="AD584" s="17"/>
      <c r="AE584" s="17"/>
    </row>
    <row r="585">
      <c r="A585" s="72"/>
      <c r="B585" s="12"/>
      <c r="C585" s="12"/>
      <c r="D585" s="12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6"/>
      <c r="W585" s="13"/>
      <c r="X585" s="13"/>
      <c r="Y585" s="13"/>
      <c r="Z585" s="13"/>
      <c r="AA585" s="17"/>
      <c r="AB585" s="17"/>
      <c r="AC585" s="17"/>
      <c r="AD585" s="17"/>
      <c r="AE585" s="17"/>
    </row>
    <row r="586">
      <c r="A586" s="72"/>
      <c r="B586" s="12"/>
      <c r="C586" s="12"/>
      <c r="D586" s="12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6"/>
      <c r="W586" s="13"/>
      <c r="X586" s="13"/>
      <c r="Y586" s="13"/>
      <c r="Z586" s="13"/>
      <c r="AA586" s="17"/>
      <c r="AB586" s="17"/>
      <c r="AC586" s="17"/>
      <c r="AD586" s="17"/>
      <c r="AE586" s="17"/>
    </row>
    <row r="587">
      <c r="A587" s="72"/>
      <c r="B587" s="12"/>
      <c r="C587" s="12"/>
      <c r="D587" s="12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6"/>
      <c r="W587" s="13"/>
      <c r="X587" s="13"/>
      <c r="Y587" s="13"/>
      <c r="Z587" s="13"/>
      <c r="AA587" s="17"/>
      <c r="AB587" s="17"/>
      <c r="AC587" s="17"/>
      <c r="AD587" s="17"/>
      <c r="AE587" s="17"/>
    </row>
    <row r="588">
      <c r="A588" s="72"/>
      <c r="B588" s="12"/>
      <c r="C588" s="12"/>
      <c r="D588" s="12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6"/>
      <c r="W588" s="13"/>
      <c r="X588" s="13"/>
      <c r="Y588" s="13"/>
      <c r="Z588" s="13"/>
      <c r="AA588" s="17"/>
      <c r="AB588" s="17"/>
      <c r="AC588" s="17"/>
      <c r="AD588" s="17"/>
      <c r="AE588" s="17"/>
    </row>
    <row r="589">
      <c r="A589" s="72"/>
      <c r="B589" s="12"/>
      <c r="C589" s="12"/>
      <c r="D589" s="12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6"/>
      <c r="W589" s="13"/>
      <c r="X589" s="13"/>
      <c r="Y589" s="13"/>
      <c r="Z589" s="13"/>
      <c r="AA589" s="17"/>
      <c r="AB589" s="17"/>
      <c r="AC589" s="17"/>
      <c r="AD589" s="17"/>
      <c r="AE589" s="17"/>
    </row>
    <row r="590">
      <c r="A590" s="72"/>
      <c r="B590" s="12"/>
      <c r="C590" s="12"/>
      <c r="D590" s="12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6"/>
      <c r="W590" s="13"/>
      <c r="X590" s="13"/>
      <c r="Y590" s="13"/>
      <c r="Z590" s="13"/>
      <c r="AA590" s="17"/>
      <c r="AB590" s="17"/>
      <c r="AC590" s="17"/>
      <c r="AD590" s="17"/>
      <c r="AE590" s="17"/>
    </row>
    <row r="591">
      <c r="A591" s="72"/>
      <c r="B591" s="12"/>
      <c r="C591" s="12"/>
      <c r="D591" s="12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6"/>
      <c r="W591" s="13"/>
      <c r="X591" s="13"/>
      <c r="Y591" s="13"/>
      <c r="Z591" s="13"/>
      <c r="AA591" s="17"/>
      <c r="AB591" s="17"/>
      <c r="AC591" s="17"/>
      <c r="AD591" s="17"/>
      <c r="AE591" s="17"/>
    </row>
    <row r="592">
      <c r="A592" s="72"/>
      <c r="B592" s="12"/>
      <c r="C592" s="12"/>
      <c r="D592" s="12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6"/>
      <c r="W592" s="13"/>
      <c r="X592" s="13"/>
      <c r="Y592" s="13"/>
      <c r="Z592" s="13"/>
      <c r="AA592" s="17"/>
      <c r="AB592" s="17"/>
      <c r="AC592" s="17"/>
      <c r="AD592" s="17"/>
      <c r="AE592" s="17"/>
    </row>
    <row r="593">
      <c r="A593" s="72"/>
      <c r="B593" s="12"/>
      <c r="C593" s="12"/>
      <c r="D593" s="12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6"/>
      <c r="W593" s="13"/>
      <c r="X593" s="13"/>
      <c r="Y593" s="13"/>
      <c r="Z593" s="13"/>
      <c r="AA593" s="17"/>
      <c r="AB593" s="17"/>
      <c r="AC593" s="17"/>
      <c r="AD593" s="17"/>
      <c r="AE593" s="17"/>
    </row>
    <row r="594">
      <c r="A594" s="72"/>
      <c r="B594" s="12"/>
      <c r="C594" s="12"/>
      <c r="D594" s="12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6"/>
      <c r="W594" s="13"/>
      <c r="X594" s="13"/>
      <c r="Y594" s="13"/>
      <c r="Z594" s="13"/>
      <c r="AA594" s="17"/>
      <c r="AB594" s="17"/>
      <c r="AC594" s="17"/>
      <c r="AD594" s="17"/>
      <c r="AE594" s="17"/>
    </row>
    <row r="595">
      <c r="A595" s="72"/>
      <c r="B595" s="12"/>
      <c r="C595" s="12"/>
      <c r="D595" s="12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6"/>
      <c r="W595" s="13"/>
      <c r="X595" s="13"/>
      <c r="Y595" s="13"/>
      <c r="Z595" s="13"/>
      <c r="AA595" s="17"/>
      <c r="AB595" s="17"/>
      <c r="AC595" s="17"/>
      <c r="AD595" s="17"/>
      <c r="AE595" s="17"/>
    </row>
    <row r="596">
      <c r="A596" s="72"/>
      <c r="B596" s="12"/>
      <c r="C596" s="12"/>
      <c r="D596" s="12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6"/>
      <c r="W596" s="13"/>
      <c r="X596" s="13"/>
      <c r="Y596" s="13"/>
      <c r="Z596" s="13"/>
      <c r="AA596" s="17"/>
      <c r="AB596" s="17"/>
      <c r="AC596" s="17"/>
      <c r="AD596" s="17"/>
      <c r="AE596" s="17"/>
    </row>
    <row r="597">
      <c r="A597" s="72"/>
      <c r="B597" s="12"/>
      <c r="C597" s="12"/>
      <c r="D597" s="12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6"/>
      <c r="W597" s="13"/>
      <c r="X597" s="13"/>
      <c r="Y597" s="13"/>
      <c r="Z597" s="13"/>
      <c r="AA597" s="17"/>
      <c r="AB597" s="17"/>
      <c r="AC597" s="17"/>
      <c r="AD597" s="17"/>
      <c r="AE597" s="17"/>
    </row>
    <row r="598">
      <c r="A598" s="72"/>
      <c r="B598" s="12"/>
      <c r="C598" s="12"/>
      <c r="D598" s="12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6"/>
      <c r="W598" s="13"/>
      <c r="X598" s="13"/>
      <c r="Y598" s="13"/>
      <c r="Z598" s="13"/>
      <c r="AA598" s="17"/>
      <c r="AB598" s="17"/>
      <c r="AC598" s="17"/>
      <c r="AD598" s="17"/>
      <c r="AE598" s="17"/>
    </row>
    <row r="599">
      <c r="A599" s="72"/>
      <c r="B599" s="12"/>
      <c r="C599" s="12"/>
      <c r="D599" s="12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6"/>
      <c r="W599" s="13"/>
      <c r="X599" s="13"/>
      <c r="Y599" s="13"/>
      <c r="Z599" s="13"/>
      <c r="AA599" s="17"/>
      <c r="AB599" s="17"/>
      <c r="AC599" s="17"/>
      <c r="AD599" s="17"/>
      <c r="AE599" s="17"/>
    </row>
    <row r="600">
      <c r="A600" s="72"/>
      <c r="B600" s="12"/>
      <c r="C600" s="12"/>
      <c r="D600" s="12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6"/>
      <c r="W600" s="13"/>
      <c r="X600" s="13"/>
      <c r="Y600" s="13"/>
      <c r="Z600" s="13"/>
      <c r="AA600" s="17"/>
      <c r="AB600" s="17"/>
      <c r="AC600" s="17"/>
      <c r="AD600" s="17"/>
      <c r="AE600" s="17"/>
    </row>
    <row r="601">
      <c r="A601" s="72"/>
      <c r="B601" s="12"/>
      <c r="C601" s="12"/>
      <c r="D601" s="12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6"/>
      <c r="W601" s="13"/>
      <c r="X601" s="13"/>
      <c r="Y601" s="13"/>
      <c r="Z601" s="13"/>
      <c r="AA601" s="17"/>
      <c r="AB601" s="17"/>
      <c r="AC601" s="17"/>
      <c r="AD601" s="17"/>
      <c r="AE601" s="17"/>
    </row>
    <row r="602">
      <c r="A602" s="72"/>
      <c r="B602" s="12"/>
      <c r="C602" s="12"/>
      <c r="D602" s="12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6"/>
      <c r="W602" s="13"/>
      <c r="X602" s="13"/>
      <c r="Y602" s="13"/>
      <c r="Z602" s="13"/>
      <c r="AA602" s="17"/>
      <c r="AB602" s="17"/>
      <c r="AC602" s="17"/>
      <c r="AD602" s="17"/>
      <c r="AE602" s="17"/>
    </row>
    <row r="603">
      <c r="A603" s="72"/>
      <c r="B603" s="12"/>
      <c r="C603" s="12"/>
      <c r="D603" s="12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6"/>
      <c r="W603" s="13"/>
      <c r="X603" s="13"/>
      <c r="Y603" s="13"/>
      <c r="Z603" s="13"/>
      <c r="AA603" s="17"/>
      <c r="AB603" s="17"/>
      <c r="AC603" s="17"/>
      <c r="AD603" s="17"/>
      <c r="AE603" s="17"/>
    </row>
    <row r="604">
      <c r="A604" s="72"/>
      <c r="B604" s="12"/>
      <c r="C604" s="12"/>
      <c r="D604" s="12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6"/>
      <c r="W604" s="13"/>
      <c r="X604" s="13"/>
      <c r="Y604" s="13"/>
      <c r="Z604" s="13"/>
      <c r="AA604" s="17"/>
      <c r="AB604" s="17"/>
      <c r="AC604" s="17"/>
      <c r="AD604" s="17"/>
      <c r="AE604" s="17"/>
    </row>
    <row r="605">
      <c r="A605" s="72"/>
      <c r="B605" s="12"/>
      <c r="C605" s="12"/>
      <c r="D605" s="12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6"/>
      <c r="W605" s="13"/>
      <c r="X605" s="13"/>
      <c r="Y605" s="13"/>
      <c r="Z605" s="13"/>
      <c r="AA605" s="17"/>
      <c r="AB605" s="17"/>
      <c r="AC605" s="17"/>
      <c r="AD605" s="17"/>
      <c r="AE605" s="17"/>
    </row>
    <row r="606">
      <c r="A606" s="72"/>
      <c r="B606" s="12"/>
      <c r="C606" s="12"/>
      <c r="D606" s="12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6"/>
      <c r="W606" s="13"/>
      <c r="X606" s="13"/>
      <c r="Y606" s="13"/>
      <c r="Z606" s="13"/>
      <c r="AA606" s="17"/>
      <c r="AB606" s="17"/>
      <c r="AC606" s="17"/>
      <c r="AD606" s="17"/>
      <c r="AE606" s="17"/>
    </row>
    <row r="607">
      <c r="A607" s="72"/>
      <c r="B607" s="12"/>
      <c r="C607" s="12"/>
      <c r="D607" s="12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6"/>
      <c r="W607" s="13"/>
      <c r="X607" s="13"/>
      <c r="Y607" s="13"/>
      <c r="Z607" s="13"/>
      <c r="AA607" s="17"/>
      <c r="AB607" s="17"/>
      <c r="AC607" s="17"/>
      <c r="AD607" s="17"/>
      <c r="AE607" s="17"/>
    </row>
    <row r="608">
      <c r="A608" s="72"/>
      <c r="B608" s="12"/>
      <c r="C608" s="12"/>
      <c r="D608" s="12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6"/>
      <c r="W608" s="13"/>
      <c r="X608" s="13"/>
      <c r="Y608" s="13"/>
      <c r="Z608" s="13"/>
      <c r="AA608" s="17"/>
      <c r="AB608" s="17"/>
      <c r="AC608" s="17"/>
      <c r="AD608" s="17"/>
      <c r="AE608" s="17"/>
    </row>
    <row r="609">
      <c r="A609" s="72"/>
      <c r="B609" s="12"/>
      <c r="C609" s="12"/>
      <c r="D609" s="12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6"/>
      <c r="W609" s="13"/>
      <c r="X609" s="13"/>
      <c r="Y609" s="13"/>
      <c r="Z609" s="13"/>
      <c r="AA609" s="17"/>
      <c r="AB609" s="17"/>
      <c r="AC609" s="17"/>
      <c r="AD609" s="17"/>
      <c r="AE609" s="17"/>
    </row>
    <row r="610">
      <c r="A610" s="72"/>
      <c r="B610" s="12"/>
      <c r="C610" s="12"/>
      <c r="D610" s="12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6"/>
      <c r="W610" s="13"/>
      <c r="X610" s="13"/>
      <c r="Y610" s="13"/>
      <c r="Z610" s="13"/>
      <c r="AA610" s="17"/>
      <c r="AB610" s="17"/>
      <c r="AC610" s="17"/>
      <c r="AD610" s="17"/>
      <c r="AE610" s="17"/>
    </row>
    <row r="611">
      <c r="A611" s="72"/>
      <c r="B611" s="12"/>
      <c r="C611" s="12"/>
      <c r="D611" s="12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6"/>
      <c r="W611" s="13"/>
      <c r="X611" s="13"/>
      <c r="Y611" s="13"/>
      <c r="Z611" s="13"/>
      <c r="AA611" s="17"/>
      <c r="AB611" s="17"/>
      <c r="AC611" s="17"/>
      <c r="AD611" s="17"/>
      <c r="AE611" s="17"/>
    </row>
    <row r="612">
      <c r="A612" s="72"/>
      <c r="B612" s="12"/>
      <c r="C612" s="12"/>
      <c r="D612" s="12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6"/>
      <c r="W612" s="13"/>
      <c r="X612" s="13"/>
      <c r="Y612" s="13"/>
      <c r="Z612" s="13"/>
      <c r="AA612" s="17"/>
      <c r="AB612" s="17"/>
      <c r="AC612" s="17"/>
      <c r="AD612" s="17"/>
      <c r="AE612" s="17"/>
    </row>
    <row r="613">
      <c r="A613" s="72"/>
      <c r="B613" s="12"/>
      <c r="C613" s="12"/>
      <c r="D613" s="12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6"/>
      <c r="W613" s="13"/>
      <c r="X613" s="13"/>
      <c r="Y613" s="13"/>
      <c r="Z613" s="13"/>
      <c r="AA613" s="17"/>
      <c r="AB613" s="17"/>
      <c r="AC613" s="17"/>
      <c r="AD613" s="17"/>
      <c r="AE613" s="17"/>
    </row>
    <row r="614">
      <c r="A614" s="72"/>
      <c r="B614" s="12"/>
      <c r="C614" s="12"/>
      <c r="D614" s="12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6"/>
      <c r="W614" s="13"/>
      <c r="X614" s="13"/>
      <c r="Y614" s="13"/>
      <c r="Z614" s="13"/>
      <c r="AA614" s="17"/>
      <c r="AB614" s="17"/>
      <c r="AC614" s="17"/>
      <c r="AD614" s="17"/>
      <c r="AE614" s="17"/>
    </row>
    <row r="615">
      <c r="A615" s="72"/>
      <c r="B615" s="12"/>
      <c r="C615" s="12"/>
      <c r="D615" s="12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6"/>
      <c r="W615" s="13"/>
      <c r="X615" s="13"/>
      <c r="Y615" s="13"/>
      <c r="Z615" s="13"/>
      <c r="AA615" s="17"/>
      <c r="AB615" s="17"/>
      <c r="AC615" s="17"/>
      <c r="AD615" s="17"/>
      <c r="AE615" s="17"/>
    </row>
    <row r="616">
      <c r="A616" s="72"/>
      <c r="B616" s="12"/>
      <c r="C616" s="12"/>
      <c r="D616" s="12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6"/>
      <c r="W616" s="13"/>
      <c r="X616" s="13"/>
      <c r="Y616" s="13"/>
      <c r="Z616" s="13"/>
      <c r="AA616" s="17"/>
      <c r="AB616" s="17"/>
      <c r="AC616" s="17"/>
      <c r="AD616" s="17"/>
      <c r="AE616" s="17"/>
    </row>
    <row r="617">
      <c r="A617" s="72"/>
      <c r="B617" s="12"/>
      <c r="C617" s="12"/>
      <c r="D617" s="12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6"/>
      <c r="W617" s="13"/>
      <c r="X617" s="13"/>
      <c r="Y617" s="13"/>
      <c r="Z617" s="13"/>
      <c r="AA617" s="17"/>
      <c r="AB617" s="17"/>
      <c r="AC617" s="17"/>
      <c r="AD617" s="17"/>
      <c r="AE617" s="17"/>
    </row>
    <row r="618">
      <c r="A618" s="72"/>
      <c r="B618" s="12"/>
      <c r="C618" s="12"/>
      <c r="D618" s="12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6"/>
      <c r="W618" s="13"/>
      <c r="X618" s="13"/>
      <c r="Y618" s="13"/>
      <c r="Z618" s="13"/>
      <c r="AA618" s="17"/>
      <c r="AB618" s="17"/>
      <c r="AC618" s="17"/>
      <c r="AD618" s="17"/>
      <c r="AE618" s="17"/>
    </row>
    <row r="619">
      <c r="A619" s="72"/>
      <c r="B619" s="12"/>
      <c r="C619" s="12"/>
      <c r="D619" s="12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6"/>
      <c r="W619" s="13"/>
      <c r="X619" s="13"/>
      <c r="Y619" s="13"/>
      <c r="Z619" s="13"/>
      <c r="AA619" s="17"/>
      <c r="AB619" s="17"/>
      <c r="AC619" s="17"/>
      <c r="AD619" s="17"/>
      <c r="AE619" s="17"/>
    </row>
    <row r="620">
      <c r="A620" s="72"/>
      <c r="B620" s="12"/>
      <c r="C620" s="12"/>
      <c r="D620" s="12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6"/>
      <c r="W620" s="13"/>
      <c r="X620" s="13"/>
      <c r="Y620" s="13"/>
      <c r="Z620" s="13"/>
      <c r="AA620" s="17"/>
      <c r="AB620" s="17"/>
      <c r="AC620" s="17"/>
      <c r="AD620" s="17"/>
      <c r="AE620" s="17"/>
    </row>
    <row r="621">
      <c r="A621" s="72"/>
      <c r="B621" s="12"/>
      <c r="C621" s="12"/>
      <c r="D621" s="12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6"/>
      <c r="W621" s="13"/>
      <c r="X621" s="13"/>
      <c r="Y621" s="13"/>
      <c r="Z621" s="13"/>
      <c r="AA621" s="17"/>
      <c r="AB621" s="17"/>
      <c r="AC621" s="17"/>
      <c r="AD621" s="17"/>
      <c r="AE621" s="17"/>
    </row>
    <row r="622">
      <c r="A622" s="72"/>
      <c r="B622" s="12"/>
      <c r="C622" s="12"/>
      <c r="D622" s="12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6"/>
      <c r="W622" s="13"/>
      <c r="X622" s="13"/>
      <c r="Y622" s="13"/>
      <c r="Z622" s="13"/>
      <c r="AA622" s="17"/>
      <c r="AB622" s="17"/>
      <c r="AC622" s="17"/>
      <c r="AD622" s="17"/>
      <c r="AE622" s="17"/>
    </row>
    <row r="623">
      <c r="A623" s="72"/>
      <c r="B623" s="12"/>
      <c r="C623" s="12"/>
      <c r="D623" s="12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6"/>
      <c r="W623" s="13"/>
      <c r="X623" s="13"/>
      <c r="Y623" s="13"/>
      <c r="Z623" s="13"/>
      <c r="AA623" s="17"/>
      <c r="AB623" s="17"/>
      <c r="AC623" s="17"/>
      <c r="AD623" s="17"/>
      <c r="AE623" s="17"/>
    </row>
    <row r="624">
      <c r="A624" s="72"/>
      <c r="B624" s="12"/>
      <c r="C624" s="12"/>
      <c r="D624" s="12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6"/>
      <c r="W624" s="13"/>
      <c r="X624" s="13"/>
      <c r="Y624" s="13"/>
      <c r="Z624" s="13"/>
      <c r="AA624" s="17"/>
      <c r="AB624" s="17"/>
      <c r="AC624" s="17"/>
      <c r="AD624" s="17"/>
      <c r="AE624" s="17"/>
    </row>
    <row r="625">
      <c r="A625" s="72"/>
      <c r="B625" s="12"/>
      <c r="C625" s="12"/>
      <c r="D625" s="12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6"/>
      <c r="W625" s="13"/>
      <c r="X625" s="13"/>
      <c r="Y625" s="13"/>
      <c r="Z625" s="13"/>
      <c r="AA625" s="17"/>
      <c r="AB625" s="17"/>
      <c r="AC625" s="17"/>
      <c r="AD625" s="17"/>
      <c r="AE625" s="17"/>
    </row>
    <row r="626">
      <c r="A626" s="72"/>
      <c r="B626" s="12"/>
      <c r="C626" s="12"/>
      <c r="D626" s="12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6"/>
      <c r="W626" s="13"/>
      <c r="X626" s="13"/>
      <c r="Y626" s="13"/>
      <c r="Z626" s="13"/>
      <c r="AA626" s="17"/>
      <c r="AB626" s="17"/>
      <c r="AC626" s="17"/>
      <c r="AD626" s="17"/>
      <c r="AE626" s="17"/>
    </row>
    <row r="627">
      <c r="A627" s="72"/>
      <c r="B627" s="12"/>
      <c r="C627" s="12"/>
      <c r="D627" s="12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6"/>
      <c r="W627" s="13"/>
      <c r="X627" s="13"/>
      <c r="Y627" s="13"/>
      <c r="Z627" s="13"/>
      <c r="AA627" s="17"/>
      <c r="AB627" s="17"/>
      <c r="AC627" s="17"/>
      <c r="AD627" s="17"/>
      <c r="AE627" s="17"/>
    </row>
    <row r="628">
      <c r="A628" s="72"/>
      <c r="B628" s="12"/>
      <c r="C628" s="12"/>
      <c r="D628" s="12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6"/>
      <c r="W628" s="13"/>
      <c r="X628" s="13"/>
      <c r="Y628" s="13"/>
      <c r="Z628" s="13"/>
      <c r="AA628" s="17"/>
      <c r="AB628" s="17"/>
      <c r="AC628" s="17"/>
      <c r="AD628" s="17"/>
      <c r="AE628" s="17"/>
    </row>
    <row r="629">
      <c r="A629" s="72"/>
      <c r="B629" s="12"/>
      <c r="C629" s="12"/>
      <c r="D629" s="12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6"/>
      <c r="W629" s="13"/>
      <c r="X629" s="13"/>
      <c r="Y629" s="13"/>
      <c r="Z629" s="13"/>
      <c r="AA629" s="17"/>
      <c r="AB629" s="17"/>
      <c r="AC629" s="17"/>
      <c r="AD629" s="17"/>
      <c r="AE629" s="17"/>
    </row>
    <row r="630">
      <c r="A630" s="72"/>
      <c r="B630" s="12"/>
      <c r="C630" s="12"/>
      <c r="D630" s="12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6"/>
      <c r="W630" s="13"/>
      <c r="X630" s="13"/>
      <c r="Y630" s="13"/>
      <c r="Z630" s="13"/>
      <c r="AA630" s="17"/>
      <c r="AB630" s="17"/>
      <c r="AC630" s="17"/>
      <c r="AD630" s="17"/>
      <c r="AE630" s="17"/>
    </row>
    <row r="631">
      <c r="A631" s="72"/>
      <c r="B631" s="12"/>
      <c r="C631" s="12"/>
      <c r="D631" s="12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6"/>
      <c r="W631" s="13"/>
      <c r="X631" s="13"/>
      <c r="Y631" s="13"/>
      <c r="Z631" s="13"/>
      <c r="AA631" s="17"/>
      <c r="AB631" s="17"/>
      <c r="AC631" s="17"/>
      <c r="AD631" s="17"/>
      <c r="AE631" s="17"/>
    </row>
    <row r="632">
      <c r="A632" s="72"/>
      <c r="B632" s="12"/>
      <c r="C632" s="12"/>
      <c r="D632" s="12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6"/>
      <c r="W632" s="13"/>
      <c r="X632" s="13"/>
      <c r="Y632" s="13"/>
      <c r="Z632" s="13"/>
      <c r="AA632" s="17"/>
      <c r="AB632" s="17"/>
      <c r="AC632" s="17"/>
      <c r="AD632" s="17"/>
      <c r="AE632" s="17"/>
    </row>
    <row r="633">
      <c r="A633" s="72"/>
      <c r="B633" s="12"/>
      <c r="C633" s="12"/>
      <c r="D633" s="12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6"/>
      <c r="W633" s="13"/>
      <c r="X633" s="13"/>
      <c r="Y633" s="13"/>
      <c r="Z633" s="13"/>
      <c r="AA633" s="17"/>
      <c r="AB633" s="17"/>
      <c r="AC633" s="17"/>
      <c r="AD633" s="17"/>
      <c r="AE633" s="17"/>
    </row>
    <row r="634">
      <c r="A634" s="72"/>
      <c r="B634" s="12"/>
      <c r="C634" s="12"/>
      <c r="D634" s="12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6"/>
      <c r="W634" s="13"/>
      <c r="X634" s="13"/>
      <c r="Y634" s="13"/>
      <c r="Z634" s="13"/>
      <c r="AA634" s="17"/>
      <c r="AB634" s="17"/>
      <c r="AC634" s="17"/>
      <c r="AD634" s="17"/>
      <c r="AE634" s="17"/>
    </row>
    <row r="635">
      <c r="A635" s="72"/>
      <c r="B635" s="12"/>
      <c r="C635" s="12"/>
      <c r="D635" s="12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6"/>
      <c r="W635" s="13"/>
      <c r="X635" s="13"/>
      <c r="Y635" s="13"/>
      <c r="Z635" s="13"/>
      <c r="AA635" s="17"/>
      <c r="AB635" s="17"/>
      <c r="AC635" s="17"/>
      <c r="AD635" s="17"/>
      <c r="AE635" s="17"/>
    </row>
    <row r="636">
      <c r="A636" s="72"/>
      <c r="B636" s="12"/>
      <c r="C636" s="12"/>
      <c r="D636" s="12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6"/>
      <c r="W636" s="13"/>
      <c r="X636" s="13"/>
      <c r="Y636" s="13"/>
      <c r="Z636" s="13"/>
      <c r="AA636" s="17"/>
      <c r="AB636" s="17"/>
      <c r="AC636" s="17"/>
      <c r="AD636" s="17"/>
      <c r="AE636" s="17"/>
    </row>
    <row r="637">
      <c r="A637" s="72"/>
      <c r="B637" s="12"/>
      <c r="C637" s="12"/>
      <c r="D637" s="12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6"/>
      <c r="W637" s="13"/>
      <c r="X637" s="13"/>
      <c r="Y637" s="13"/>
      <c r="Z637" s="13"/>
      <c r="AA637" s="17"/>
      <c r="AB637" s="17"/>
      <c r="AC637" s="17"/>
      <c r="AD637" s="17"/>
      <c r="AE637" s="17"/>
    </row>
    <row r="638">
      <c r="A638" s="72"/>
      <c r="B638" s="12"/>
      <c r="C638" s="12"/>
      <c r="D638" s="12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6"/>
      <c r="W638" s="13"/>
      <c r="X638" s="13"/>
      <c r="Y638" s="13"/>
      <c r="Z638" s="13"/>
      <c r="AA638" s="17"/>
      <c r="AB638" s="17"/>
      <c r="AC638" s="17"/>
      <c r="AD638" s="17"/>
      <c r="AE638" s="17"/>
    </row>
    <row r="639">
      <c r="A639" s="72"/>
      <c r="B639" s="12"/>
      <c r="C639" s="12"/>
      <c r="D639" s="12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6"/>
      <c r="W639" s="13"/>
      <c r="X639" s="13"/>
      <c r="Y639" s="13"/>
      <c r="Z639" s="13"/>
      <c r="AA639" s="17"/>
      <c r="AB639" s="17"/>
      <c r="AC639" s="17"/>
      <c r="AD639" s="17"/>
      <c r="AE639" s="17"/>
    </row>
    <row r="640">
      <c r="A640" s="72"/>
      <c r="B640" s="12"/>
      <c r="C640" s="12"/>
      <c r="D640" s="12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6"/>
      <c r="W640" s="13"/>
      <c r="X640" s="13"/>
      <c r="Y640" s="13"/>
      <c r="Z640" s="13"/>
      <c r="AA640" s="17"/>
      <c r="AB640" s="17"/>
      <c r="AC640" s="17"/>
      <c r="AD640" s="17"/>
      <c r="AE640" s="17"/>
    </row>
    <row r="641">
      <c r="A641" s="72"/>
      <c r="B641" s="12"/>
      <c r="C641" s="12"/>
      <c r="D641" s="12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6"/>
      <c r="W641" s="13"/>
      <c r="X641" s="13"/>
      <c r="Y641" s="13"/>
      <c r="Z641" s="13"/>
      <c r="AA641" s="17"/>
      <c r="AB641" s="17"/>
      <c r="AC641" s="17"/>
      <c r="AD641" s="17"/>
      <c r="AE641" s="17"/>
    </row>
    <row r="642">
      <c r="A642" s="72"/>
      <c r="B642" s="12"/>
      <c r="C642" s="12"/>
      <c r="D642" s="12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6"/>
      <c r="W642" s="13"/>
      <c r="X642" s="13"/>
      <c r="Y642" s="13"/>
      <c r="Z642" s="13"/>
      <c r="AA642" s="17"/>
      <c r="AB642" s="17"/>
      <c r="AC642" s="17"/>
      <c r="AD642" s="17"/>
      <c r="AE642" s="17"/>
    </row>
    <row r="643">
      <c r="A643" s="72"/>
      <c r="B643" s="12"/>
      <c r="C643" s="12"/>
      <c r="D643" s="12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6"/>
      <c r="W643" s="13"/>
      <c r="X643" s="13"/>
      <c r="Y643" s="13"/>
      <c r="Z643" s="13"/>
      <c r="AA643" s="17"/>
      <c r="AB643" s="17"/>
      <c r="AC643" s="17"/>
      <c r="AD643" s="17"/>
      <c r="AE643" s="17"/>
    </row>
    <row r="644">
      <c r="A644" s="72"/>
      <c r="B644" s="12"/>
      <c r="C644" s="12"/>
      <c r="D644" s="12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6"/>
      <c r="W644" s="13"/>
      <c r="X644" s="13"/>
      <c r="Y644" s="13"/>
      <c r="Z644" s="13"/>
      <c r="AA644" s="17"/>
      <c r="AB644" s="17"/>
      <c r="AC644" s="17"/>
      <c r="AD644" s="17"/>
      <c r="AE644" s="17"/>
    </row>
    <row r="645">
      <c r="A645" s="72"/>
      <c r="B645" s="12"/>
      <c r="C645" s="12"/>
      <c r="D645" s="12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6"/>
      <c r="W645" s="13"/>
      <c r="X645" s="13"/>
      <c r="Y645" s="13"/>
      <c r="Z645" s="13"/>
      <c r="AA645" s="17"/>
      <c r="AB645" s="17"/>
      <c r="AC645" s="17"/>
      <c r="AD645" s="17"/>
      <c r="AE645" s="17"/>
    </row>
    <row r="646">
      <c r="A646" s="72"/>
      <c r="B646" s="12"/>
      <c r="C646" s="12"/>
      <c r="D646" s="12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6"/>
      <c r="W646" s="13"/>
      <c r="X646" s="13"/>
      <c r="Y646" s="13"/>
      <c r="Z646" s="13"/>
      <c r="AA646" s="17"/>
      <c r="AB646" s="17"/>
      <c r="AC646" s="17"/>
      <c r="AD646" s="17"/>
      <c r="AE646" s="17"/>
    </row>
    <row r="647">
      <c r="A647" s="72"/>
      <c r="B647" s="12"/>
      <c r="C647" s="12"/>
      <c r="D647" s="12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6"/>
      <c r="W647" s="13"/>
      <c r="X647" s="13"/>
      <c r="Y647" s="13"/>
      <c r="Z647" s="13"/>
      <c r="AA647" s="17"/>
      <c r="AB647" s="17"/>
      <c r="AC647" s="17"/>
      <c r="AD647" s="17"/>
      <c r="AE647" s="17"/>
    </row>
    <row r="648">
      <c r="A648" s="72"/>
      <c r="B648" s="12"/>
      <c r="C648" s="12"/>
      <c r="D648" s="12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6"/>
      <c r="W648" s="13"/>
      <c r="X648" s="13"/>
      <c r="Y648" s="13"/>
      <c r="Z648" s="13"/>
      <c r="AA648" s="17"/>
      <c r="AB648" s="17"/>
      <c r="AC648" s="17"/>
      <c r="AD648" s="17"/>
      <c r="AE648" s="17"/>
    </row>
    <row r="649">
      <c r="A649" s="72"/>
      <c r="B649" s="12"/>
      <c r="C649" s="12"/>
      <c r="D649" s="12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6"/>
      <c r="W649" s="13"/>
      <c r="X649" s="13"/>
      <c r="Y649" s="13"/>
      <c r="Z649" s="13"/>
      <c r="AA649" s="17"/>
      <c r="AB649" s="17"/>
      <c r="AC649" s="17"/>
      <c r="AD649" s="17"/>
      <c r="AE649" s="17"/>
    </row>
    <row r="650">
      <c r="A650" s="72"/>
      <c r="B650" s="12"/>
      <c r="C650" s="12"/>
      <c r="D650" s="12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6"/>
      <c r="W650" s="13"/>
      <c r="X650" s="13"/>
      <c r="Y650" s="13"/>
      <c r="Z650" s="13"/>
      <c r="AA650" s="17"/>
      <c r="AB650" s="17"/>
      <c r="AC650" s="17"/>
      <c r="AD650" s="17"/>
      <c r="AE650" s="17"/>
    </row>
    <row r="651">
      <c r="A651" s="72"/>
      <c r="B651" s="12"/>
      <c r="C651" s="12"/>
      <c r="D651" s="12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6"/>
      <c r="W651" s="13"/>
      <c r="X651" s="13"/>
      <c r="Y651" s="13"/>
      <c r="Z651" s="13"/>
      <c r="AA651" s="17"/>
      <c r="AB651" s="17"/>
      <c r="AC651" s="17"/>
      <c r="AD651" s="17"/>
      <c r="AE651" s="17"/>
    </row>
    <row r="652">
      <c r="A652" s="72"/>
      <c r="B652" s="12"/>
      <c r="C652" s="12"/>
      <c r="D652" s="12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6"/>
      <c r="W652" s="13"/>
      <c r="X652" s="13"/>
      <c r="Y652" s="13"/>
      <c r="Z652" s="13"/>
      <c r="AA652" s="17"/>
      <c r="AB652" s="17"/>
      <c r="AC652" s="17"/>
      <c r="AD652" s="17"/>
      <c r="AE652" s="17"/>
    </row>
    <row r="653">
      <c r="A653" s="72"/>
      <c r="B653" s="12"/>
      <c r="C653" s="12"/>
      <c r="D653" s="12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6"/>
      <c r="W653" s="13"/>
      <c r="X653" s="13"/>
      <c r="Y653" s="13"/>
      <c r="Z653" s="13"/>
      <c r="AA653" s="17"/>
      <c r="AB653" s="17"/>
      <c r="AC653" s="17"/>
      <c r="AD653" s="17"/>
      <c r="AE653" s="17"/>
    </row>
    <row r="654">
      <c r="A654" s="72"/>
      <c r="B654" s="12"/>
      <c r="C654" s="12"/>
      <c r="D654" s="12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6"/>
      <c r="W654" s="13"/>
      <c r="X654" s="13"/>
      <c r="Y654" s="13"/>
      <c r="Z654" s="13"/>
      <c r="AA654" s="17"/>
      <c r="AB654" s="17"/>
      <c r="AC654" s="17"/>
      <c r="AD654" s="17"/>
      <c r="AE654" s="17"/>
    </row>
    <row r="655">
      <c r="A655" s="72"/>
      <c r="B655" s="12"/>
      <c r="C655" s="12"/>
      <c r="D655" s="12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6"/>
      <c r="W655" s="13"/>
      <c r="X655" s="13"/>
      <c r="Y655" s="13"/>
      <c r="Z655" s="13"/>
      <c r="AA655" s="17"/>
      <c r="AB655" s="17"/>
      <c r="AC655" s="17"/>
      <c r="AD655" s="17"/>
      <c r="AE655" s="17"/>
    </row>
    <row r="656">
      <c r="A656" s="72"/>
      <c r="B656" s="12"/>
      <c r="C656" s="12"/>
      <c r="D656" s="12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6"/>
      <c r="W656" s="13"/>
      <c r="X656" s="13"/>
      <c r="Y656" s="13"/>
      <c r="Z656" s="13"/>
      <c r="AA656" s="17"/>
      <c r="AB656" s="17"/>
      <c r="AC656" s="17"/>
      <c r="AD656" s="17"/>
      <c r="AE656" s="17"/>
    </row>
    <row r="657">
      <c r="A657" s="72"/>
      <c r="B657" s="12"/>
      <c r="C657" s="12"/>
      <c r="D657" s="12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6"/>
      <c r="W657" s="13"/>
      <c r="X657" s="13"/>
      <c r="Y657" s="13"/>
      <c r="Z657" s="13"/>
      <c r="AA657" s="17"/>
      <c r="AB657" s="17"/>
      <c r="AC657" s="17"/>
      <c r="AD657" s="17"/>
      <c r="AE657" s="17"/>
    </row>
    <row r="658">
      <c r="A658" s="72"/>
      <c r="B658" s="12"/>
      <c r="C658" s="12"/>
      <c r="D658" s="12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6"/>
      <c r="W658" s="13"/>
      <c r="X658" s="13"/>
      <c r="Y658" s="13"/>
      <c r="Z658" s="13"/>
      <c r="AA658" s="17"/>
      <c r="AB658" s="17"/>
      <c r="AC658" s="17"/>
      <c r="AD658" s="17"/>
      <c r="AE658" s="17"/>
    </row>
    <row r="659">
      <c r="A659" s="72"/>
      <c r="B659" s="12"/>
      <c r="C659" s="12"/>
      <c r="D659" s="12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6"/>
      <c r="W659" s="13"/>
      <c r="X659" s="13"/>
      <c r="Y659" s="13"/>
      <c r="Z659" s="13"/>
      <c r="AA659" s="17"/>
      <c r="AB659" s="17"/>
      <c r="AC659" s="17"/>
      <c r="AD659" s="17"/>
      <c r="AE659" s="17"/>
    </row>
    <row r="660">
      <c r="A660" s="72"/>
      <c r="B660" s="12"/>
      <c r="C660" s="12"/>
      <c r="D660" s="12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6"/>
      <c r="W660" s="13"/>
      <c r="X660" s="13"/>
      <c r="Y660" s="13"/>
      <c r="Z660" s="13"/>
      <c r="AA660" s="17"/>
      <c r="AB660" s="17"/>
      <c r="AC660" s="17"/>
      <c r="AD660" s="17"/>
      <c r="AE660" s="17"/>
    </row>
    <row r="661">
      <c r="A661" s="72"/>
      <c r="B661" s="12"/>
      <c r="C661" s="12"/>
      <c r="D661" s="12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6"/>
      <c r="W661" s="13"/>
      <c r="X661" s="13"/>
      <c r="Y661" s="13"/>
      <c r="Z661" s="13"/>
      <c r="AA661" s="17"/>
      <c r="AB661" s="17"/>
      <c r="AC661" s="17"/>
      <c r="AD661" s="17"/>
      <c r="AE661" s="17"/>
    </row>
    <row r="662">
      <c r="A662" s="72"/>
      <c r="B662" s="12"/>
      <c r="C662" s="12"/>
      <c r="D662" s="12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6"/>
      <c r="W662" s="13"/>
      <c r="X662" s="13"/>
      <c r="Y662" s="13"/>
      <c r="Z662" s="13"/>
      <c r="AA662" s="17"/>
      <c r="AB662" s="17"/>
      <c r="AC662" s="17"/>
      <c r="AD662" s="17"/>
      <c r="AE662" s="17"/>
    </row>
    <row r="663">
      <c r="A663" s="72"/>
      <c r="B663" s="12"/>
      <c r="C663" s="12"/>
      <c r="D663" s="12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6"/>
      <c r="W663" s="13"/>
      <c r="X663" s="13"/>
      <c r="Y663" s="13"/>
      <c r="Z663" s="13"/>
      <c r="AA663" s="17"/>
      <c r="AB663" s="17"/>
      <c r="AC663" s="17"/>
      <c r="AD663" s="17"/>
      <c r="AE663" s="17"/>
    </row>
    <row r="664">
      <c r="A664" s="72"/>
      <c r="B664" s="12"/>
      <c r="C664" s="12"/>
      <c r="D664" s="12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6"/>
      <c r="W664" s="13"/>
      <c r="X664" s="13"/>
      <c r="Y664" s="13"/>
      <c r="Z664" s="13"/>
      <c r="AA664" s="17"/>
      <c r="AB664" s="17"/>
      <c r="AC664" s="17"/>
      <c r="AD664" s="17"/>
      <c r="AE664" s="17"/>
    </row>
    <row r="665">
      <c r="A665" s="72"/>
      <c r="B665" s="12"/>
      <c r="C665" s="12"/>
      <c r="D665" s="12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6"/>
      <c r="W665" s="13"/>
      <c r="X665" s="13"/>
      <c r="Y665" s="13"/>
      <c r="Z665" s="13"/>
      <c r="AA665" s="17"/>
      <c r="AB665" s="17"/>
      <c r="AC665" s="17"/>
      <c r="AD665" s="17"/>
      <c r="AE665" s="17"/>
    </row>
    <row r="666">
      <c r="A666" s="72"/>
      <c r="B666" s="12"/>
      <c r="C666" s="12"/>
      <c r="D666" s="12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6"/>
      <c r="W666" s="13"/>
      <c r="X666" s="13"/>
      <c r="Y666" s="13"/>
      <c r="Z666" s="13"/>
      <c r="AA666" s="17"/>
      <c r="AB666" s="17"/>
      <c r="AC666" s="17"/>
      <c r="AD666" s="17"/>
      <c r="AE666" s="17"/>
    </row>
    <row r="667">
      <c r="A667" s="72"/>
      <c r="B667" s="12"/>
      <c r="C667" s="12"/>
      <c r="D667" s="12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6"/>
      <c r="W667" s="13"/>
      <c r="X667" s="13"/>
      <c r="Y667" s="13"/>
      <c r="Z667" s="13"/>
      <c r="AA667" s="17"/>
      <c r="AB667" s="17"/>
      <c r="AC667" s="17"/>
      <c r="AD667" s="17"/>
      <c r="AE667" s="17"/>
    </row>
    <row r="668">
      <c r="A668" s="72"/>
      <c r="B668" s="12"/>
      <c r="C668" s="12"/>
      <c r="D668" s="12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6"/>
      <c r="W668" s="13"/>
      <c r="X668" s="13"/>
      <c r="Y668" s="13"/>
      <c r="Z668" s="13"/>
      <c r="AA668" s="17"/>
      <c r="AB668" s="17"/>
      <c r="AC668" s="17"/>
      <c r="AD668" s="17"/>
      <c r="AE668" s="17"/>
    </row>
    <row r="669">
      <c r="A669" s="72"/>
      <c r="B669" s="12"/>
      <c r="C669" s="12"/>
      <c r="D669" s="12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6"/>
      <c r="W669" s="13"/>
      <c r="X669" s="13"/>
      <c r="Y669" s="13"/>
      <c r="Z669" s="13"/>
      <c r="AA669" s="17"/>
      <c r="AB669" s="17"/>
      <c r="AC669" s="17"/>
      <c r="AD669" s="17"/>
      <c r="AE669" s="17"/>
    </row>
    <row r="670">
      <c r="A670" s="72"/>
      <c r="B670" s="12"/>
      <c r="C670" s="12"/>
      <c r="D670" s="12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6"/>
      <c r="W670" s="13"/>
      <c r="X670" s="13"/>
      <c r="Y670" s="13"/>
      <c r="Z670" s="13"/>
      <c r="AA670" s="17"/>
      <c r="AB670" s="17"/>
      <c r="AC670" s="17"/>
      <c r="AD670" s="17"/>
      <c r="AE670" s="17"/>
    </row>
    <row r="671">
      <c r="A671" s="72"/>
      <c r="B671" s="12"/>
      <c r="C671" s="12"/>
      <c r="D671" s="12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6"/>
      <c r="W671" s="13"/>
      <c r="X671" s="13"/>
      <c r="Y671" s="13"/>
      <c r="Z671" s="13"/>
      <c r="AA671" s="17"/>
      <c r="AB671" s="17"/>
      <c r="AC671" s="17"/>
      <c r="AD671" s="17"/>
      <c r="AE671" s="17"/>
    </row>
    <row r="672">
      <c r="A672" s="72"/>
      <c r="B672" s="12"/>
      <c r="C672" s="12"/>
      <c r="D672" s="12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6"/>
      <c r="W672" s="13"/>
      <c r="X672" s="13"/>
      <c r="Y672" s="13"/>
      <c r="Z672" s="13"/>
      <c r="AA672" s="17"/>
      <c r="AB672" s="17"/>
      <c r="AC672" s="17"/>
      <c r="AD672" s="17"/>
      <c r="AE672" s="17"/>
    </row>
    <row r="673">
      <c r="A673" s="72"/>
      <c r="B673" s="12"/>
      <c r="C673" s="12"/>
      <c r="D673" s="12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6"/>
      <c r="W673" s="13"/>
      <c r="X673" s="13"/>
      <c r="Y673" s="13"/>
      <c r="Z673" s="13"/>
      <c r="AA673" s="17"/>
      <c r="AB673" s="17"/>
      <c r="AC673" s="17"/>
      <c r="AD673" s="17"/>
      <c r="AE673" s="17"/>
    </row>
    <row r="674">
      <c r="A674" s="72"/>
      <c r="B674" s="12"/>
      <c r="C674" s="12"/>
      <c r="D674" s="12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6"/>
      <c r="W674" s="13"/>
      <c r="X674" s="13"/>
      <c r="Y674" s="13"/>
      <c r="Z674" s="13"/>
      <c r="AA674" s="17"/>
      <c r="AB674" s="17"/>
      <c r="AC674" s="17"/>
      <c r="AD674" s="17"/>
      <c r="AE674" s="17"/>
    </row>
    <row r="675">
      <c r="A675" s="72"/>
      <c r="B675" s="12"/>
      <c r="C675" s="12"/>
      <c r="D675" s="12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6"/>
      <c r="W675" s="13"/>
      <c r="X675" s="13"/>
      <c r="Y675" s="13"/>
      <c r="Z675" s="13"/>
      <c r="AA675" s="17"/>
      <c r="AB675" s="17"/>
      <c r="AC675" s="17"/>
      <c r="AD675" s="17"/>
      <c r="AE675" s="17"/>
    </row>
    <row r="676">
      <c r="A676" s="72"/>
      <c r="B676" s="12"/>
      <c r="C676" s="12"/>
      <c r="D676" s="12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6"/>
      <c r="W676" s="13"/>
      <c r="X676" s="13"/>
      <c r="Y676" s="13"/>
      <c r="Z676" s="13"/>
      <c r="AA676" s="17"/>
      <c r="AB676" s="17"/>
      <c r="AC676" s="17"/>
      <c r="AD676" s="17"/>
      <c r="AE676" s="17"/>
    </row>
    <row r="677">
      <c r="A677" s="72"/>
      <c r="B677" s="12"/>
      <c r="C677" s="12"/>
      <c r="D677" s="12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6"/>
      <c r="W677" s="13"/>
      <c r="X677" s="13"/>
      <c r="Y677" s="13"/>
      <c r="Z677" s="13"/>
      <c r="AA677" s="17"/>
      <c r="AB677" s="17"/>
      <c r="AC677" s="17"/>
      <c r="AD677" s="17"/>
      <c r="AE677" s="17"/>
    </row>
    <row r="678">
      <c r="A678" s="72"/>
      <c r="B678" s="12"/>
      <c r="C678" s="12"/>
      <c r="D678" s="12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6"/>
      <c r="W678" s="13"/>
      <c r="X678" s="13"/>
      <c r="Y678" s="13"/>
      <c r="Z678" s="13"/>
      <c r="AA678" s="17"/>
      <c r="AB678" s="17"/>
      <c r="AC678" s="17"/>
      <c r="AD678" s="17"/>
      <c r="AE678" s="17"/>
    </row>
    <row r="679">
      <c r="A679" s="72"/>
      <c r="B679" s="12"/>
      <c r="C679" s="12"/>
      <c r="D679" s="12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6"/>
      <c r="W679" s="13"/>
      <c r="X679" s="13"/>
      <c r="Y679" s="13"/>
      <c r="Z679" s="13"/>
      <c r="AA679" s="17"/>
      <c r="AB679" s="17"/>
      <c r="AC679" s="17"/>
      <c r="AD679" s="17"/>
      <c r="AE679" s="17"/>
    </row>
    <row r="680">
      <c r="A680" s="72"/>
      <c r="B680" s="12"/>
      <c r="C680" s="12"/>
      <c r="D680" s="12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6"/>
      <c r="W680" s="13"/>
      <c r="X680" s="13"/>
      <c r="Y680" s="13"/>
      <c r="Z680" s="13"/>
      <c r="AA680" s="17"/>
      <c r="AB680" s="17"/>
      <c r="AC680" s="17"/>
      <c r="AD680" s="17"/>
      <c r="AE680" s="17"/>
    </row>
    <row r="681">
      <c r="A681" s="72"/>
      <c r="B681" s="12"/>
      <c r="C681" s="12"/>
      <c r="D681" s="12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6"/>
      <c r="W681" s="13"/>
      <c r="X681" s="13"/>
      <c r="Y681" s="13"/>
      <c r="Z681" s="13"/>
      <c r="AA681" s="17"/>
      <c r="AB681" s="17"/>
      <c r="AC681" s="17"/>
      <c r="AD681" s="17"/>
      <c r="AE681" s="17"/>
    </row>
    <row r="682">
      <c r="A682" s="72"/>
      <c r="B682" s="12"/>
      <c r="C682" s="12"/>
      <c r="D682" s="12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6"/>
      <c r="W682" s="13"/>
      <c r="X682" s="13"/>
      <c r="Y682" s="13"/>
      <c r="Z682" s="13"/>
      <c r="AA682" s="17"/>
      <c r="AB682" s="17"/>
      <c r="AC682" s="17"/>
      <c r="AD682" s="17"/>
      <c r="AE682" s="17"/>
    </row>
    <row r="683">
      <c r="A683" s="72"/>
      <c r="B683" s="12"/>
      <c r="C683" s="12"/>
      <c r="D683" s="12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6"/>
      <c r="W683" s="13"/>
      <c r="X683" s="13"/>
      <c r="Y683" s="13"/>
      <c r="Z683" s="13"/>
      <c r="AA683" s="17"/>
      <c r="AB683" s="17"/>
      <c r="AC683" s="17"/>
      <c r="AD683" s="17"/>
      <c r="AE683" s="17"/>
    </row>
    <row r="684">
      <c r="A684" s="72"/>
      <c r="B684" s="12"/>
      <c r="C684" s="12"/>
      <c r="D684" s="12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6"/>
      <c r="W684" s="13"/>
      <c r="X684" s="13"/>
      <c r="Y684" s="13"/>
      <c r="Z684" s="13"/>
      <c r="AA684" s="17"/>
      <c r="AB684" s="17"/>
      <c r="AC684" s="17"/>
      <c r="AD684" s="17"/>
      <c r="AE684" s="17"/>
    </row>
    <row r="685">
      <c r="A685" s="72"/>
      <c r="B685" s="12"/>
      <c r="C685" s="12"/>
      <c r="D685" s="12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6"/>
      <c r="W685" s="13"/>
      <c r="X685" s="13"/>
      <c r="Y685" s="13"/>
      <c r="Z685" s="13"/>
      <c r="AA685" s="17"/>
      <c r="AB685" s="17"/>
      <c r="AC685" s="17"/>
      <c r="AD685" s="17"/>
      <c r="AE685" s="17"/>
    </row>
    <row r="686">
      <c r="A686" s="72"/>
      <c r="B686" s="12"/>
      <c r="C686" s="12"/>
      <c r="D686" s="12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6"/>
      <c r="W686" s="13"/>
      <c r="X686" s="13"/>
      <c r="Y686" s="13"/>
      <c r="Z686" s="13"/>
      <c r="AA686" s="17"/>
      <c r="AB686" s="17"/>
      <c r="AC686" s="17"/>
      <c r="AD686" s="17"/>
      <c r="AE686" s="17"/>
    </row>
    <row r="687">
      <c r="A687" s="72"/>
      <c r="B687" s="12"/>
      <c r="C687" s="12"/>
      <c r="D687" s="12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6"/>
      <c r="W687" s="13"/>
      <c r="X687" s="13"/>
      <c r="Y687" s="13"/>
      <c r="Z687" s="13"/>
      <c r="AA687" s="17"/>
      <c r="AB687" s="17"/>
      <c r="AC687" s="17"/>
      <c r="AD687" s="17"/>
      <c r="AE687" s="17"/>
    </row>
    <row r="688">
      <c r="A688" s="72"/>
      <c r="B688" s="12"/>
      <c r="C688" s="12"/>
      <c r="D688" s="12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6"/>
      <c r="W688" s="13"/>
      <c r="X688" s="13"/>
      <c r="Y688" s="13"/>
      <c r="Z688" s="13"/>
      <c r="AA688" s="17"/>
      <c r="AB688" s="17"/>
      <c r="AC688" s="17"/>
      <c r="AD688" s="17"/>
      <c r="AE688" s="17"/>
    </row>
    <row r="689">
      <c r="A689" s="72"/>
      <c r="B689" s="12"/>
      <c r="C689" s="12"/>
      <c r="D689" s="12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6"/>
      <c r="W689" s="13"/>
      <c r="X689" s="13"/>
      <c r="Y689" s="13"/>
      <c r="Z689" s="13"/>
      <c r="AA689" s="17"/>
      <c r="AB689" s="17"/>
      <c r="AC689" s="17"/>
      <c r="AD689" s="17"/>
      <c r="AE689" s="17"/>
    </row>
    <row r="690">
      <c r="A690" s="72"/>
      <c r="B690" s="12"/>
      <c r="C690" s="12"/>
      <c r="D690" s="12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6"/>
      <c r="W690" s="13"/>
      <c r="X690" s="13"/>
      <c r="Y690" s="13"/>
      <c r="Z690" s="13"/>
      <c r="AA690" s="17"/>
      <c r="AB690" s="17"/>
      <c r="AC690" s="17"/>
      <c r="AD690" s="17"/>
      <c r="AE690" s="17"/>
    </row>
    <row r="691">
      <c r="A691" s="72"/>
      <c r="B691" s="12"/>
      <c r="C691" s="12"/>
      <c r="D691" s="12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6"/>
      <c r="W691" s="13"/>
      <c r="X691" s="13"/>
      <c r="Y691" s="13"/>
      <c r="Z691" s="13"/>
      <c r="AA691" s="17"/>
      <c r="AB691" s="17"/>
      <c r="AC691" s="17"/>
      <c r="AD691" s="17"/>
      <c r="AE691" s="17"/>
    </row>
    <row r="692">
      <c r="A692" s="72"/>
      <c r="B692" s="12"/>
      <c r="C692" s="12"/>
      <c r="D692" s="12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6"/>
      <c r="W692" s="13"/>
      <c r="X692" s="13"/>
      <c r="Y692" s="13"/>
      <c r="Z692" s="13"/>
      <c r="AA692" s="17"/>
      <c r="AB692" s="17"/>
      <c r="AC692" s="17"/>
      <c r="AD692" s="17"/>
      <c r="AE692" s="17"/>
    </row>
    <row r="693">
      <c r="A693" s="72"/>
      <c r="B693" s="12"/>
      <c r="C693" s="12"/>
      <c r="D693" s="12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6"/>
      <c r="W693" s="13"/>
      <c r="X693" s="13"/>
      <c r="Y693" s="13"/>
      <c r="Z693" s="13"/>
      <c r="AA693" s="17"/>
      <c r="AB693" s="17"/>
      <c r="AC693" s="17"/>
      <c r="AD693" s="17"/>
      <c r="AE693" s="17"/>
    </row>
    <row r="694">
      <c r="A694" s="72"/>
      <c r="B694" s="12"/>
      <c r="C694" s="12"/>
      <c r="D694" s="12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6"/>
      <c r="W694" s="13"/>
      <c r="X694" s="13"/>
      <c r="Y694" s="13"/>
      <c r="Z694" s="13"/>
      <c r="AA694" s="17"/>
      <c r="AB694" s="17"/>
      <c r="AC694" s="17"/>
      <c r="AD694" s="17"/>
      <c r="AE694" s="17"/>
    </row>
    <row r="695">
      <c r="A695" s="72"/>
      <c r="B695" s="12"/>
      <c r="C695" s="12"/>
      <c r="D695" s="12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6"/>
      <c r="W695" s="13"/>
      <c r="X695" s="13"/>
      <c r="Y695" s="13"/>
      <c r="Z695" s="13"/>
      <c r="AA695" s="17"/>
      <c r="AB695" s="17"/>
      <c r="AC695" s="17"/>
      <c r="AD695" s="17"/>
      <c r="AE695" s="17"/>
    </row>
    <row r="696">
      <c r="A696" s="72"/>
      <c r="B696" s="12"/>
      <c r="C696" s="12"/>
      <c r="D696" s="12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6"/>
      <c r="W696" s="13"/>
      <c r="X696" s="13"/>
      <c r="Y696" s="13"/>
      <c r="Z696" s="13"/>
      <c r="AA696" s="17"/>
      <c r="AB696" s="17"/>
      <c r="AC696" s="17"/>
      <c r="AD696" s="17"/>
      <c r="AE696" s="17"/>
    </row>
    <row r="697">
      <c r="A697" s="72"/>
      <c r="B697" s="12"/>
      <c r="C697" s="12"/>
      <c r="D697" s="12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6"/>
      <c r="W697" s="13"/>
      <c r="X697" s="13"/>
      <c r="Y697" s="13"/>
      <c r="Z697" s="13"/>
      <c r="AA697" s="17"/>
      <c r="AB697" s="17"/>
      <c r="AC697" s="17"/>
      <c r="AD697" s="17"/>
      <c r="AE697" s="17"/>
    </row>
    <row r="698">
      <c r="A698" s="72"/>
      <c r="B698" s="12"/>
      <c r="C698" s="12"/>
      <c r="D698" s="12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6"/>
      <c r="W698" s="13"/>
      <c r="X698" s="13"/>
      <c r="Y698" s="13"/>
      <c r="Z698" s="13"/>
      <c r="AA698" s="17"/>
      <c r="AB698" s="17"/>
      <c r="AC698" s="17"/>
      <c r="AD698" s="17"/>
      <c r="AE698" s="17"/>
    </row>
    <row r="699">
      <c r="A699" s="72"/>
      <c r="B699" s="12"/>
      <c r="C699" s="12"/>
      <c r="D699" s="12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6"/>
      <c r="W699" s="13"/>
      <c r="X699" s="13"/>
      <c r="Y699" s="13"/>
      <c r="Z699" s="13"/>
      <c r="AA699" s="17"/>
      <c r="AB699" s="17"/>
      <c r="AC699" s="17"/>
      <c r="AD699" s="17"/>
      <c r="AE699" s="17"/>
    </row>
    <row r="700">
      <c r="A700" s="72"/>
      <c r="B700" s="12"/>
      <c r="C700" s="12"/>
      <c r="D700" s="12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6"/>
      <c r="W700" s="13"/>
      <c r="X700" s="13"/>
      <c r="Y700" s="13"/>
      <c r="Z700" s="13"/>
      <c r="AA700" s="17"/>
      <c r="AB700" s="17"/>
      <c r="AC700" s="17"/>
      <c r="AD700" s="17"/>
      <c r="AE700" s="17"/>
    </row>
    <row r="701">
      <c r="A701" s="72"/>
      <c r="B701" s="12"/>
      <c r="C701" s="12"/>
      <c r="D701" s="12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6"/>
      <c r="W701" s="13"/>
      <c r="X701" s="13"/>
      <c r="Y701" s="13"/>
      <c r="Z701" s="13"/>
      <c r="AA701" s="17"/>
      <c r="AB701" s="17"/>
      <c r="AC701" s="17"/>
      <c r="AD701" s="17"/>
      <c r="AE701" s="17"/>
    </row>
    <row r="702">
      <c r="A702" s="72"/>
      <c r="B702" s="12"/>
      <c r="C702" s="12"/>
      <c r="D702" s="12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6"/>
      <c r="W702" s="13"/>
      <c r="X702" s="13"/>
      <c r="Y702" s="13"/>
      <c r="Z702" s="13"/>
      <c r="AA702" s="17"/>
      <c r="AB702" s="17"/>
      <c r="AC702" s="17"/>
      <c r="AD702" s="17"/>
      <c r="AE702" s="17"/>
    </row>
    <row r="703">
      <c r="A703" s="72"/>
      <c r="B703" s="12"/>
      <c r="C703" s="12"/>
      <c r="D703" s="12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6"/>
      <c r="W703" s="13"/>
      <c r="X703" s="13"/>
      <c r="Y703" s="13"/>
      <c r="Z703" s="13"/>
      <c r="AA703" s="17"/>
      <c r="AB703" s="17"/>
      <c r="AC703" s="17"/>
      <c r="AD703" s="17"/>
      <c r="AE703" s="17"/>
    </row>
    <row r="704">
      <c r="A704" s="72"/>
      <c r="B704" s="12"/>
      <c r="C704" s="12"/>
      <c r="D704" s="12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6"/>
      <c r="W704" s="13"/>
      <c r="X704" s="13"/>
      <c r="Y704" s="13"/>
      <c r="Z704" s="13"/>
      <c r="AA704" s="17"/>
      <c r="AB704" s="17"/>
      <c r="AC704" s="17"/>
      <c r="AD704" s="17"/>
      <c r="AE704" s="17"/>
    </row>
    <row r="705">
      <c r="A705" s="72"/>
      <c r="B705" s="12"/>
      <c r="C705" s="12"/>
      <c r="D705" s="12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6"/>
      <c r="W705" s="13"/>
      <c r="X705" s="13"/>
      <c r="Y705" s="13"/>
      <c r="Z705" s="13"/>
      <c r="AA705" s="17"/>
      <c r="AB705" s="17"/>
      <c r="AC705" s="17"/>
      <c r="AD705" s="17"/>
      <c r="AE705" s="17"/>
    </row>
    <row r="706">
      <c r="A706" s="72"/>
      <c r="B706" s="12"/>
      <c r="C706" s="12"/>
      <c r="D706" s="12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6"/>
      <c r="W706" s="13"/>
      <c r="X706" s="13"/>
      <c r="Y706" s="13"/>
      <c r="Z706" s="13"/>
      <c r="AA706" s="17"/>
      <c r="AB706" s="17"/>
      <c r="AC706" s="17"/>
      <c r="AD706" s="17"/>
      <c r="AE706" s="17"/>
    </row>
    <row r="707">
      <c r="A707" s="72"/>
      <c r="B707" s="12"/>
      <c r="C707" s="12"/>
      <c r="D707" s="12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6"/>
      <c r="W707" s="13"/>
      <c r="X707" s="13"/>
      <c r="Y707" s="13"/>
      <c r="Z707" s="13"/>
      <c r="AA707" s="17"/>
      <c r="AB707" s="17"/>
      <c r="AC707" s="17"/>
      <c r="AD707" s="17"/>
      <c r="AE707" s="17"/>
    </row>
    <row r="708">
      <c r="A708" s="72"/>
      <c r="B708" s="12"/>
      <c r="C708" s="12"/>
      <c r="D708" s="12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6"/>
      <c r="W708" s="13"/>
      <c r="X708" s="13"/>
      <c r="Y708" s="13"/>
      <c r="Z708" s="13"/>
      <c r="AA708" s="17"/>
      <c r="AB708" s="17"/>
      <c r="AC708" s="17"/>
      <c r="AD708" s="17"/>
      <c r="AE708" s="17"/>
    </row>
    <row r="709">
      <c r="A709" s="72"/>
      <c r="B709" s="12"/>
      <c r="C709" s="12"/>
      <c r="D709" s="12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6"/>
      <c r="W709" s="13"/>
      <c r="X709" s="13"/>
      <c r="Y709" s="13"/>
      <c r="Z709" s="13"/>
      <c r="AA709" s="17"/>
      <c r="AB709" s="17"/>
      <c r="AC709" s="17"/>
      <c r="AD709" s="17"/>
      <c r="AE709" s="17"/>
    </row>
    <row r="710">
      <c r="A710" s="72"/>
      <c r="B710" s="12"/>
      <c r="C710" s="12"/>
      <c r="D710" s="12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6"/>
      <c r="W710" s="13"/>
      <c r="X710" s="13"/>
      <c r="Y710" s="13"/>
      <c r="Z710" s="13"/>
      <c r="AA710" s="17"/>
      <c r="AB710" s="17"/>
      <c r="AC710" s="17"/>
      <c r="AD710" s="17"/>
      <c r="AE710" s="17"/>
    </row>
    <row r="711">
      <c r="A711" s="72"/>
      <c r="B711" s="12"/>
      <c r="C711" s="12"/>
      <c r="D711" s="12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6"/>
      <c r="W711" s="13"/>
      <c r="X711" s="13"/>
      <c r="Y711" s="13"/>
      <c r="Z711" s="13"/>
      <c r="AA711" s="17"/>
      <c r="AB711" s="17"/>
      <c r="AC711" s="17"/>
      <c r="AD711" s="17"/>
      <c r="AE711" s="17"/>
    </row>
    <row r="712">
      <c r="A712" s="72"/>
      <c r="B712" s="12"/>
      <c r="C712" s="12"/>
      <c r="D712" s="12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6"/>
      <c r="W712" s="13"/>
      <c r="X712" s="13"/>
      <c r="Y712" s="13"/>
      <c r="Z712" s="13"/>
      <c r="AA712" s="17"/>
      <c r="AB712" s="17"/>
      <c r="AC712" s="17"/>
      <c r="AD712" s="17"/>
      <c r="AE712" s="17"/>
    </row>
    <row r="713">
      <c r="A713" s="72"/>
      <c r="B713" s="12"/>
      <c r="C713" s="12"/>
      <c r="D713" s="12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6"/>
      <c r="W713" s="13"/>
      <c r="X713" s="13"/>
      <c r="Y713" s="13"/>
      <c r="Z713" s="13"/>
      <c r="AA713" s="17"/>
      <c r="AB713" s="17"/>
      <c r="AC713" s="17"/>
      <c r="AD713" s="17"/>
      <c r="AE713" s="17"/>
    </row>
    <row r="714">
      <c r="A714" s="72"/>
      <c r="B714" s="12"/>
      <c r="C714" s="12"/>
      <c r="D714" s="12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6"/>
      <c r="W714" s="13"/>
      <c r="X714" s="13"/>
      <c r="Y714" s="13"/>
      <c r="Z714" s="13"/>
      <c r="AA714" s="17"/>
      <c r="AB714" s="17"/>
      <c r="AC714" s="17"/>
      <c r="AD714" s="17"/>
      <c r="AE714" s="17"/>
    </row>
    <row r="715">
      <c r="A715" s="72"/>
      <c r="B715" s="12"/>
      <c r="C715" s="12"/>
      <c r="D715" s="12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6"/>
      <c r="W715" s="13"/>
      <c r="X715" s="13"/>
      <c r="Y715" s="13"/>
      <c r="Z715" s="13"/>
      <c r="AA715" s="17"/>
      <c r="AB715" s="17"/>
      <c r="AC715" s="17"/>
      <c r="AD715" s="17"/>
      <c r="AE715" s="17"/>
    </row>
    <row r="716">
      <c r="A716" s="72"/>
      <c r="B716" s="12"/>
      <c r="C716" s="12"/>
      <c r="D716" s="12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6"/>
      <c r="W716" s="13"/>
      <c r="X716" s="13"/>
      <c r="Y716" s="13"/>
      <c r="Z716" s="13"/>
      <c r="AA716" s="17"/>
      <c r="AB716" s="17"/>
      <c r="AC716" s="17"/>
      <c r="AD716" s="17"/>
      <c r="AE716" s="17"/>
    </row>
    <row r="717">
      <c r="A717" s="72"/>
      <c r="B717" s="12"/>
      <c r="C717" s="12"/>
      <c r="D717" s="12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6"/>
      <c r="W717" s="13"/>
      <c r="X717" s="13"/>
      <c r="Y717" s="13"/>
      <c r="Z717" s="13"/>
      <c r="AA717" s="17"/>
      <c r="AB717" s="17"/>
      <c r="AC717" s="17"/>
      <c r="AD717" s="17"/>
      <c r="AE717" s="17"/>
    </row>
    <row r="718">
      <c r="A718" s="72"/>
      <c r="B718" s="12"/>
      <c r="C718" s="12"/>
      <c r="D718" s="12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6"/>
      <c r="W718" s="13"/>
      <c r="X718" s="13"/>
      <c r="Y718" s="13"/>
      <c r="Z718" s="13"/>
      <c r="AA718" s="17"/>
      <c r="AB718" s="17"/>
      <c r="AC718" s="17"/>
      <c r="AD718" s="17"/>
      <c r="AE718" s="17"/>
    </row>
    <row r="719">
      <c r="A719" s="72"/>
      <c r="B719" s="12"/>
      <c r="C719" s="12"/>
      <c r="D719" s="12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6"/>
      <c r="W719" s="13"/>
      <c r="X719" s="13"/>
      <c r="Y719" s="13"/>
      <c r="Z719" s="13"/>
      <c r="AA719" s="17"/>
      <c r="AB719" s="17"/>
      <c r="AC719" s="17"/>
      <c r="AD719" s="17"/>
      <c r="AE719" s="17"/>
    </row>
    <row r="720">
      <c r="A720" s="72"/>
      <c r="B720" s="12"/>
      <c r="C720" s="12"/>
      <c r="D720" s="12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6"/>
      <c r="W720" s="13"/>
      <c r="X720" s="13"/>
      <c r="Y720" s="13"/>
      <c r="Z720" s="13"/>
      <c r="AA720" s="17"/>
      <c r="AB720" s="17"/>
      <c r="AC720" s="17"/>
      <c r="AD720" s="17"/>
      <c r="AE720" s="17"/>
    </row>
    <row r="721">
      <c r="A721" s="72"/>
      <c r="B721" s="12"/>
      <c r="C721" s="12"/>
      <c r="D721" s="12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6"/>
      <c r="W721" s="13"/>
      <c r="X721" s="13"/>
      <c r="Y721" s="13"/>
      <c r="Z721" s="13"/>
      <c r="AA721" s="17"/>
      <c r="AB721" s="17"/>
      <c r="AC721" s="17"/>
      <c r="AD721" s="17"/>
      <c r="AE721" s="17"/>
    </row>
    <row r="722">
      <c r="A722" s="72"/>
      <c r="B722" s="12"/>
      <c r="C722" s="12"/>
      <c r="D722" s="12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6"/>
      <c r="W722" s="13"/>
      <c r="X722" s="13"/>
      <c r="Y722" s="13"/>
      <c r="Z722" s="13"/>
      <c r="AA722" s="17"/>
      <c r="AB722" s="17"/>
      <c r="AC722" s="17"/>
      <c r="AD722" s="17"/>
      <c r="AE722" s="17"/>
    </row>
    <row r="723">
      <c r="A723" s="72"/>
      <c r="B723" s="12"/>
      <c r="C723" s="12"/>
      <c r="D723" s="12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6"/>
      <c r="W723" s="13"/>
      <c r="X723" s="13"/>
      <c r="Y723" s="13"/>
      <c r="Z723" s="13"/>
      <c r="AA723" s="17"/>
      <c r="AB723" s="17"/>
      <c r="AC723" s="17"/>
      <c r="AD723" s="17"/>
      <c r="AE723" s="17"/>
    </row>
    <row r="724">
      <c r="A724" s="72"/>
      <c r="B724" s="12"/>
      <c r="C724" s="12"/>
      <c r="D724" s="12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6"/>
      <c r="W724" s="13"/>
      <c r="X724" s="13"/>
      <c r="Y724" s="13"/>
      <c r="Z724" s="13"/>
      <c r="AA724" s="17"/>
      <c r="AB724" s="17"/>
      <c r="AC724" s="17"/>
      <c r="AD724" s="17"/>
      <c r="AE724" s="17"/>
    </row>
    <row r="725">
      <c r="A725" s="72"/>
      <c r="B725" s="12"/>
      <c r="C725" s="12"/>
      <c r="D725" s="12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6"/>
      <c r="W725" s="13"/>
      <c r="X725" s="13"/>
      <c r="Y725" s="13"/>
      <c r="Z725" s="13"/>
      <c r="AA725" s="17"/>
      <c r="AB725" s="17"/>
      <c r="AC725" s="17"/>
      <c r="AD725" s="17"/>
      <c r="AE725" s="17"/>
    </row>
    <row r="726">
      <c r="A726" s="72"/>
      <c r="B726" s="12"/>
      <c r="C726" s="12"/>
      <c r="D726" s="12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6"/>
      <c r="W726" s="13"/>
      <c r="X726" s="13"/>
      <c r="Y726" s="13"/>
      <c r="Z726" s="13"/>
      <c r="AA726" s="17"/>
      <c r="AB726" s="17"/>
      <c r="AC726" s="17"/>
      <c r="AD726" s="17"/>
      <c r="AE726" s="17"/>
    </row>
    <row r="727">
      <c r="A727" s="72"/>
      <c r="B727" s="12"/>
      <c r="C727" s="12"/>
      <c r="D727" s="12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6"/>
      <c r="W727" s="13"/>
      <c r="X727" s="13"/>
      <c r="Y727" s="13"/>
      <c r="Z727" s="13"/>
      <c r="AA727" s="17"/>
      <c r="AB727" s="17"/>
      <c r="AC727" s="17"/>
      <c r="AD727" s="17"/>
      <c r="AE727" s="17"/>
    </row>
    <row r="728">
      <c r="A728" s="72"/>
      <c r="B728" s="12"/>
      <c r="C728" s="12"/>
      <c r="D728" s="12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6"/>
      <c r="W728" s="13"/>
      <c r="X728" s="13"/>
      <c r="Y728" s="13"/>
      <c r="Z728" s="13"/>
      <c r="AA728" s="17"/>
      <c r="AB728" s="17"/>
      <c r="AC728" s="17"/>
      <c r="AD728" s="17"/>
      <c r="AE728" s="17"/>
    </row>
    <row r="729">
      <c r="A729" s="72"/>
      <c r="B729" s="12"/>
      <c r="C729" s="12"/>
      <c r="D729" s="12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6"/>
      <c r="W729" s="13"/>
      <c r="X729" s="13"/>
      <c r="Y729" s="13"/>
      <c r="Z729" s="13"/>
      <c r="AA729" s="17"/>
      <c r="AB729" s="17"/>
      <c r="AC729" s="17"/>
      <c r="AD729" s="17"/>
      <c r="AE729" s="17"/>
    </row>
    <row r="730">
      <c r="A730" s="72"/>
      <c r="B730" s="12"/>
      <c r="C730" s="12"/>
      <c r="D730" s="12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6"/>
      <c r="W730" s="13"/>
      <c r="X730" s="13"/>
      <c r="Y730" s="13"/>
      <c r="Z730" s="13"/>
      <c r="AA730" s="17"/>
      <c r="AB730" s="17"/>
      <c r="AC730" s="17"/>
      <c r="AD730" s="17"/>
      <c r="AE730" s="17"/>
    </row>
    <row r="731">
      <c r="A731" s="72"/>
      <c r="B731" s="12"/>
      <c r="C731" s="12"/>
      <c r="D731" s="12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6"/>
      <c r="W731" s="13"/>
      <c r="X731" s="13"/>
      <c r="Y731" s="13"/>
      <c r="Z731" s="13"/>
      <c r="AA731" s="17"/>
      <c r="AB731" s="17"/>
      <c r="AC731" s="17"/>
      <c r="AD731" s="17"/>
      <c r="AE731" s="17"/>
    </row>
    <row r="732">
      <c r="A732" s="72"/>
      <c r="B732" s="12"/>
      <c r="C732" s="12"/>
      <c r="D732" s="12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6"/>
      <c r="W732" s="13"/>
      <c r="X732" s="13"/>
      <c r="Y732" s="13"/>
      <c r="Z732" s="13"/>
      <c r="AA732" s="17"/>
      <c r="AB732" s="17"/>
      <c r="AC732" s="17"/>
      <c r="AD732" s="17"/>
      <c r="AE732" s="17"/>
    </row>
    <row r="733">
      <c r="A733" s="72"/>
      <c r="B733" s="12"/>
      <c r="C733" s="12"/>
      <c r="D733" s="12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6"/>
      <c r="W733" s="13"/>
      <c r="X733" s="13"/>
      <c r="Y733" s="13"/>
      <c r="Z733" s="13"/>
      <c r="AA733" s="17"/>
      <c r="AB733" s="17"/>
      <c r="AC733" s="17"/>
      <c r="AD733" s="17"/>
      <c r="AE733" s="17"/>
    </row>
    <row r="734">
      <c r="A734" s="72"/>
      <c r="B734" s="12"/>
      <c r="C734" s="12"/>
      <c r="D734" s="12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6"/>
      <c r="W734" s="13"/>
      <c r="X734" s="13"/>
      <c r="Y734" s="13"/>
      <c r="Z734" s="13"/>
      <c r="AA734" s="17"/>
      <c r="AB734" s="17"/>
      <c r="AC734" s="17"/>
      <c r="AD734" s="17"/>
      <c r="AE734" s="17"/>
    </row>
    <row r="735">
      <c r="A735" s="72"/>
      <c r="B735" s="12"/>
      <c r="C735" s="12"/>
      <c r="D735" s="12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6"/>
      <c r="W735" s="13"/>
      <c r="X735" s="13"/>
      <c r="Y735" s="13"/>
      <c r="Z735" s="13"/>
      <c r="AA735" s="17"/>
      <c r="AB735" s="17"/>
      <c r="AC735" s="17"/>
      <c r="AD735" s="17"/>
      <c r="AE735" s="17"/>
    </row>
    <row r="736">
      <c r="A736" s="72"/>
      <c r="B736" s="12"/>
      <c r="C736" s="12"/>
      <c r="D736" s="12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6"/>
      <c r="W736" s="13"/>
      <c r="X736" s="13"/>
      <c r="Y736" s="13"/>
      <c r="Z736" s="13"/>
      <c r="AA736" s="17"/>
      <c r="AB736" s="17"/>
      <c r="AC736" s="17"/>
      <c r="AD736" s="17"/>
      <c r="AE736" s="17"/>
    </row>
    <row r="737">
      <c r="A737" s="72"/>
      <c r="B737" s="12"/>
      <c r="C737" s="12"/>
      <c r="D737" s="12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6"/>
      <c r="W737" s="13"/>
      <c r="X737" s="13"/>
      <c r="Y737" s="13"/>
      <c r="Z737" s="13"/>
      <c r="AA737" s="17"/>
      <c r="AB737" s="17"/>
      <c r="AC737" s="17"/>
      <c r="AD737" s="17"/>
      <c r="AE737" s="17"/>
    </row>
    <row r="738">
      <c r="A738" s="72"/>
      <c r="B738" s="12"/>
      <c r="C738" s="12"/>
      <c r="D738" s="12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6"/>
      <c r="W738" s="13"/>
      <c r="X738" s="13"/>
      <c r="Y738" s="13"/>
      <c r="Z738" s="13"/>
      <c r="AA738" s="17"/>
      <c r="AB738" s="17"/>
      <c r="AC738" s="17"/>
      <c r="AD738" s="17"/>
      <c r="AE738" s="17"/>
    </row>
    <row r="739">
      <c r="A739" s="72"/>
      <c r="B739" s="12"/>
      <c r="C739" s="12"/>
      <c r="D739" s="12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6"/>
      <c r="W739" s="13"/>
      <c r="X739" s="13"/>
      <c r="Y739" s="13"/>
      <c r="Z739" s="13"/>
      <c r="AA739" s="17"/>
      <c r="AB739" s="17"/>
      <c r="AC739" s="17"/>
      <c r="AD739" s="17"/>
      <c r="AE739" s="17"/>
    </row>
    <row r="740">
      <c r="A740" s="72"/>
      <c r="B740" s="12"/>
      <c r="C740" s="12"/>
      <c r="D740" s="12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6"/>
      <c r="W740" s="13"/>
      <c r="X740" s="13"/>
      <c r="Y740" s="13"/>
      <c r="Z740" s="13"/>
      <c r="AA740" s="17"/>
      <c r="AB740" s="17"/>
      <c r="AC740" s="17"/>
      <c r="AD740" s="17"/>
      <c r="AE740" s="17"/>
    </row>
    <row r="741">
      <c r="A741" s="72"/>
      <c r="B741" s="12"/>
      <c r="C741" s="12"/>
      <c r="D741" s="12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6"/>
      <c r="W741" s="13"/>
      <c r="X741" s="13"/>
      <c r="Y741" s="13"/>
      <c r="Z741" s="13"/>
      <c r="AA741" s="17"/>
      <c r="AB741" s="17"/>
      <c r="AC741" s="17"/>
      <c r="AD741" s="17"/>
      <c r="AE741" s="17"/>
    </row>
    <row r="742">
      <c r="A742" s="72"/>
      <c r="B742" s="12"/>
      <c r="C742" s="12"/>
      <c r="D742" s="12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6"/>
      <c r="W742" s="13"/>
      <c r="X742" s="13"/>
      <c r="Y742" s="13"/>
      <c r="Z742" s="13"/>
      <c r="AA742" s="17"/>
      <c r="AB742" s="17"/>
      <c r="AC742" s="17"/>
      <c r="AD742" s="17"/>
      <c r="AE742" s="17"/>
    </row>
    <row r="743">
      <c r="A743" s="72"/>
      <c r="B743" s="12"/>
      <c r="C743" s="12"/>
      <c r="D743" s="12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6"/>
      <c r="W743" s="13"/>
      <c r="X743" s="13"/>
      <c r="Y743" s="13"/>
      <c r="Z743" s="13"/>
      <c r="AA743" s="17"/>
      <c r="AB743" s="17"/>
      <c r="AC743" s="17"/>
      <c r="AD743" s="17"/>
      <c r="AE743" s="17"/>
    </row>
    <row r="744">
      <c r="A744" s="72"/>
      <c r="B744" s="12"/>
      <c r="C744" s="12"/>
      <c r="D744" s="12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6"/>
      <c r="W744" s="13"/>
      <c r="X744" s="13"/>
      <c r="Y744" s="13"/>
      <c r="Z744" s="13"/>
      <c r="AA744" s="17"/>
      <c r="AB744" s="17"/>
      <c r="AC744" s="17"/>
      <c r="AD744" s="17"/>
      <c r="AE744" s="17"/>
    </row>
    <row r="745">
      <c r="A745" s="72"/>
      <c r="B745" s="12"/>
      <c r="C745" s="12"/>
      <c r="D745" s="12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6"/>
      <c r="W745" s="13"/>
      <c r="X745" s="13"/>
      <c r="Y745" s="13"/>
      <c r="Z745" s="13"/>
      <c r="AA745" s="17"/>
      <c r="AB745" s="17"/>
      <c r="AC745" s="17"/>
      <c r="AD745" s="17"/>
      <c r="AE745" s="17"/>
    </row>
    <row r="746">
      <c r="A746" s="72"/>
      <c r="B746" s="12"/>
      <c r="C746" s="12"/>
      <c r="D746" s="12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6"/>
      <c r="W746" s="13"/>
      <c r="X746" s="13"/>
      <c r="Y746" s="13"/>
      <c r="Z746" s="13"/>
      <c r="AA746" s="17"/>
      <c r="AB746" s="17"/>
      <c r="AC746" s="17"/>
      <c r="AD746" s="17"/>
      <c r="AE746" s="17"/>
    </row>
    <row r="747">
      <c r="A747" s="72"/>
      <c r="B747" s="12"/>
      <c r="C747" s="12"/>
      <c r="D747" s="12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6"/>
      <c r="W747" s="13"/>
      <c r="X747" s="13"/>
      <c r="Y747" s="13"/>
      <c r="Z747" s="13"/>
      <c r="AA747" s="17"/>
      <c r="AB747" s="17"/>
      <c r="AC747" s="17"/>
      <c r="AD747" s="17"/>
      <c r="AE747" s="17"/>
    </row>
    <row r="748">
      <c r="A748" s="72"/>
      <c r="B748" s="12"/>
      <c r="C748" s="12"/>
      <c r="D748" s="12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6"/>
      <c r="W748" s="13"/>
      <c r="X748" s="13"/>
      <c r="Y748" s="13"/>
      <c r="Z748" s="13"/>
      <c r="AA748" s="17"/>
      <c r="AB748" s="17"/>
      <c r="AC748" s="17"/>
      <c r="AD748" s="17"/>
      <c r="AE748" s="17"/>
    </row>
    <row r="749">
      <c r="A749" s="72"/>
      <c r="B749" s="12"/>
      <c r="C749" s="12"/>
      <c r="D749" s="12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6"/>
      <c r="W749" s="13"/>
      <c r="X749" s="13"/>
      <c r="Y749" s="13"/>
      <c r="Z749" s="13"/>
      <c r="AA749" s="17"/>
      <c r="AB749" s="17"/>
      <c r="AC749" s="17"/>
      <c r="AD749" s="17"/>
      <c r="AE749" s="17"/>
    </row>
    <row r="750">
      <c r="A750" s="72"/>
      <c r="B750" s="12"/>
      <c r="C750" s="12"/>
      <c r="D750" s="12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6"/>
      <c r="W750" s="13"/>
      <c r="X750" s="13"/>
      <c r="Y750" s="13"/>
      <c r="Z750" s="13"/>
      <c r="AA750" s="17"/>
      <c r="AB750" s="17"/>
      <c r="AC750" s="17"/>
      <c r="AD750" s="17"/>
      <c r="AE750" s="17"/>
    </row>
    <row r="751">
      <c r="A751" s="72"/>
      <c r="B751" s="12"/>
      <c r="C751" s="12"/>
      <c r="D751" s="12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6"/>
      <c r="W751" s="13"/>
      <c r="X751" s="13"/>
      <c r="Y751" s="13"/>
      <c r="Z751" s="13"/>
      <c r="AA751" s="17"/>
      <c r="AB751" s="17"/>
      <c r="AC751" s="17"/>
      <c r="AD751" s="17"/>
      <c r="AE751" s="17"/>
    </row>
    <row r="752">
      <c r="A752" s="72"/>
      <c r="B752" s="12"/>
      <c r="C752" s="12"/>
      <c r="D752" s="12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6"/>
      <c r="W752" s="13"/>
      <c r="X752" s="13"/>
      <c r="Y752" s="13"/>
      <c r="Z752" s="13"/>
      <c r="AA752" s="17"/>
      <c r="AB752" s="17"/>
      <c r="AC752" s="17"/>
      <c r="AD752" s="17"/>
      <c r="AE752" s="17"/>
    </row>
    <row r="753">
      <c r="A753" s="72"/>
      <c r="B753" s="12"/>
      <c r="C753" s="12"/>
      <c r="D753" s="12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6"/>
      <c r="W753" s="13"/>
      <c r="X753" s="13"/>
      <c r="Y753" s="13"/>
      <c r="Z753" s="13"/>
      <c r="AA753" s="17"/>
      <c r="AB753" s="17"/>
      <c r="AC753" s="17"/>
      <c r="AD753" s="17"/>
      <c r="AE753" s="17"/>
    </row>
    <row r="754">
      <c r="A754" s="72"/>
      <c r="B754" s="12"/>
      <c r="C754" s="12"/>
      <c r="D754" s="12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6"/>
      <c r="W754" s="13"/>
      <c r="X754" s="13"/>
      <c r="Y754" s="13"/>
      <c r="Z754" s="13"/>
      <c r="AA754" s="17"/>
      <c r="AB754" s="17"/>
      <c r="AC754" s="17"/>
      <c r="AD754" s="17"/>
      <c r="AE754" s="17"/>
    </row>
    <row r="755">
      <c r="A755" s="72"/>
      <c r="B755" s="12"/>
      <c r="C755" s="12"/>
      <c r="D755" s="12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6"/>
      <c r="W755" s="13"/>
      <c r="X755" s="13"/>
      <c r="Y755" s="13"/>
      <c r="Z755" s="13"/>
      <c r="AA755" s="17"/>
      <c r="AB755" s="17"/>
      <c r="AC755" s="17"/>
      <c r="AD755" s="17"/>
      <c r="AE755" s="17"/>
    </row>
    <row r="756">
      <c r="A756" s="72"/>
      <c r="B756" s="12"/>
      <c r="C756" s="12"/>
      <c r="D756" s="12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6"/>
      <c r="W756" s="13"/>
      <c r="X756" s="13"/>
      <c r="Y756" s="13"/>
      <c r="Z756" s="13"/>
      <c r="AA756" s="17"/>
      <c r="AB756" s="17"/>
      <c r="AC756" s="17"/>
      <c r="AD756" s="17"/>
      <c r="AE756" s="17"/>
    </row>
    <row r="757">
      <c r="A757" s="72"/>
      <c r="B757" s="12"/>
      <c r="C757" s="12"/>
      <c r="D757" s="12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6"/>
      <c r="W757" s="13"/>
      <c r="X757" s="13"/>
      <c r="Y757" s="13"/>
      <c r="Z757" s="13"/>
      <c r="AA757" s="17"/>
      <c r="AB757" s="17"/>
      <c r="AC757" s="17"/>
      <c r="AD757" s="17"/>
      <c r="AE757" s="17"/>
    </row>
    <row r="758">
      <c r="A758" s="72"/>
      <c r="B758" s="12"/>
      <c r="C758" s="12"/>
      <c r="D758" s="12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6"/>
      <c r="W758" s="13"/>
      <c r="X758" s="13"/>
      <c r="Y758" s="13"/>
      <c r="Z758" s="13"/>
      <c r="AA758" s="17"/>
      <c r="AB758" s="17"/>
      <c r="AC758" s="17"/>
      <c r="AD758" s="17"/>
      <c r="AE758" s="17"/>
    </row>
    <row r="759">
      <c r="A759" s="72"/>
      <c r="B759" s="12"/>
      <c r="C759" s="12"/>
      <c r="D759" s="12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6"/>
      <c r="W759" s="13"/>
      <c r="X759" s="13"/>
      <c r="Y759" s="13"/>
      <c r="Z759" s="13"/>
      <c r="AA759" s="17"/>
      <c r="AB759" s="17"/>
      <c r="AC759" s="17"/>
      <c r="AD759" s="17"/>
      <c r="AE759" s="17"/>
    </row>
    <row r="760">
      <c r="A760" s="72"/>
      <c r="B760" s="12"/>
      <c r="C760" s="12"/>
      <c r="D760" s="12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6"/>
      <c r="W760" s="13"/>
      <c r="X760" s="13"/>
      <c r="Y760" s="13"/>
      <c r="Z760" s="13"/>
      <c r="AA760" s="17"/>
      <c r="AB760" s="17"/>
      <c r="AC760" s="17"/>
      <c r="AD760" s="17"/>
      <c r="AE760" s="17"/>
    </row>
    <row r="761">
      <c r="A761" s="72"/>
      <c r="B761" s="12"/>
      <c r="C761" s="12"/>
      <c r="D761" s="12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6"/>
      <c r="W761" s="13"/>
      <c r="X761" s="13"/>
      <c r="Y761" s="13"/>
      <c r="Z761" s="13"/>
      <c r="AA761" s="17"/>
      <c r="AB761" s="17"/>
      <c r="AC761" s="17"/>
      <c r="AD761" s="17"/>
      <c r="AE761" s="17"/>
    </row>
    <row r="762">
      <c r="A762" s="72"/>
      <c r="B762" s="12"/>
      <c r="C762" s="12"/>
      <c r="D762" s="12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6"/>
      <c r="W762" s="13"/>
      <c r="X762" s="13"/>
      <c r="Y762" s="13"/>
      <c r="Z762" s="13"/>
      <c r="AA762" s="17"/>
      <c r="AB762" s="17"/>
      <c r="AC762" s="17"/>
      <c r="AD762" s="17"/>
      <c r="AE762" s="17"/>
    </row>
    <row r="763">
      <c r="A763" s="72"/>
      <c r="B763" s="12"/>
      <c r="C763" s="12"/>
      <c r="D763" s="12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6"/>
      <c r="W763" s="13"/>
      <c r="X763" s="13"/>
      <c r="Y763" s="13"/>
      <c r="Z763" s="13"/>
      <c r="AA763" s="17"/>
      <c r="AB763" s="17"/>
      <c r="AC763" s="17"/>
      <c r="AD763" s="17"/>
      <c r="AE763" s="17"/>
    </row>
    <row r="764">
      <c r="A764" s="72"/>
      <c r="B764" s="12"/>
      <c r="C764" s="12"/>
      <c r="D764" s="12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6"/>
      <c r="W764" s="13"/>
      <c r="X764" s="13"/>
      <c r="Y764" s="13"/>
      <c r="Z764" s="13"/>
      <c r="AA764" s="17"/>
      <c r="AB764" s="17"/>
      <c r="AC764" s="17"/>
      <c r="AD764" s="17"/>
      <c r="AE764" s="17"/>
    </row>
    <row r="765">
      <c r="A765" s="72"/>
      <c r="B765" s="12"/>
      <c r="C765" s="12"/>
      <c r="D765" s="12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6"/>
      <c r="W765" s="13"/>
      <c r="X765" s="13"/>
      <c r="Y765" s="13"/>
      <c r="Z765" s="13"/>
      <c r="AA765" s="17"/>
      <c r="AB765" s="17"/>
      <c r="AC765" s="17"/>
      <c r="AD765" s="17"/>
      <c r="AE765" s="17"/>
    </row>
    <row r="766">
      <c r="A766" s="72"/>
      <c r="B766" s="12"/>
      <c r="C766" s="12"/>
      <c r="D766" s="12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6"/>
      <c r="W766" s="13"/>
      <c r="X766" s="13"/>
      <c r="Y766" s="13"/>
      <c r="Z766" s="13"/>
      <c r="AA766" s="17"/>
      <c r="AB766" s="17"/>
      <c r="AC766" s="17"/>
      <c r="AD766" s="17"/>
      <c r="AE766" s="17"/>
    </row>
    <row r="767">
      <c r="A767" s="72"/>
      <c r="B767" s="12"/>
      <c r="C767" s="12"/>
      <c r="D767" s="12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6"/>
      <c r="W767" s="13"/>
      <c r="X767" s="13"/>
      <c r="Y767" s="13"/>
      <c r="Z767" s="13"/>
      <c r="AA767" s="17"/>
      <c r="AB767" s="17"/>
      <c r="AC767" s="17"/>
      <c r="AD767" s="17"/>
      <c r="AE767" s="17"/>
    </row>
    <row r="768">
      <c r="A768" s="72"/>
      <c r="B768" s="12"/>
      <c r="C768" s="12"/>
      <c r="D768" s="12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6"/>
      <c r="W768" s="13"/>
      <c r="X768" s="13"/>
      <c r="Y768" s="13"/>
      <c r="Z768" s="13"/>
      <c r="AA768" s="17"/>
      <c r="AB768" s="17"/>
      <c r="AC768" s="17"/>
      <c r="AD768" s="17"/>
      <c r="AE768" s="17"/>
    </row>
    <row r="769">
      <c r="A769" s="72"/>
      <c r="B769" s="12"/>
      <c r="C769" s="12"/>
      <c r="D769" s="12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6"/>
      <c r="W769" s="13"/>
      <c r="X769" s="13"/>
      <c r="Y769" s="13"/>
      <c r="Z769" s="13"/>
      <c r="AA769" s="17"/>
      <c r="AB769" s="17"/>
      <c r="AC769" s="17"/>
      <c r="AD769" s="17"/>
      <c r="AE769" s="17"/>
    </row>
    <row r="770">
      <c r="A770" s="72"/>
      <c r="B770" s="12"/>
      <c r="C770" s="12"/>
      <c r="D770" s="12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6"/>
      <c r="W770" s="13"/>
      <c r="X770" s="13"/>
      <c r="Y770" s="13"/>
      <c r="Z770" s="13"/>
      <c r="AA770" s="17"/>
      <c r="AB770" s="17"/>
      <c r="AC770" s="17"/>
      <c r="AD770" s="17"/>
      <c r="AE770" s="17"/>
    </row>
    <row r="771">
      <c r="A771" s="72"/>
      <c r="B771" s="12"/>
      <c r="C771" s="12"/>
      <c r="D771" s="12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6"/>
      <c r="W771" s="13"/>
      <c r="X771" s="13"/>
      <c r="Y771" s="13"/>
      <c r="Z771" s="13"/>
      <c r="AA771" s="17"/>
      <c r="AB771" s="17"/>
      <c r="AC771" s="17"/>
      <c r="AD771" s="17"/>
      <c r="AE771" s="17"/>
    </row>
    <row r="772">
      <c r="A772" s="72"/>
      <c r="B772" s="12"/>
      <c r="C772" s="12"/>
      <c r="D772" s="12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6"/>
      <c r="W772" s="13"/>
      <c r="X772" s="13"/>
      <c r="Y772" s="13"/>
      <c r="Z772" s="13"/>
      <c r="AA772" s="17"/>
      <c r="AB772" s="17"/>
      <c r="AC772" s="17"/>
      <c r="AD772" s="17"/>
      <c r="AE772" s="17"/>
    </row>
    <row r="773">
      <c r="A773" s="72"/>
      <c r="B773" s="12"/>
      <c r="C773" s="12"/>
      <c r="D773" s="12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6"/>
      <c r="W773" s="13"/>
      <c r="X773" s="13"/>
      <c r="Y773" s="13"/>
      <c r="Z773" s="13"/>
      <c r="AA773" s="17"/>
      <c r="AB773" s="17"/>
      <c r="AC773" s="17"/>
      <c r="AD773" s="17"/>
      <c r="AE773" s="17"/>
    </row>
    <row r="774">
      <c r="A774" s="72"/>
      <c r="B774" s="12"/>
      <c r="C774" s="12"/>
      <c r="D774" s="12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6"/>
      <c r="W774" s="13"/>
      <c r="X774" s="13"/>
      <c r="Y774" s="13"/>
      <c r="Z774" s="13"/>
      <c r="AA774" s="17"/>
      <c r="AB774" s="17"/>
      <c r="AC774" s="17"/>
      <c r="AD774" s="17"/>
      <c r="AE774" s="17"/>
    </row>
    <row r="775">
      <c r="A775" s="72"/>
      <c r="B775" s="12"/>
      <c r="C775" s="12"/>
      <c r="D775" s="12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6"/>
      <c r="W775" s="13"/>
      <c r="X775" s="13"/>
      <c r="Y775" s="13"/>
      <c r="Z775" s="13"/>
      <c r="AA775" s="17"/>
      <c r="AB775" s="17"/>
      <c r="AC775" s="17"/>
      <c r="AD775" s="17"/>
      <c r="AE775" s="17"/>
    </row>
    <row r="776">
      <c r="A776" s="72"/>
      <c r="B776" s="12"/>
      <c r="C776" s="12"/>
      <c r="D776" s="12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6"/>
      <c r="W776" s="13"/>
      <c r="X776" s="13"/>
      <c r="Y776" s="13"/>
      <c r="Z776" s="13"/>
      <c r="AA776" s="17"/>
      <c r="AB776" s="17"/>
      <c r="AC776" s="17"/>
      <c r="AD776" s="17"/>
      <c r="AE776" s="17"/>
    </row>
    <row r="777">
      <c r="A777" s="72"/>
      <c r="B777" s="12"/>
      <c r="C777" s="12"/>
      <c r="D777" s="12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6"/>
      <c r="W777" s="13"/>
      <c r="X777" s="13"/>
      <c r="Y777" s="13"/>
      <c r="Z777" s="13"/>
      <c r="AA777" s="17"/>
      <c r="AB777" s="17"/>
      <c r="AC777" s="17"/>
      <c r="AD777" s="17"/>
      <c r="AE777" s="17"/>
    </row>
    <row r="778">
      <c r="A778" s="72"/>
      <c r="B778" s="12"/>
      <c r="C778" s="12"/>
      <c r="D778" s="12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6"/>
      <c r="W778" s="13"/>
      <c r="X778" s="13"/>
      <c r="Y778" s="13"/>
      <c r="Z778" s="13"/>
      <c r="AA778" s="17"/>
      <c r="AB778" s="17"/>
      <c r="AC778" s="17"/>
      <c r="AD778" s="17"/>
      <c r="AE778" s="17"/>
    </row>
    <row r="779">
      <c r="A779" s="72"/>
      <c r="B779" s="12"/>
      <c r="C779" s="12"/>
      <c r="D779" s="12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6"/>
      <c r="W779" s="13"/>
      <c r="X779" s="13"/>
      <c r="Y779" s="13"/>
      <c r="Z779" s="13"/>
      <c r="AA779" s="17"/>
      <c r="AB779" s="17"/>
      <c r="AC779" s="17"/>
      <c r="AD779" s="17"/>
      <c r="AE779" s="17"/>
    </row>
    <row r="780">
      <c r="A780" s="72"/>
      <c r="B780" s="12"/>
      <c r="C780" s="12"/>
      <c r="D780" s="12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6"/>
      <c r="W780" s="13"/>
      <c r="X780" s="13"/>
      <c r="Y780" s="13"/>
      <c r="Z780" s="13"/>
      <c r="AA780" s="17"/>
      <c r="AB780" s="17"/>
      <c r="AC780" s="17"/>
      <c r="AD780" s="17"/>
      <c r="AE780" s="17"/>
    </row>
    <row r="781">
      <c r="A781" s="72"/>
      <c r="B781" s="12"/>
      <c r="C781" s="12"/>
      <c r="D781" s="12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6"/>
      <c r="W781" s="13"/>
      <c r="X781" s="13"/>
      <c r="Y781" s="13"/>
      <c r="Z781" s="13"/>
      <c r="AA781" s="17"/>
      <c r="AB781" s="17"/>
      <c r="AC781" s="17"/>
      <c r="AD781" s="17"/>
      <c r="AE781" s="17"/>
    </row>
    <row r="782">
      <c r="A782" s="72"/>
      <c r="B782" s="12"/>
      <c r="C782" s="12"/>
      <c r="D782" s="12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6"/>
      <c r="W782" s="13"/>
      <c r="X782" s="13"/>
      <c r="Y782" s="13"/>
      <c r="Z782" s="13"/>
      <c r="AA782" s="17"/>
      <c r="AB782" s="17"/>
      <c r="AC782" s="17"/>
      <c r="AD782" s="17"/>
      <c r="AE782" s="17"/>
    </row>
    <row r="783">
      <c r="A783" s="72"/>
      <c r="B783" s="12"/>
      <c r="C783" s="12"/>
      <c r="D783" s="12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6"/>
      <c r="W783" s="13"/>
      <c r="X783" s="13"/>
      <c r="Y783" s="13"/>
      <c r="Z783" s="13"/>
      <c r="AA783" s="17"/>
      <c r="AB783" s="17"/>
      <c r="AC783" s="17"/>
      <c r="AD783" s="17"/>
      <c r="AE783" s="17"/>
    </row>
    <row r="784">
      <c r="A784" s="72"/>
      <c r="B784" s="12"/>
      <c r="C784" s="12"/>
      <c r="D784" s="12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6"/>
      <c r="W784" s="13"/>
      <c r="X784" s="13"/>
      <c r="Y784" s="13"/>
      <c r="Z784" s="13"/>
      <c r="AA784" s="17"/>
      <c r="AB784" s="17"/>
      <c r="AC784" s="17"/>
      <c r="AD784" s="17"/>
      <c r="AE784" s="17"/>
    </row>
    <row r="785">
      <c r="A785" s="72"/>
      <c r="B785" s="12"/>
      <c r="C785" s="12"/>
      <c r="D785" s="12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6"/>
      <c r="W785" s="13"/>
      <c r="X785" s="13"/>
      <c r="Y785" s="13"/>
      <c r="Z785" s="13"/>
      <c r="AA785" s="17"/>
      <c r="AB785" s="17"/>
      <c r="AC785" s="17"/>
      <c r="AD785" s="17"/>
      <c r="AE785" s="17"/>
    </row>
    <row r="786">
      <c r="A786" s="72"/>
      <c r="B786" s="12"/>
      <c r="C786" s="12"/>
      <c r="D786" s="12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6"/>
      <c r="W786" s="13"/>
      <c r="X786" s="13"/>
      <c r="Y786" s="13"/>
      <c r="Z786" s="13"/>
      <c r="AA786" s="17"/>
      <c r="AB786" s="17"/>
      <c r="AC786" s="17"/>
      <c r="AD786" s="17"/>
      <c r="AE786" s="17"/>
    </row>
    <row r="787">
      <c r="A787" s="72"/>
      <c r="B787" s="12"/>
      <c r="C787" s="12"/>
      <c r="D787" s="12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6"/>
      <c r="W787" s="13"/>
      <c r="X787" s="13"/>
      <c r="Y787" s="13"/>
      <c r="Z787" s="13"/>
      <c r="AA787" s="17"/>
      <c r="AB787" s="17"/>
      <c r="AC787" s="17"/>
      <c r="AD787" s="17"/>
      <c r="AE787" s="17"/>
    </row>
    <row r="788">
      <c r="A788" s="72"/>
      <c r="B788" s="12"/>
      <c r="C788" s="12"/>
      <c r="D788" s="12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6"/>
      <c r="W788" s="13"/>
      <c r="X788" s="13"/>
      <c r="Y788" s="13"/>
      <c r="Z788" s="13"/>
      <c r="AA788" s="17"/>
      <c r="AB788" s="17"/>
      <c r="AC788" s="17"/>
      <c r="AD788" s="17"/>
      <c r="AE788" s="17"/>
    </row>
    <row r="789">
      <c r="A789" s="72"/>
      <c r="B789" s="12"/>
      <c r="C789" s="12"/>
      <c r="D789" s="12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6"/>
      <c r="W789" s="13"/>
      <c r="X789" s="13"/>
      <c r="Y789" s="13"/>
      <c r="Z789" s="13"/>
      <c r="AA789" s="17"/>
      <c r="AB789" s="17"/>
      <c r="AC789" s="17"/>
      <c r="AD789" s="17"/>
      <c r="AE789" s="17"/>
    </row>
    <row r="790">
      <c r="A790" s="72"/>
      <c r="B790" s="12"/>
      <c r="C790" s="12"/>
      <c r="D790" s="12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6"/>
      <c r="W790" s="13"/>
      <c r="X790" s="13"/>
      <c r="Y790" s="13"/>
      <c r="Z790" s="13"/>
      <c r="AA790" s="17"/>
      <c r="AB790" s="17"/>
      <c r="AC790" s="17"/>
      <c r="AD790" s="17"/>
      <c r="AE790" s="17"/>
    </row>
    <row r="791">
      <c r="A791" s="72"/>
      <c r="B791" s="12"/>
      <c r="C791" s="12"/>
      <c r="D791" s="12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6"/>
      <c r="W791" s="13"/>
      <c r="X791" s="13"/>
      <c r="Y791" s="13"/>
      <c r="Z791" s="13"/>
      <c r="AA791" s="17"/>
      <c r="AB791" s="17"/>
      <c r="AC791" s="17"/>
      <c r="AD791" s="17"/>
      <c r="AE791" s="17"/>
    </row>
    <row r="792">
      <c r="A792" s="72"/>
      <c r="B792" s="12"/>
      <c r="C792" s="12"/>
      <c r="D792" s="12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6"/>
      <c r="W792" s="13"/>
      <c r="X792" s="13"/>
      <c r="Y792" s="13"/>
      <c r="Z792" s="13"/>
      <c r="AA792" s="17"/>
      <c r="AB792" s="17"/>
      <c r="AC792" s="17"/>
      <c r="AD792" s="17"/>
      <c r="AE792" s="17"/>
    </row>
    <row r="793">
      <c r="A793" s="72"/>
      <c r="B793" s="12"/>
      <c r="C793" s="12"/>
      <c r="D793" s="12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6"/>
      <c r="W793" s="13"/>
      <c r="X793" s="13"/>
      <c r="Y793" s="13"/>
      <c r="Z793" s="13"/>
      <c r="AA793" s="17"/>
      <c r="AB793" s="17"/>
      <c r="AC793" s="17"/>
      <c r="AD793" s="17"/>
      <c r="AE793" s="17"/>
    </row>
    <row r="794">
      <c r="A794" s="72"/>
      <c r="B794" s="12"/>
      <c r="C794" s="12"/>
      <c r="D794" s="12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6"/>
      <c r="W794" s="13"/>
      <c r="X794" s="13"/>
      <c r="Y794" s="13"/>
      <c r="Z794" s="13"/>
      <c r="AA794" s="17"/>
      <c r="AB794" s="17"/>
      <c r="AC794" s="17"/>
      <c r="AD794" s="17"/>
      <c r="AE794" s="17"/>
    </row>
    <row r="795">
      <c r="A795" s="72"/>
      <c r="B795" s="12"/>
      <c r="C795" s="12"/>
      <c r="D795" s="12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6"/>
      <c r="W795" s="13"/>
      <c r="X795" s="13"/>
      <c r="Y795" s="13"/>
      <c r="Z795" s="13"/>
      <c r="AA795" s="17"/>
      <c r="AB795" s="17"/>
      <c r="AC795" s="17"/>
      <c r="AD795" s="17"/>
      <c r="AE795" s="17"/>
    </row>
    <row r="796">
      <c r="A796" s="72"/>
      <c r="B796" s="12"/>
      <c r="C796" s="12"/>
      <c r="D796" s="12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6"/>
      <c r="W796" s="13"/>
      <c r="X796" s="13"/>
      <c r="Y796" s="13"/>
      <c r="Z796" s="13"/>
      <c r="AA796" s="17"/>
      <c r="AB796" s="17"/>
      <c r="AC796" s="17"/>
      <c r="AD796" s="17"/>
      <c r="AE796" s="17"/>
    </row>
    <row r="797">
      <c r="A797" s="72"/>
      <c r="B797" s="12"/>
      <c r="C797" s="12"/>
      <c r="D797" s="12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6"/>
      <c r="W797" s="13"/>
      <c r="X797" s="13"/>
      <c r="Y797" s="13"/>
      <c r="Z797" s="13"/>
      <c r="AA797" s="17"/>
      <c r="AB797" s="17"/>
      <c r="AC797" s="17"/>
      <c r="AD797" s="17"/>
      <c r="AE797" s="17"/>
    </row>
    <row r="798">
      <c r="A798" s="72"/>
      <c r="B798" s="12"/>
      <c r="C798" s="12"/>
      <c r="D798" s="12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6"/>
      <c r="W798" s="13"/>
      <c r="X798" s="13"/>
      <c r="Y798" s="13"/>
      <c r="Z798" s="13"/>
      <c r="AA798" s="17"/>
      <c r="AB798" s="17"/>
      <c r="AC798" s="17"/>
      <c r="AD798" s="17"/>
      <c r="AE798" s="17"/>
    </row>
    <row r="799">
      <c r="A799" s="72"/>
      <c r="B799" s="12"/>
      <c r="C799" s="12"/>
      <c r="D799" s="12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6"/>
      <c r="W799" s="13"/>
      <c r="X799" s="13"/>
      <c r="Y799" s="13"/>
      <c r="Z799" s="13"/>
      <c r="AA799" s="17"/>
      <c r="AB799" s="17"/>
      <c r="AC799" s="17"/>
      <c r="AD799" s="17"/>
      <c r="AE799" s="17"/>
    </row>
    <row r="800">
      <c r="A800" s="72"/>
      <c r="B800" s="12"/>
      <c r="C800" s="12"/>
      <c r="D800" s="12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6"/>
      <c r="W800" s="13"/>
      <c r="X800" s="13"/>
      <c r="Y800" s="13"/>
      <c r="Z800" s="13"/>
      <c r="AA800" s="17"/>
      <c r="AB800" s="17"/>
      <c r="AC800" s="17"/>
      <c r="AD800" s="17"/>
      <c r="AE800" s="17"/>
    </row>
    <row r="801">
      <c r="A801" s="72"/>
      <c r="B801" s="12"/>
      <c r="C801" s="12"/>
      <c r="D801" s="12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6"/>
      <c r="W801" s="13"/>
      <c r="X801" s="13"/>
      <c r="Y801" s="13"/>
      <c r="Z801" s="13"/>
      <c r="AA801" s="17"/>
      <c r="AB801" s="17"/>
      <c r="AC801" s="17"/>
      <c r="AD801" s="17"/>
      <c r="AE801" s="17"/>
    </row>
    <row r="802">
      <c r="A802" s="72"/>
      <c r="B802" s="12"/>
      <c r="C802" s="12"/>
      <c r="D802" s="12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6"/>
      <c r="W802" s="13"/>
      <c r="X802" s="13"/>
      <c r="Y802" s="13"/>
      <c r="Z802" s="13"/>
      <c r="AA802" s="17"/>
      <c r="AB802" s="17"/>
      <c r="AC802" s="17"/>
      <c r="AD802" s="17"/>
      <c r="AE802" s="17"/>
    </row>
    <row r="803">
      <c r="A803" s="72"/>
      <c r="B803" s="12"/>
      <c r="C803" s="12"/>
      <c r="D803" s="12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6"/>
      <c r="W803" s="13"/>
      <c r="X803" s="13"/>
      <c r="Y803" s="13"/>
      <c r="Z803" s="13"/>
      <c r="AA803" s="17"/>
      <c r="AB803" s="17"/>
      <c r="AC803" s="17"/>
      <c r="AD803" s="17"/>
      <c r="AE803" s="17"/>
    </row>
    <row r="804">
      <c r="A804" s="72"/>
      <c r="B804" s="12"/>
      <c r="C804" s="12"/>
      <c r="D804" s="12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6"/>
      <c r="W804" s="13"/>
      <c r="X804" s="13"/>
      <c r="Y804" s="13"/>
      <c r="Z804" s="13"/>
      <c r="AA804" s="17"/>
      <c r="AB804" s="17"/>
      <c r="AC804" s="17"/>
      <c r="AD804" s="17"/>
      <c r="AE804" s="17"/>
    </row>
    <row r="805">
      <c r="A805" s="72"/>
      <c r="B805" s="12"/>
      <c r="C805" s="12"/>
      <c r="D805" s="12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6"/>
      <c r="W805" s="13"/>
      <c r="X805" s="13"/>
      <c r="Y805" s="13"/>
      <c r="Z805" s="13"/>
      <c r="AA805" s="17"/>
      <c r="AB805" s="17"/>
      <c r="AC805" s="17"/>
      <c r="AD805" s="17"/>
      <c r="AE805" s="17"/>
    </row>
    <row r="806">
      <c r="A806" s="72"/>
      <c r="B806" s="12"/>
      <c r="C806" s="12"/>
      <c r="D806" s="12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6"/>
      <c r="W806" s="13"/>
      <c r="X806" s="13"/>
      <c r="Y806" s="13"/>
      <c r="Z806" s="13"/>
      <c r="AA806" s="17"/>
      <c r="AB806" s="17"/>
      <c r="AC806" s="17"/>
      <c r="AD806" s="17"/>
      <c r="AE806" s="17"/>
    </row>
    <row r="807">
      <c r="A807" s="72"/>
      <c r="B807" s="12"/>
      <c r="C807" s="12"/>
      <c r="D807" s="12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6"/>
      <c r="W807" s="13"/>
      <c r="X807" s="13"/>
      <c r="Y807" s="13"/>
      <c r="Z807" s="13"/>
      <c r="AA807" s="17"/>
      <c r="AB807" s="17"/>
      <c r="AC807" s="17"/>
      <c r="AD807" s="17"/>
      <c r="AE807" s="17"/>
    </row>
    <row r="808">
      <c r="A808" s="72"/>
      <c r="B808" s="12"/>
      <c r="C808" s="12"/>
      <c r="D808" s="12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6"/>
      <c r="W808" s="13"/>
      <c r="X808" s="13"/>
      <c r="Y808" s="13"/>
      <c r="Z808" s="13"/>
      <c r="AA808" s="17"/>
      <c r="AB808" s="17"/>
      <c r="AC808" s="17"/>
      <c r="AD808" s="17"/>
      <c r="AE808" s="17"/>
    </row>
    <row r="809">
      <c r="A809" s="72"/>
      <c r="B809" s="12"/>
      <c r="C809" s="12"/>
      <c r="D809" s="12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6"/>
      <c r="W809" s="13"/>
      <c r="X809" s="13"/>
      <c r="Y809" s="13"/>
      <c r="Z809" s="13"/>
      <c r="AA809" s="17"/>
      <c r="AB809" s="17"/>
      <c r="AC809" s="17"/>
      <c r="AD809" s="17"/>
      <c r="AE809" s="17"/>
    </row>
    <row r="810">
      <c r="A810" s="72"/>
      <c r="B810" s="12"/>
      <c r="C810" s="12"/>
      <c r="D810" s="12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6"/>
      <c r="W810" s="13"/>
      <c r="X810" s="13"/>
      <c r="Y810" s="13"/>
      <c r="Z810" s="13"/>
      <c r="AA810" s="17"/>
      <c r="AB810" s="17"/>
      <c r="AC810" s="17"/>
      <c r="AD810" s="17"/>
      <c r="AE810" s="17"/>
    </row>
    <row r="811">
      <c r="A811" s="72"/>
      <c r="B811" s="12"/>
      <c r="C811" s="12"/>
      <c r="D811" s="12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6"/>
      <c r="W811" s="13"/>
      <c r="X811" s="13"/>
      <c r="Y811" s="13"/>
      <c r="Z811" s="13"/>
      <c r="AA811" s="17"/>
      <c r="AB811" s="17"/>
      <c r="AC811" s="17"/>
      <c r="AD811" s="17"/>
      <c r="AE811" s="17"/>
    </row>
    <row r="812">
      <c r="A812" s="72"/>
      <c r="B812" s="12"/>
      <c r="C812" s="12"/>
      <c r="D812" s="12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6"/>
      <c r="W812" s="13"/>
      <c r="X812" s="13"/>
      <c r="Y812" s="13"/>
      <c r="Z812" s="13"/>
      <c r="AA812" s="17"/>
      <c r="AB812" s="17"/>
      <c r="AC812" s="17"/>
      <c r="AD812" s="17"/>
      <c r="AE812" s="17"/>
    </row>
    <row r="813">
      <c r="A813" s="72"/>
      <c r="B813" s="12"/>
      <c r="C813" s="12"/>
      <c r="D813" s="12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6"/>
      <c r="W813" s="13"/>
      <c r="X813" s="13"/>
      <c r="Y813" s="13"/>
      <c r="Z813" s="13"/>
      <c r="AA813" s="17"/>
      <c r="AB813" s="17"/>
      <c r="AC813" s="17"/>
      <c r="AD813" s="17"/>
      <c r="AE813" s="17"/>
    </row>
    <row r="814">
      <c r="A814" s="72"/>
      <c r="B814" s="12"/>
      <c r="C814" s="12"/>
      <c r="D814" s="12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6"/>
      <c r="W814" s="13"/>
      <c r="X814" s="13"/>
      <c r="Y814" s="13"/>
      <c r="Z814" s="13"/>
      <c r="AA814" s="17"/>
      <c r="AB814" s="17"/>
      <c r="AC814" s="17"/>
      <c r="AD814" s="17"/>
      <c r="AE814" s="17"/>
    </row>
    <row r="815">
      <c r="A815" s="72"/>
      <c r="B815" s="12"/>
      <c r="C815" s="12"/>
      <c r="D815" s="12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6"/>
      <c r="W815" s="13"/>
      <c r="X815" s="13"/>
      <c r="Y815" s="13"/>
      <c r="Z815" s="13"/>
      <c r="AA815" s="17"/>
      <c r="AB815" s="17"/>
      <c r="AC815" s="17"/>
      <c r="AD815" s="17"/>
      <c r="AE815" s="17"/>
    </row>
    <row r="816">
      <c r="A816" s="72"/>
      <c r="B816" s="12"/>
      <c r="C816" s="12"/>
      <c r="D816" s="12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6"/>
      <c r="W816" s="13"/>
      <c r="X816" s="13"/>
      <c r="Y816" s="13"/>
      <c r="Z816" s="13"/>
      <c r="AA816" s="17"/>
      <c r="AB816" s="17"/>
      <c r="AC816" s="17"/>
      <c r="AD816" s="17"/>
      <c r="AE816" s="17"/>
    </row>
    <row r="817">
      <c r="A817" s="72"/>
      <c r="B817" s="12"/>
      <c r="C817" s="12"/>
      <c r="D817" s="12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6"/>
      <c r="W817" s="13"/>
      <c r="X817" s="13"/>
      <c r="Y817" s="13"/>
      <c r="Z817" s="13"/>
      <c r="AA817" s="17"/>
      <c r="AB817" s="17"/>
      <c r="AC817" s="17"/>
      <c r="AD817" s="17"/>
      <c r="AE817" s="17"/>
    </row>
    <row r="818">
      <c r="A818" s="72"/>
      <c r="B818" s="12"/>
      <c r="C818" s="12"/>
      <c r="D818" s="12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6"/>
      <c r="W818" s="13"/>
      <c r="X818" s="13"/>
      <c r="Y818" s="13"/>
      <c r="Z818" s="13"/>
      <c r="AA818" s="17"/>
      <c r="AB818" s="17"/>
      <c r="AC818" s="17"/>
      <c r="AD818" s="17"/>
      <c r="AE818" s="17"/>
    </row>
    <row r="819">
      <c r="A819" s="72"/>
      <c r="B819" s="12"/>
      <c r="C819" s="12"/>
      <c r="D819" s="12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6"/>
      <c r="W819" s="13"/>
      <c r="X819" s="13"/>
      <c r="Y819" s="13"/>
      <c r="Z819" s="13"/>
      <c r="AA819" s="17"/>
      <c r="AB819" s="17"/>
      <c r="AC819" s="17"/>
      <c r="AD819" s="17"/>
      <c r="AE819" s="17"/>
    </row>
    <row r="820">
      <c r="A820" s="72"/>
      <c r="B820" s="12"/>
      <c r="C820" s="12"/>
      <c r="D820" s="12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6"/>
      <c r="W820" s="13"/>
      <c r="X820" s="13"/>
      <c r="Y820" s="13"/>
      <c r="Z820" s="13"/>
      <c r="AA820" s="17"/>
      <c r="AB820" s="17"/>
      <c r="AC820" s="17"/>
      <c r="AD820" s="17"/>
      <c r="AE820" s="17"/>
    </row>
    <row r="821">
      <c r="A821" s="72"/>
      <c r="B821" s="12"/>
      <c r="C821" s="12"/>
      <c r="D821" s="12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6"/>
      <c r="W821" s="13"/>
      <c r="X821" s="13"/>
      <c r="Y821" s="13"/>
      <c r="Z821" s="13"/>
      <c r="AA821" s="17"/>
      <c r="AB821" s="17"/>
      <c r="AC821" s="17"/>
      <c r="AD821" s="17"/>
      <c r="AE821" s="17"/>
    </row>
    <row r="822">
      <c r="A822" s="72"/>
      <c r="B822" s="12"/>
      <c r="C822" s="12"/>
      <c r="D822" s="12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6"/>
      <c r="W822" s="13"/>
      <c r="X822" s="13"/>
      <c r="Y822" s="13"/>
      <c r="Z822" s="13"/>
      <c r="AA822" s="17"/>
      <c r="AB822" s="17"/>
      <c r="AC822" s="17"/>
      <c r="AD822" s="17"/>
      <c r="AE822" s="17"/>
    </row>
    <row r="823">
      <c r="A823" s="72"/>
      <c r="B823" s="12"/>
      <c r="C823" s="12"/>
      <c r="D823" s="12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6"/>
      <c r="W823" s="13"/>
      <c r="X823" s="13"/>
      <c r="Y823" s="13"/>
      <c r="Z823" s="13"/>
      <c r="AA823" s="17"/>
      <c r="AB823" s="17"/>
      <c r="AC823" s="17"/>
      <c r="AD823" s="17"/>
      <c r="AE823" s="17"/>
    </row>
    <row r="824">
      <c r="A824" s="72"/>
      <c r="B824" s="12"/>
      <c r="C824" s="12"/>
      <c r="D824" s="12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6"/>
      <c r="W824" s="13"/>
      <c r="X824" s="13"/>
      <c r="Y824" s="13"/>
      <c r="Z824" s="13"/>
      <c r="AA824" s="17"/>
      <c r="AB824" s="17"/>
      <c r="AC824" s="17"/>
      <c r="AD824" s="17"/>
      <c r="AE824" s="17"/>
    </row>
    <row r="825">
      <c r="A825" s="72"/>
      <c r="B825" s="12"/>
      <c r="C825" s="12"/>
      <c r="D825" s="12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6"/>
      <c r="W825" s="13"/>
      <c r="X825" s="13"/>
      <c r="Y825" s="13"/>
      <c r="Z825" s="13"/>
      <c r="AA825" s="17"/>
      <c r="AB825" s="17"/>
      <c r="AC825" s="17"/>
      <c r="AD825" s="17"/>
      <c r="AE825" s="17"/>
    </row>
    <row r="826">
      <c r="A826" s="72"/>
      <c r="B826" s="12"/>
      <c r="C826" s="12"/>
      <c r="D826" s="12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6"/>
      <c r="W826" s="13"/>
      <c r="X826" s="13"/>
      <c r="Y826" s="13"/>
      <c r="Z826" s="13"/>
      <c r="AA826" s="17"/>
      <c r="AB826" s="17"/>
      <c r="AC826" s="17"/>
      <c r="AD826" s="17"/>
      <c r="AE826" s="17"/>
    </row>
    <row r="827">
      <c r="A827" s="72"/>
      <c r="B827" s="12"/>
      <c r="C827" s="12"/>
      <c r="D827" s="12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6"/>
      <c r="W827" s="13"/>
      <c r="X827" s="13"/>
      <c r="Y827" s="13"/>
      <c r="Z827" s="13"/>
      <c r="AA827" s="17"/>
      <c r="AB827" s="17"/>
      <c r="AC827" s="17"/>
      <c r="AD827" s="17"/>
      <c r="AE827" s="17"/>
    </row>
    <row r="828">
      <c r="A828" s="72"/>
      <c r="B828" s="12"/>
      <c r="C828" s="12"/>
      <c r="D828" s="12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6"/>
      <c r="W828" s="13"/>
      <c r="X828" s="13"/>
      <c r="Y828" s="13"/>
      <c r="Z828" s="13"/>
      <c r="AA828" s="17"/>
      <c r="AB828" s="17"/>
      <c r="AC828" s="17"/>
      <c r="AD828" s="17"/>
      <c r="AE828" s="17"/>
    </row>
    <row r="829">
      <c r="A829" s="72"/>
      <c r="B829" s="12"/>
      <c r="C829" s="12"/>
      <c r="D829" s="12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6"/>
      <c r="W829" s="13"/>
      <c r="X829" s="13"/>
      <c r="Y829" s="13"/>
      <c r="Z829" s="13"/>
      <c r="AA829" s="17"/>
      <c r="AB829" s="17"/>
      <c r="AC829" s="17"/>
      <c r="AD829" s="17"/>
      <c r="AE829" s="17"/>
    </row>
    <row r="830">
      <c r="A830" s="72"/>
      <c r="B830" s="12"/>
      <c r="C830" s="12"/>
      <c r="D830" s="12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6"/>
      <c r="W830" s="13"/>
      <c r="X830" s="13"/>
      <c r="Y830" s="13"/>
      <c r="Z830" s="13"/>
      <c r="AA830" s="17"/>
      <c r="AB830" s="17"/>
      <c r="AC830" s="17"/>
      <c r="AD830" s="17"/>
      <c r="AE830" s="17"/>
    </row>
    <row r="831">
      <c r="A831" s="72"/>
      <c r="B831" s="12"/>
      <c r="C831" s="12"/>
      <c r="D831" s="12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6"/>
      <c r="W831" s="13"/>
      <c r="X831" s="13"/>
      <c r="Y831" s="13"/>
      <c r="Z831" s="13"/>
      <c r="AA831" s="17"/>
      <c r="AB831" s="17"/>
      <c r="AC831" s="17"/>
      <c r="AD831" s="17"/>
      <c r="AE831" s="17"/>
    </row>
    <row r="832">
      <c r="A832" s="72"/>
      <c r="B832" s="12"/>
      <c r="C832" s="12"/>
      <c r="D832" s="12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6"/>
      <c r="W832" s="13"/>
      <c r="X832" s="13"/>
      <c r="Y832" s="13"/>
      <c r="Z832" s="13"/>
      <c r="AA832" s="17"/>
      <c r="AB832" s="17"/>
      <c r="AC832" s="17"/>
      <c r="AD832" s="17"/>
      <c r="AE832" s="17"/>
    </row>
    <row r="833">
      <c r="A833" s="72"/>
      <c r="B833" s="12"/>
      <c r="C833" s="12"/>
      <c r="D833" s="12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6"/>
      <c r="W833" s="13"/>
      <c r="X833" s="13"/>
      <c r="Y833" s="13"/>
      <c r="Z833" s="13"/>
      <c r="AA833" s="17"/>
      <c r="AB833" s="17"/>
      <c r="AC833" s="17"/>
      <c r="AD833" s="17"/>
      <c r="AE833" s="17"/>
    </row>
    <row r="834">
      <c r="A834" s="72"/>
      <c r="B834" s="12"/>
      <c r="C834" s="12"/>
      <c r="D834" s="12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6"/>
      <c r="W834" s="13"/>
      <c r="X834" s="13"/>
      <c r="Y834" s="13"/>
      <c r="Z834" s="13"/>
      <c r="AA834" s="17"/>
      <c r="AB834" s="17"/>
      <c r="AC834" s="17"/>
      <c r="AD834" s="17"/>
      <c r="AE834" s="17"/>
    </row>
    <row r="835">
      <c r="A835" s="72"/>
      <c r="B835" s="12"/>
      <c r="C835" s="12"/>
      <c r="D835" s="12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6"/>
      <c r="W835" s="13"/>
      <c r="X835" s="13"/>
      <c r="Y835" s="13"/>
      <c r="Z835" s="13"/>
      <c r="AA835" s="17"/>
      <c r="AB835" s="17"/>
      <c r="AC835" s="17"/>
      <c r="AD835" s="17"/>
      <c r="AE835" s="17"/>
    </row>
    <row r="836">
      <c r="A836" s="72"/>
      <c r="B836" s="12"/>
      <c r="C836" s="12"/>
      <c r="D836" s="12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6"/>
      <c r="W836" s="13"/>
      <c r="X836" s="13"/>
      <c r="Y836" s="13"/>
      <c r="Z836" s="13"/>
      <c r="AA836" s="17"/>
      <c r="AB836" s="17"/>
      <c r="AC836" s="17"/>
      <c r="AD836" s="17"/>
      <c r="AE836" s="17"/>
    </row>
    <row r="837">
      <c r="A837" s="72"/>
      <c r="B837" s="12"/>
      <c r="C837" s="12"/>
      <c r="D837" s="12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6"/>
      <c r="W837" s="13"/>
      <c r="X837" s="13"/>
      <c r="Y837" s="13"/>
      <c r="Z837" s="13"/>
      <c r="AA837" s="17"/>
      <c r="AB837" s="17"/>
      <c r="AC837" s="17"/>
      <c r="AD837" s="17"/>
      <c r="AE837" s="17"/>
    </row>
    <row r="838">
      <c r="A838" s="72"/>
      <c r="B838" s="12"/>
      <c r="C838" s="12"/>
      <c r="D838" s="12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6"/>
      <c r="W838" s="13"/>
      <c r="X838" s="13"/>
      <c r="Y838" s="13"/>
      <c r="Z838" s="13"/>
      <c r="AA838" s="17"/>
      <c r="AB838" s="17"/>
      <c r="AC838" s="17"/>
      <c r="AD838" s="17"/>
      <c r="AE838" s="17"/>
    </row>
    <row r="839">
      <c r="A839" s="72"/>
      <c r="B839" s="12"/>
      <c r="C839" s="12"/>
      <c r="D839" s="12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6"/>
      <c r="W839" s="13"/>
      <c r="X839" s="13"/>
      <c r="Y839" s="13"/>
      <c r="Z839" s="13"/>
      <c r="AA839" s="17"/>
      <c r="AB839" s="17"/>
      <c r="AC839" s="17"/>
      <c r="AD839" s="17"/>
      <c r="AE839" s="17"/>
    </row>
    <row r="840">
      <c r="A840" s="72"/>
      <c r="B840" s="12"/>
      <c r="C840" s="12"/>
      <c r="D840" s="12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6"/>
      <c r="W840" s="13"/>
      <c r="X840" s="13"/>
      <c r="Y840" s="13"/>
      <c r="Z840" s="13"/>
      <c r="AA840" s="17"/>
      <c r="AB840" s="17"/>
      <c r="AC840" s="17"/>
      <c r="AD840" s="17"/>
      <c r="AE840" s="17"/>
    </row>
    <row r="841">
      <c r="A841" s="72"/>
      <c r="B841" s="12"/>
      <c r="C841" s="12"/>
      <c r="D841" s="12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6"/>
      <c r="W841" s="13"/>
      <c r="X841" s="13"/>
      <c r="Y841" s="13"/>
      <c r="Z841" s="13"/>
      <c r="AA841" s="17"/>
      <c r="AB841" s="17"/>
      <c r="AC841" s="17"/>
      <c r="AD841" s="17"/>
      <c r="AE841" s="17"/>
    </row>
    <row r="842">
      <c r="A842" s="72"/>
      <c r="B842" s="12"/>
      <c r="C842" s="12"/>
      <c r="D842" s="12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6"/>
      <c r="W842" s="13"/>
      <c r="X842" s="13"/>
      <c r="Y842" s="13"/>
      <c r="Z842" s="13"/>
      <c r="AA842" s="17"/>
      <c r="AB842" s="17"/>
      <c r="AC842" s="17"/>
      <c r="AD842" s="17"/>
      <c r="AE842" s="17"/>
    </row>
    <row r="843">
      <c r="A843" s="72"/>
      <c r="B843" s="12"/>
      <c r="C843" s="12"/>
      <c r="D843" s="12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6"/>
      <c r="W843" s="13"/>
      <c r="X843" s="13"/>
      <c r="Y843" s="13"/>
      <c r="Z843" s="13"/>
      <c r="AA843" s="17"/>
      <c r="AB843" s="17"/>
      <c r="AC843" s="17"/>
      <c r="AD843" s="17"/>
      <c r="AE843" s="17"/>
    </row>
    <row r="844">
      <c r="A844" s="72"/>
      <c r="B844" s="12"/>
      <c r="C844" s="12"/>
      <c r="D844" s="12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6"/>
      <c r="W844" s="13"/>
      <c r="X844" s="13"/>
      <c r="Y844" s="13"/>
      <c r="Z844" s="13"/>
      <c r="AA844" s="17"/>
      <c r="AB844" s="17"/>
      <c r="AC844" s="17"/>
      <c r="AD844" s="17"/>
      <c r="AE844" s="17"/>
    </row>
    <row r="845">
      <c r="A845" s="72"/>
      <c r="B845" s="12"/>
      <c r="C845" s="12"/>
      <c r="D845" s="12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6"/>
      <c r="W845" s="13"/>
      <c r="X845" s="13"/>
      <c r="Y845" s="13"/>
      <c r="Z845" s="13"/>
      <c r="AA845" s="17"/>
      <c r="AB845" s="17"/>
      <c r="AC845" s="17"/>
      <c r="AD845" s="17"/>
      <c r="AE845" s="17"/>
    </row>
    <row r="846">
      <c r="A846" s="72"/>
      <c r="B846" s="12"/>
      <c r="C846" s="12"/>
      <c r="D846" s="12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6"/>
      <c r="W846" s="13"/>
      <c r="X846" s="13"/>
      <c r="Y846" s="13"/>
      <c r="Z846" s="13"/>
      <c r="AA846" s="17"/>
      <c r="AB846" s="17"/>
      <c r="AC846" s="17"/>
      <c r="AD846" s="17"/>
      <c r="AE846" s="17"/>
    </row>
    <row r="847">
      <c r="A847" s="72"/>
      <c r="B847" s="12"/>
      <c r="C847" s="12"/>
      <c r="D847" s="12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6"/>
      <c r="W847" s="13"/>
      <c r="X847" s="13"/>
      <c r="Y847" s="13"/>
      <c r="Z847" s="13"/>
      <c r="AA847" s="17"/>
      <c r="AB847" s="17"/>
      <c r="AC847" s="17"/>
      <c r="AD847" s="17"/>
      <c r="AE847" s="17"/>
    </row>
    <row r="848">
      <c r="A848" s="72"/>
      <c r="B848" s="12"/>
      <c r="C848" s="12"/>
      <c r="D848" s="12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6"/>
      <c r="W848" s="13"/>
      <c r="X848" s="13"/>
      <c r="Y848" s="13"/>
      <c r="Z848" s="13"/>
      <c r="AA848" s="17"/>
      <c r="AB848" s="17"/>
      <c r="AC848" s="17"/>
      <c r="AD848" s="17"/>
      <c r="AE848" s="17"/>
    </row>
    <row r="849">
      <c r="A849" s="72"/>
      <c r="B849" s="12"/>
      <c r="C849" s="12"/>
      <c r="D849" s="12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6"/>
      <c r="W849" s="13"/>
      <c r="X849" s="13"/>
      <c r="Y849" s="13"/>
      <c r="Z849" s="13"/>
      <c r="AA849" s="17"/>
      <c r="AB849" s="17"/>
      <c r="AC849" s="17"/>
      <c r="AD849" s="17"/>
      <c r="AE849" s="17"/>
    </row>
    <row r="850">
      <c r="A850" s="72"/>
      <c r="B850" s="12"/>
      <c r="C850" s="12"/>
      <c r="D850" s="12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6"/>
      <c r="W850" s="13"/>
      <c r="X850" s="13"/>
      <c r="Y850" s="13"/>
      <c r="Z850" s="13"/>
      <c r="AA850" s="17"/>
      <c r="AB850" s="17"/>
      <c r="AC850" s="17"/>
      <c r="AD850" s="17"/>
      <c r="AE850" s="17"/>
    </row>
    <row r="851">
      <c r="A851" s="72"/>
      <c r="B851" s="12"/>
      <c r="C851" s="12"/>
      <c r="D851" s="12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6"/>
      <c r="W851" s="13"/>
      <c r="X851" s="13"/>
      <c r="Y851" s="13"/>
      <c r="Z851" s="13"/>
      <c r="AA851" s="17"/>
      <c r="AB851" s="17"/>
      <c r="AC851" s="17"/>
      <c r="AD851" s="17"/>
      <c r="AE851" s="17"/>
    </row>
    <row r="852">
      <c r="A852" s="72"/>
      <c r="B852" s="12"/>
      <c r="C852" s="12"/>
      <c r="D852" s="12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6"/>
      <c r="W852" s="13"/>
      <c r="X852" s="13"/>
      <c r="Y852" s="13"/>
      <c r="Z852" s="13"/>
      <c r="AA852" s="17"/>
      <c r="AB852" s="17"/>
      <c r="AC852" s="17"/>
      <c r="AD852" s="17"/>
      <c r="AE852" s="17"/>
    </row>
    <row r="853">
      <c r="A853" s="72"/>
      <c r="B853" s="12"/>
      <c r="C853" s="12"/>
      <c r="D853" s="12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6"/>
      <c r="W853" s="13"/>
      <c r="X853" s="13"/>
      <c r="Y853" s="13"/>
      <c r="Z853" s="13"/>
      <c r="AA853" s="17"/>
      <c r="AB853" s="17"/>
      <c r="AC853" s="17"/>
      <c r="AD853" s="17"/>
      <c r="AE853" s="17"/>
    </row>
    <row r="854">
      <c r="A854" s="72"/>
      <c r="B854" s="12"/>
      <c r="C854" s="12"/>
      <c r="D854" s="12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6"/>
      <c r="W854" s="13"/>
      <c r="X854" s="13"/>
      <c r="Y854" s="13"/>
      <c r="Z854" s="13"/>
      <c r="AA854" s="17"/>
      <c r="AB854" s="17"/>
      <c r="AC854" s="17"/>
      <c r="AD854" s="17"/>
      <c r="AE854" s="17"/>
    </row>
    <row r="855">
      <c r="A855" s="72"/>
      <c r="B855" s="12"/>
      <c r="C855" s="12"/>
      <c r="D855" s="12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6"/>
      <c r="W855" s="13"/>
      <c r="X855" s="13"/>
      <c r="Y855" s="13"/>
      <c r="Z855" s="13"/>
      <c r="AA855" s="17"/>
      <c r="AB855" s="17"/>
      <c r="AC855" s="17"/>
      <c r="AD855" s="17"/>
      <c r="AE855" s="17"/>
    </row>
    <row r="856">
      <c r="A856" s="72"/>
      <c r="B856" s="12"/>
      <c r="C856" s="12"/>
      <c r="D856" s="12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6"/>
      <c r="W856" s="13"/>
      <c r="X856" s="13"/>
      <c r="Y856" s="13"/>
      <c r="Z856" s="13"/>
      <c r="AA856" s="17"/>
      <c r="AB856" s="17"/>
      <c r="AC856" s="17"/>
      <c r="AD856" s="17"/>
      <c r="AE856" s="17"/>
    </row>
    <row r="857">
      <c r="A857" s="72"/>
      <c r="B857" s="12"/>
      <c r="C857" s="12"/>
      <c r="D857" s="12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6"/>
      <c r="W857" s="13"/>
      <c r="X857" s="13"/>
      <c r="Y857" s="13"/>
      <c r="Z857" s="13"/>
      <c r="AA857" s="17"/>
      <c r="AB857" s="17"/>
      <c r="AC857" s="17"/>
      <c r="AD857" s="17"/>
      <c r="AE857" s="17"/>
    </row>
    <row r="858">
      <c r="A858" s="72"/>
      <c r="B858" s="12"/>
      <c r="C858" s="12"/>
      <c r="D858" s="12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6"/>
      <c r="W858" s="13"/>
      <c r="X858" s="13"/>
      <c r="Y858" s="13"/>
      <c r="Z858" s="13"/>
      <c r="AA858" s="17"/>
      <c r="AB858" s="17"/>
      <c r="AC858" s="17"/>
      <c r="AD858" s="17"/>
      <c r="AE858" s="17"/>
    </row>
    <row r="859">
      <c r="A859" s="72"/>
      <c r="B859" s="12"/>
      <c r="C859" s="12"/>
      <c r="D859" s="12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6"/>
      <c r="W859" s="13"/>
      <c r="X859" s="13"/>
      <c r="Y859" s="13"/>
      <c r="Z859" s="13"/>
      <c r="AA859" s="17"/>
      <c r="AB859" s="17"/>
      <c r="AC859" s="17"/>
      <c r="AD859" s="17"/>
      <c r="AE859" s="17"/>
    </row>
    <row r="860">
      <c r="A860" s="72"/>
      <c r="B860" s="12"/>
      <c r="C860" s="12"/>
      <c r="D860" s="12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6"/>
      <c r="W860" s="13"/>
      <c r="X860" s="13"/>
      <c r="Y860" s="13"/>
      <c r="Z860" s="13"/>
      <c r="AA860" s="17"/>
      <c r="AB860" s="17"/>
      <c r="AC860" s="17"/>
      <c r="AD860" s="17"/>
      <c r="AE860" s="17"/>
    </row>
    <row r="861">
      <c r="A861" s="72"/>
      <c r="B861" s="12"/>
      <c r="C861" s="12"/>
      <c r="D861" s="12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6"/>
      <c r="W861" s="13"/>
      <c r="X861" s="13"/>
      <c r="Y861" s="13"/>
      <c r="Z861" s="13"/>
      <c r="AA861" s="17"/>
      <c r="AB861" s="17"/>
      <c r="AC861" s="17"/>
      <c r="AD861" s="17"/>
      <c r="AE861" s="17"/>
    </row>
    <row r="862">
      <c r="A862" s="72"/>
      <c r="B862" s="12"/>
      <c r="C862" s="12"/>
      <c r="D862" s="12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6"/>
      <c r="W862" s="13"/>
      <c r="X862" s="13"/>
      <c r="Y862" s="13"/>
      <c r="Z862" s="13"/>
      <c r="AA862" s="17"/>
      <c r="AB862" s="17"/>
      <c r="AC862" s="17"/>
      <c r="AD862" s="17"/>
      <c r="AE862" s="17"/>
    </row>
    <row r="863">
      <c r="A863" s="72"/>
      <c r="B863" s="12"/>
      <c r="C863" s="12"/>
      <c r="D863" s="12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6"/>
      <c r="W863" s="13"/>
      <c r="X863" s="13"/>
      <c r="Y863" s="13"/>
      <c r="Z863" s="13"/>
      <c r="AA863" s="17"/>
      <c r="AB863" s="17"/>
      <c r="AC863" s="17"/>
      <c r="AD863" s="17"/>
      <c r="AE863" s="17"/>
    </row>
    <row r="864">
      <c r="A864" s="72"/>
      <c r="B864" s="12"/>
      <c r="C864" s="12"/>
      <c r="D864" s="12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6"/>
      <c r="W864" s="13"/>
      <c r="X864" s="13"/>
      <c r="Y864" s="13"/>
      <c r="Z864" s="13"/>
      <c r="AA864" s="17"/>
      <c r="AB864" s="17"/>
      <c r="AC864" s="17"/>
      <c r="AD864" s="17"/>
      <c r="AE864" s="17"/>
    </row>
    <row r="865">
      <c r="A865" s="72"/>
      <c r="B865" s="12"/>
      <c r="C865" s="12"/>
      <c r="D865" s="12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6"/>
      <c r="W865" s="13"/>
      <c r="X865" s="13"/>
      <c r="Y865" s="13"/>
      <c r="Z865" s="13"/>
      <c r="AA865" s="17"/>
      <c r="AB865" s="17"/>
      <c r="AC865" s="17"/>
      <c r="AD865" s="17"/>
      <c r="AE865" s="17"/>
    </row>
    <row r="866">
      <c r="A866" s="72"/>
      <c r="B866" s="12"/>
      <c r="C866" s="12"/>
      <c r="D866" s="12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6"/>
      <c r="W866" s="13"/>
      <c r="X866" s="13"/>
      <c r="Y866" s="13"/>
      <c r="Z866" s="13"/>
      <c r="AA866" s="17"/>
      <c r="AB866" s="17"/>
      <c r="AC866" s="17"/>
      <c r="AD866" s="17"/>
      <c r="AE866" s="17"/>
    </row>
    <row r="867">
      <c r="A867" s="72"/>
      <c r="B867" s="12"/>
      <c r="C867" s="12"/>
      <c r="D867" s="12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6"/>
      <c r="W867" s="13"/>
      <c r="X867" s="13"/>
      <c r="Y867" s="13"/>
      <c r="Z867" s="13"/>
      <c r="AA867" s="17"/>
      <c r="AB867" s="17"/>
      <c r="AC867" s="17"/>
      <c r="AD867" s="17"/>
      <c r="AE867" s="17"/>
    </row>
    <row r="868">
      <c r="A868" s="72"/>
      <c r="B868" s="12"/>
      <c r="C868" s="12"/>
      <c r="D868" s="12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6"/>
      <c r="W868" s="13"/>
      <c r="X868" s="13"/>
      <c r="Y868" s="13"/>
      <c r="Z868" s="13"/>
      <c r="AA868" s="17"/>
      <c r="AB868" s="17"/>
      <c r="AC868" s="17"/>
      <c r="AD868" s="17"/>
      <c r="AE868" s="17"/>
    </row>
    <row r="869">
      <c r="A869" s="72"/>
      <c r="B869" s="12"/>
      <c r="C869" s="12"/>
      <c r="D869" s="12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6"/>
      <c r="W869" s="13"/>
      <c r="X869" s="13"/>
      <c r="Y869" s="13"/>
      <c r="Z869" s="13"/>
      <c r="AA869" s="17"/>
      <c r="AB869" s="17"/>
      <c r="AC869" s="17"/>
      <c r="AD869" s="17"/>
      <c r="AE869" s="17"/>
    </row>
    <row r="870">
      <c r="A870" s="72"/>
      <c r="B870" s="12"/>
      <c r="C870" s="12"/>
      <c r="D870" s="12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6"/>
      <c r="W870" s="13"/>
      <c r="X870" s="13"/>
      <c r="Y870" s="13"/>
      <c r="Z870" s="13"/>
      <c r="AA870" s="17"/>
      <c r="AB870" s="17"/>
      <c r="AC870" s="17"/>
      <c r="AD870" s="17"/>
      <c r="AE870" s="17"/>
    </row>
    <row r="871">
      <c r="A871" s="72"/>
      <c r="B871" s="12"/>
      <c r="C871" s="12"/>
      <c r="D871" s="12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6"/>
      <c r="W871" s="13"/>
      <c r="X871" s="13"/>
      <c r="Y871" s="13"/>
      <c r="Z871" s="13"/>
      <c r="AA871" s="17"/>
      <c r="AB871" s="17"/>
      <c r="AC871" s="17"/>
      <c r="AD871" s="17"/>
      <c r="AE871" s="17"/>
    </row>
    <row r="872">
      <c r="A872" s="72"/>
      <c r="B872" s="12"/>
      <c r="C872" s="12"/>
      <c r="D872" s="12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6"/>
      <c r="W872" s="13"/>
      <c r="X872" s="13"/>
      <c r="Y872" s="13"/>
      <c r="Z872" s="13"/>
      <c r="AA872" s="17"/>
      <c r="AB872" s="17"/>
      <c r="AC872" s="17"/>
      <c r="AD872" s="17"/>
      <c r="AE872" s="17"/>
    </row>
    <row r="873">
      <c r="A873" s="72"/>
      <c r="B873" s="12"/>
      <c r="C873" s="12"/>
      <c r="D873" s="12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6"/>
      <c r="W873" s="13"/>
      <c r="X873" s="13"/>
      <c r="Y873" s="13"/>
      <c r="Z873" s="13"/>
      <c r="AA873" s="17"/>
      <c r="AB873" s="17"/>
      <c r="AC873" s="17"/>
      <c r="AD873" s="17"/>
      <c r="AE873" s="17"/>
    </row>
    <row r="874">
      <c r="A874" s="72"/>
      <c r="B874" s="12"/>
      <c r="C874" s="12"/>
      <c r="D874" s="12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6"/>
      <c r="W874" s="13"/>
      <c r="X874" s="13"/>
      <c r="Y874" s="13"/>
      <c r="Z874" s="13"/>
      <c r="AA874" s="17"/>
      <c r="AB874" s="17"/>
      <c r="AC874" s="17"/>
      <c r="AD874" s="17"/>
      <c r="AE874" s="17"/>
    </row>
    <row r="875">
      <c r="A875" s="72"/>
      <c r="B875" s="12"/>
      <c r="C875" s="12"/>
      <c r="D875" s="12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6"/>
      <c r="W875" s="13"/>
      <c r="X875" s="13"/>
      <c r="Y875" s="13"/>
      <c r="Z875" s="13"/>
      <c r="AA875" s="17"/>
      <c r="AB875" s="17"/>
      <c r="AC875" s="17"/>
      <c r="AD875" s="17"/>
      <c r="AE875" s="17"/>
    </row>
    <row r="876">
      <c r="A876" s="72"/>
      <c r="B876" s="12"/>
      <c r="C876" s="12"/>
      <c r="D876" s="12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6"/>
      <c r="W876" s="13"/>
      <c r="X876" s="13"/>
      <c r="Y876" s="13"/>
      <c r="Z876" s="13"/>
      <c r="AA876" s="17"/>
      <c r="AB876" s="17"/>
      <c r="AC876" s="17"/>
      <c r="AD876" s="17"/>
      <c r="AE876" s="17"/>
    </row>
    <row r="877">
      <c r="A877" s="72"/>
      <c r="B877" s="12"/>
      <c r="C877" s="12"/>
      <c r="D877" s="12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6"/>
      <c r="W877" s="13"/>
      <c r="X877" s="13"/>
      <c r="Y877" s="13"/>
      <c r="Z877" s="13"/>
      <c r="AA877" s="17"/>
      <c r="AB877" s="17"/>
      <c r="AC877" s="17"/>
      <c r="AD877" s="17"/>
      <c r="AE877" s="17"/>
    </row>
    <row r="878">
      <c r="A878" s="72"/>
      <c r="B878" s="12"/>
      <c r="C878" s="12"/>
      <c r="D878" s="12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6"/>
      <c r="W878" s="13"/>
      <c r="X878" s="13"/>
      <c r="Y878" s="13"/>
      <c r="Z878" s="13"/>
      <c r="AA878" s="17"/>
      <c r="AB878" s="17"/>
      <c r="AC878" s="17"/>
      <c r="AD878" s="17"/>
      <c r="AE878" s="17"/>
    </row>
    <row r="879">
      <c r="A879" s="72"/>
      <c r="B879" s="12"/>
      <c r="C879" s="12"/>
      <c r="D879" s="12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6"/>
      <c r="W879" s="13"/>
      <c r="X879" s="13"/>
      <c r="Y879" s="13"/>
      <c r="Z879" s="13"/>
      <c r="AA879" s="17"/>
      <c r="AB879" s="17"/>
      <c r="AC879" s="17"/>
      <c r="AD879" s="17"/>
      <c r="AE879" s="17"/>
    </row>
    <row r="880">
      <c r="A880" s="72"/>
      <c r="B880" s="12"/>
      <c r="C880" s="12"/>
      <c r="D880" s="12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6"/>
      <c r="W880" s="13"/>
      <c r="X880" s="13"/>
      <c r="Y880" s="13"/>
      <c r="Z880" s="13"/>
      <c r="AA880" s="17"/>
      <c r="AB880" s="17"/>
      <c r="AC880" s="17"/>
      <c r="AD880" s="17"/>
      <c r="AE880" s="17"/>
    </row>
    <row r="881">
      <c r="A881" s="72"/>
      <c r="B881" s="12"/>
      <c r="C881" s="12"/>
      <c r="D881" s="12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6"/>
      <c r="W881" s="13"/>
      <c r="X881" s="13"/>
      <c r="Y881" s="13"/>
      <c r="Z881" s="13"/>
      <c r="AA881" s="17"/>
      <c r="AB881" s="17"/>
      <c r="AC881" s="17"/>
      <c r="AD881" s="17"/>
      <c r="AE881" s="17"/>
    </row>
    <row r="882">
      <c r="A882" s="72"/>
      <c r="B882" s="12"/>
      <c r="C882" s="12"/>
      <c r="D882" s="12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6"/>
      <c r="W882" s="13"/>
      <c r="X882" s="13"/>
      <c r="Y882" s="13"/>
      <c r="Z882" s="13"/>
      <c r="AA882" s="17"/>
      <c r="AB882" s="17"/>
      <c r="AC882" s="17"/>
      <c r="AD882" s="17"/>
      <c r="AE882" s="17"/>
    </row>
    <row r="883">
      <c r="A883" s="72"/>
      <c r="B883" s="12"/>
      <c r="C883" s="12"/>
      <c r="D883" s="12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6"/>
      <c r="W883" s="13"/>
      <c r="X883" s="13"/>
      <c r="Y883" s="13"/>
      <c r="Z883" s="13"/>
      <c r="AA883" s="17"/>
      <c r="AB883" s="17"/>
      <c r="AC883" s="17"/>
      <c r="AD883" s="17"/>
      <c r="AE883" s="17"/>
    </row>
    <row r="884" ht="16.5" customHeight="1">
      <c r="A884" s="72"/>
      <c r="B884" s="12"/>
      <c r="C884" s="12"/>
      <c r="D884" s="12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6"/>
      <c r="W884" s="13"/>
      <c r="X884" s="13"/>
      <c r="Y884" s="13"/>
      <c r="Z884" s="13"/>
      <c r="AA884" s="17"/>
      <c r="AB884" s="17"/>
      <c r="AC884" s="17"/>
      <c r="AD884" s="17"/>
      <c r="AE884" s="17"/>
    </row>
    <row r="885">
      <c r="A885" s="72"/>
      <c r="B885" s="12"/>
      <c r="C885" s="12"/>
      <c r="D885" s="12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6"/>
      <c r="W885" s="13"/>
      <c r="X885" s="13"/>
      <c r="Y885" s="13"/>
      <c r="Z885" s="13"/>
      <c r="AA885" s="17"/>
      <c r="AB885" s="17"/>
      <c r="AC885" s="17"/>
      <c r="AD885" s="17"/>
      <c r="AE885" s="17"/>
    </row>
    <row r="886">
      <c r="A886" s="72"/>
      <c r="B886" s="12"/>
      <c r="C886" s="12"/>
      <c r="D886" s="12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6"/>
      <c r="W886" s="13"/>
      <c r="X886" s="13"/>
      <c r="Y886" s="13"/>
      <c r="Z886" s="13"/>
      <c r="AA886" s="17"/>
      <c r="AB886" s="17"/>
      <c r="AC886" s="17"/>
      <c r="AD886" s="17"/>
      <c r="AE886" s="17"/>
    </row>
    <row r="887">
      <c r="A887" s="72"/>
      <c r="B887" s="12"/>
      <c r="C887" s="12"/>
      <c r="D887" s="12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6"/>
      <c r="W887" s="13"/>
      <c r="X887" s="13"/>
      <c r="Y887" s="13"/>
      <c r="Z887" s="13"/>
      <c r="AA887" s="17"/>
      <c r="AB887" s="17"/>
      <c r="AC887" s="17"/>
      <c r="AD887" s="17"/>
      <c r="AE887" s="17"/>
    </row>
    <row r="888">
      <c r="A888" s="72"/>
      <c r="B888" s="12"/>
      <c r="C888" s="12"/>
      <c r="D888" s="12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6"/>
      <c r="W888" s="13"/>
      <c r="X888" s="13"/>
      <c r="Y888" s="13"/>
      <c r="Z888" s="13"/>
      <c r="AA888" s="17"/>
      <c r="AB888" s="17"/>
      <c r="AC888" s="17"/>
      <c r="AD888" s="17"/>
      <c r="AE888" s="17"/>
    </row>
    <row r="889">
      <c r="A889" s="72"/>
      <c r="B889" s="12"/>
      <c r="C889" s="12"/>
      <c r="D889" s="12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6"/>
      <c r="W889" s="13"/>
      <c r="X889" s="13"/>
      <c r="Y889" s="13"/>
      <c r="Z889" s="13"/>
      <c r="AA889" s="17"/>
      <c r="AB889" s="17"/>
      <c r="AC889" s="17"/>
      <c r="AD889" s="17"/>
      <c r="AE889" s="17"/>
    </row>
    <row r="890">
      <c r="A890" s="72"/>
      <c r="B890" s="12"/>
      <c r="C890" s="12"/>
      <c r="D890" s="12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6"/>
      <c r="W890" s="13"/>
      <c r="X890" s="13"/>
      <c r="Y890" s="13"/>
      <c r="Z890" s="13"/>
      <c r="AA890" s="17"/>
      <c r="AB890" s="17"/>
      <c r="AC890" s="17"/>
      <c r="AD890" s="17"/>
      <c r="AE890" s="17"/>
    </row>
    <row r="891">
      <c r="A891" s="72"/>
      <c r="B891" s="12"/>
      <c r="C891" s="12"/>
      <c r="D891" s="12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6"/>
      <c r="W891" s="13"/>
      <c r="X891" s="13"/>
      <c r="Y891" s="13"/>
      <c r="Z891" s="13"/>
      <c r="AA891" s="17"/>
      <c r="AB891" s="17"/>
      <c r="AC891" s="17"/>
      <c r="AD891" s="17"/>
      <c r="AE891" s="17"/>
    </row>
    <row r="892">
      <c r="A892" s="72"/>
      <c r="B892" s="12"/>
      <c r="C892" s="12"/>
      <c r="D892" s="12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6"/>
      <c r="W892" s="13"/>
      <c r="X892" s="13"/>
      <c r="Y892" s="13"/>
      <c r="Z892" s="13"/>
      <c r="AA892" s="17"/>
      <c r="AB892" s="17"/>
      <c r="AC892" s="17"/>
      <c r="AD892" s="17"/>
      <c r="AE892" s="17"/>
    </row>
    <row r="893">
      <c r="A893" s="72"/>
      <c r="B893" s="12"/>
      <c r="C893" s="12"/>
      <c r="D893" s="12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6"/>
      <c r="W893" s="13"/>
      <c r="X893" s="13"/>
      <c r="Y893" s="13"/>
      <c r="Z893" s="13"/>
      <c r="AA893" s="17"/>
      <c r="AB893" s="17"/>
      <c r="AC893" s="17"/>
      <c r="AD893" s="17"/>
      <c r="AE893" s="17"/>
    </row>
    <row r="894">
      <c r="A894" s="72"/>
      <c r="B894" s="12"/>
      <c r="C894" s="12"/>
      <c r="D894" s="12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6"/>
      <c r="W894" s="13"/>
      <c r="X894" s="13"/>
      <c r="Y894" s="13"/>
      <c r="Z894" s="13"/>
      <c r="AA894" s="17"/>
      <c r="AB894" s="17"/>
      <c r="AC894" s="17"/>
      <c r="AD894" s="17"/>
      <c r="AE894" s="17"/>
    </row>
    <row r="895">
      <c r="A895" s="72"/>
      <c r="B895" s="12"/>
      <c r="C895" s="12"/>
      <c r="D895" s="12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6"/>
      <c r="W895" s="13"/>
      <c r="X895" s="13"/>
      <c r="Y895" s="13"/>
      <c r="Z895" s="13"/>
      <c r="AA895" s="17"/>
      <c r="AB895" s="17"/>
      <c r="AC895" s="17"/>
      <c r="AD895" s="17"/>
      <c r="AE895" s="17"/>
    </row>
    <row r="896">
      <c r="A896" s="72"/>
      <c r="B896" s="12"/>
      <c r="C896" s="12"/>
      <c r="D896" s="12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6"/>
      <c r="W896" s="13"/>
      <c r="X896" s="13"/>
      <c r="Y896" s="13"/>
      <c r="Z896" s="13"/>
      <c r="AA896" s="17"/>
      <c r="AB896" s="17"/>
      <c r="AC896" s="17"/>
      <c r="AD896" s="17"/>
      <c r="AE896" s="17"/>
    </row>
    <row r="897">
      <c r="A897" s="72"/>
      <c r="B897" s="12"/>
      <c r="C897" s="12"/>
      <c r="D897" s="12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6"/>
      <c r="W897" s="13"/>
      <c r="X897" s="13"/>
      <c r="Y897" s="13"/>
      <c r="Z897" s="13"/>
      <c r="AA897" s="17"/>
      <c r="AB897" s="17"/>
      <c r="AC897" s="17"/>
      <c r="AD897" s="17"/>
      <c r="AE897" s="17"/>
    </row>
    <row r="898">
      <c r="A898" s="72"/>
      <c r="B898" s="12"/>
      <c r="C898" s="12"/>
      <c r="D898" s="12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6"/>
      <c r="W898" s="13"/>
      <c r="X898" s="13"/>
      <c r="Y898" s="13"/>
      <c r="Z898" s="13"/>
      <c r="AA898" s="17"/>
      <c r="AB898" s="17"/>
      <c r="AC898" s="17"/>
      <c r="AD898" s="17"/>
      <c r="AE898" s="17"/>
    </row>
    <row r="899">
      <c r="A899" s="72"/>
      <c r="B899" s="12"/>
      <c r="C899" s="12"/>
      <c r="D899" s="12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6"/>
      <c r="W899" s="13"/>
      <c r="X899" s="13"/>
      <c r="Y899" s="13"/>
      <c r="Z899" s="13"/>
      <c r="AA899" s="17"/>
      <c r="AB899" s="17"/>
      <c r="AC899" s="17"/>
      <c r="AD899" s="17"/>
      <c r="AE899" s="17"/>
    </row>
    <row r="900">
      <c r="A900" s="72"/>
      <c r="B900" s="12"/>
      <c r="C900" s="12"/>
      <c r="D900" s="12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6"/>
      <c r="W900" s="13"/>
      <c r="X900" s="13"/>
      <c r="Y900" s="13"/>
      <c r="Z900" s="13"/>
      <c r="AA900" s="17"/>
      <c r="AB900" s="17"/>
      <c r="AC900" s="17"/>
      <c r="AD900" s="17"/>
      <c r="AE900" s="17"/>
    </row>
    <row r="901">
      <c r="A901" s="72"/>
      <c r="B901" s="12"/>
      <c r="C901" s="12"/>
      <c r="D901" s="12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6"/>
      <c r="W901" s="13"/>
      <c r="X901" s="13"/>
      <c r="Y901" s="13"/>
      <c r="Z901" s="13"/>
      <c r="AA901" s="17"/>
      <c r="AB901" s="17"/>
      <c r="AC901" s="17"/>
      <c r="AD901" s="17"/>
      <c r="AE901" s="17"/>
    </row>
    <row r="902">
      <c r="A902" s="72"/>
      <c r="B902" s="12"/>
      <c r="C902" s="12"/>
      <c r="D902" s="12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6"/>
      <c r="W902" s="13"/>
      <c r="X902" s="13"/>
      <c r="Y902" s="13"/>
      <c r="Z902" s="13"/>
      <c r="AA902" s="17"/>
      <c r="AB902" s="17"/>
      <c r="AC902" s="17"/>
      <c r="AD902" s="17"/>
      <c r="AE902" s="17"/>
    </row>
    <row r="903">
      <c r="A903" s="72"/>
      <c r="B903" s="12"/>
      <c r="C903" s="12"/>
      <c r="D903" s="12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6"/>
      <c r="W903" s="13"/>
      <c r="X903" s="13"/>
      <c r="Y903" s="13"/>
      <c r="Z903" s="13"/>
      <c r="AA903" s="17"/>
      <c r="AB903" s="17"/>
      <c r="AC903" s="17"/>
      <c r="AD903" s="17"/>
      <c r="AE903" s="17"/>
    </row>
    <row r="904">
      <c r="A904" s="72"/>
      <c r="B904" s="12"/>
      <c r="C904" s="12"/>
      <c r="D904" s="12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6"/>
      <c r="W904" s="13"/>
      <c r="X904" s="13"/>
      <c r="Y904" s="13"/>
      <c r="Z904" s="13"/>
      <c r="AA904" s="17"/>
      <c r="AB904" s="17"/>
      <c r="AC904" s="17"/>
      <c r="AD904" s="17"/>
      <c r="AE904" s="17"/>
    </row>
    <row r="905">
      <c r="A905" s="72"/>
      <c r="B905" s="12"/>
      <c r="C905" s="12"/>
      <c r="D905" s="12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6"/>
      <c r="W905" s="13"/>
      <c r="X905" s="13"/>
      <c r="Y905" s="13"/>
      <c r="Z905" s="13"/>
      <c r="AA905" s="17"/>
      <c r="AB905" s="17"/>
      <c r="AC905" s="17"/>
      <c r="AD905" s="17"/>
      <c r="AE905" s="17"/>
    </row>
    <row r="906">
      <c r="A906" s="72"/>
      <c r="B906" s="12"/>
      <c r="C906" s="12"/>
      <c r="D906" s="12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6"/>
      <c r="W906" s="13"/>
      <c r="X906" s="13"/>
      <c r="Y906" s="13"/>
      <c r="Z906" s="13"/>
      <c r="AA906" s="17"/>
      <c r="AB906" s="17"/>
      <c r="AC906" s="17"/>
      <c r="AD906" s="17"/>
      <c r="AE906" s="17"/>
    </row>
    <row r="907">
      <c r="A907" s="72"/>
      <c r="B907" s="12"/>
      <c r="C907" s="12"/>
      <c r="D907" s="12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6"/>
      <c r="W907" s="13"/>
      <c r="X907" s="13"/>
      <c r="Y907" s="13"/>
      <c r="Z907" s="13"/>
      <c r="AA907" s="17"/>
      <c r="AB907" s="17"/>
      <c r="AC907" s="17"/>
      <c r="AD907" s="17"/>
      <c r="AE907" s="17"/>
    </row>
    <row r="908">
      <c r="A908" s="72"/>
      <c r="B908" s="12"/>
      <c r="C908" s="12"/>
      <c r="D908" s="12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6"/>
      <c r="W908" s="13"/>
      <c r="X908" s="13"/>
      <c r="Y908" s="13"/>
      <c r="Z908" s="13"/>
      <c r="AA908" s="17"/>
      <c r="AB908" s="17"/>
      <c r="AC908" s="17"/>
      <c r="AD908" s="17"/>
      <c r="AE908" s="17"/>
    </row>
    <row r="909">
      <c r="A909" s="72"/>
      <c r="B909" s="12"/>
      <c r="C909" s="12"/>
      <c r="D909" s="12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6"/>
      <c r="W909" s="13"/>
      <c r="X909" s="13"/>
      <c r="Y909" s="13"/>
      <c r="Z909" s="13"/>
      <c r="AA909" s="17"/>
      <c r="AB909" s="17"/>
      <c r="AC909" s="17"/>
      <c r="AD909" s="17"/>
      <c r="AE909" s="17"/>
    </row>
    <row r="910">
      <c r="A910" s="72"/>
      <c r="B910" s="12"/>
      <c r="C910" s="12"/>
      <c r="D910" s="12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6"/>
      <c r="W910" s="13"/>
      <c r="X910" s="13"/>
      <c r="Y910" s="13"/>
      <c r="Z910" s="13"/>
      <c r="AA910" s="17"/>
      <c r="AB910" s="17"/>
      <c r="AC910" s="17"/>
      <c r="AD910" s="17"/>
      <c r="AE910" s="17"/>
    </row>
    <row r="911">
      <c r="A911" s="72"/>
      <c r="B911" s="12"/>
      <c r="C911" s="12"/>
      <c r="D911" s="12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6"/>
      <c r="W911" s="13"/>
      <c r="X911" s="13"/>
      <c r="Y911" s="13"/>
      <c r="Z911" s="13"/>
      <c r="AA911" s="17"/>
      <c r="AB911" s="17"/>
      <c r="AC911" s="17"/>
      <c r="AD911" s="17"/>
      <c r="AE911" s="17"/>
    </row>
    <row r="912">
      <c r="A912" s="72"/>
      <c r="B912" s="12"/>
      <c r="C912" s="12"/>
      <c r="D912" s="12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6"/>
      <c r="W912" s="13"/>
      <c r="X912" s="13"/>
      <c r="Y912" s="13"/>
      <c r="Z912" s="13"/>
      <c r="AA912" s="17"/>
      <c r="AB912" s="17"/>
      <c r="AC912" s="17"/>
      <c r="AD912" s="17"/>
      <c r="AE912" s="17"/>
    </row>
    <row r="913">
      <c r="A913" s="72"/>
      <c r="B913" s="12"/>
      <c r="C913" s="12"/>
      <c r="D913" s="12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6"/>
      <c r="W913" s="13"/>
      <c r="X913" s="13"/>
      <c r="Y913" s="13"/>
      <c r="Z913" s="13"/>
      <c r="AA913" s="17"/>
      <c r="AB913" s="17"/>
      <c r="AC913" s="17"/>
      <c r="AD913" s="17"/>
      <c r="AE913" s="17"/>
    </row>
    <row r="914">
      <c r="A914" s="72"/>
      <c r="B914" s="12"/>
      <c r="C914" s="12"/>
      <c r="D914" s="12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6"/>
      <c r="W914" s="13"/>
      <c r="X914" s="13"/>
      <c r="Y914" s="13"/>
      <c r="Z914" s="13"/>
      <c r="AA914" s="17"/>
      <c r="AB914" s="17"/>
      <c r="AC914" s="17"/>
      <c r="AD914" s="17"/>
      <c r="AE914" s="17"/>
    </row>
    <row r="915">
      <c r="A915" s="72"/>
      <c r="B915" s="12"/>
      <c r="C915" s="12"/>
      <c r="D915" s="12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6"/>
      <c r="W915" s="13"/>
      <c r="X915" s="13"/>
      <c r="Y915" s="13"/>
      <c r="Z915" s="13"/>
      <c r="AA915" s="17"/>
      <c r="AB915" s="17"/>
      <c r="AC915" s="17"/>
      <c r="AD915" s="17"/>
      <c r="AE915" s="17"/>
    </row>
    <row r="916">
      <c r="A916" s="72"/>
      <c r="B916" s="12"/>
      <c r="C916" s="12"/>
      <c r="D916" s="12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6"/>
      <c r="W916" s="13"/>
      <c r="X916" s="13"/>
      <c r="Y916" s="13"/>
      <c r="Z916" s="13"/>
      <c r="AA916" s="17"/>
      <c r="AB916" s="17"/>
      <c r="AC916" s="17"/>
      <c r="AD916" s="17"/>
      <c r="AE916" s="17"/>
    </row>
    <row r="917">
      <c r="A917" s="72"/>
      <c r="B917" s="12"/>
      <c r="C917" s="12"/>
      <c r="D917" s="12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6"/>
      <c r="W917" s="13"/>
      <c r="X917" s="13"/>
      <c r="Y917" s="13"/>
      <c r="Z917" s="13"/>
      <c r="AA917" s="17"/>
      <c r="AB917" s="17"/>
      <c r="AC917" s="17"/>
      <c r="AD917" s="17"/>
      <c r="AE917" s="17"/>
    </row>
    <row r="918">
      <c r="A918" s="72"/>
      <c r="B918" s="12"/>
      <c r="C918" s="12"/>
      <c r="D918" s="12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6"/>
      <c r="W918" s="13"/>
      <c r="X918" s="13"/>
      <c r="Y918" s="13"/>
      <c r="Z918" s="13"/>
      <c r="AA918" s="17"/>
      <c r="AB918" s="17"/>
      <c r="AC918" s="17"/>
      <c r="AD918" s="17"/>
      <c r="AE918" s="17"/>
    </row>
    <row r="919">
      <c r="A919" s="72"/>
      <c r="B919" s="12"/>
      <c r="C919" s="12"/>
      <c r="D919" s="12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6"/>
      <c r="W919" s="13"/>
      <c r="X919" s="13"/>
      <c r="Y919" s="13"/>
      <c r="Z919" s="13"/>
      <c r="AA919" s="17"/>
      <c r="AB919" s="17"/>
      <c r="AC919" s="17"/>
      <c r="AD919" s="17"/>
      <c r="AE919" s="17"/>
    </row>
    <row r="920">
      <c r="A920" s="72"/>
      <c r="B920" s="12"/>
      <c r="C920" s="12"/>
      <c r="D920" s="12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6"/>
      <c r="W920" s="13"/>
      <c r="X920" s="13"/>
      <c r="Y920" s="13"/>
      <c r="Z920" s="13"/>
      <c r="AA920" s="17"/>
      <c r="AB920" s="17"/>
      <c r="AC920" s="17"/>
      <c r="AD920" s="17"/>
      <c r="AE920" s="17"/>
    </row>
    <row r="921">
      <c r="A921" s="72"/>
      <c r="B921" s="12"/>
      <c r="C921" s="12"/>
      <c r="D921" s="12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6"/>
      <c r="W921" s="13"/>
      <c r="X921" s="13"/>
      <c r="Y921" s="13"/>
      <c r="Z921" s="13"/>
      <c r="AA921" s="17"/>
      <c r="AB921" s="17"/>
      <c r="AC921" s="17"/>
      <c r="AD921" s="17"/>
      <c r="AE921" s="17"/>
    </row>
    <row r="922">
      <c r="A922" s="72"/>
      <c r="B922" s="12"/>
      <c r="C922" s="12"/>
      <c r="D922" s="12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6"/>
      <c r="W922" s="13"/>
      <c r="X922" s="13"/>
      <c r="Y922" s="13"/>
      <c r="Z922" s="13"/>
      <c r="AA922" s="17"/>
      <c r="AB922" s="17"/>
      <c r="AC922" s="17"/>
      <c r="AD922" s="17"/>
      <c r="AE922" s="17"/>
    </row>
    <row r="923">
      <c r="A923" s="72"/>
      <c r="B923" s="12"/>
      <c r="C923" s="12"/>
      <c r="D923" s="12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6"/>
      <c r="W923" s="13"/>
      <c r="X923" s="13"/>
      <c r="Y923" s="13"/>
      <c r="Z923" s="13"/>
      <c r="AA923" s="17"/>
      <c r="AB923" s="17"/>
      <c r="AC923" s="17"/>
      <c r="AD923" s="17"/>
      <c r="AE923" s="17"/>
    </row>
    <row r="924">
      <c r="A924" s="72"/>
      <c r="B924" s="12"/>
      <c r="C924" s="12"/>
      <c r="D924" s="12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6"/>
      <c r="W924" s="13"/>
      <c r="X924" s="13"/>
      <c r="Y924" s="13"/>
      <c r="Z924" s="13"/>
      <c r="AA924" s="17"/>
      <c r="AB924" s="17"/>
      <c r="AC924" s="17"/>
      <c r="AD924" s="17"/>
      <c r="AE924" s="17"/>
    </row>
    <row r="925">
      <c r="A925" s="72"/>
      <c r="B925" s="12"/>
      <c r="C925" s="12"/>
      <c r="D925" s="12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6"/>
      <c r="W925" s="13"/>
      <c r="X925" s="13"/>
      <c r="Y925" s="13"/>
      <c r="Z925" s="13"/>
      <c r="AA925" s="17"/>
      <c r="AB925" s="17"/>
      <c r="AC925" s="17"/>
      <c r="AD925" s="17"/>
      <c r="AE925" s="17"/>
    </row>
    <row r="926">
      <c r="A926" s="72"/>
      <c r="B926" s="12"/>
      <c r="C926" s="12"/>
      <c r="D926" s="12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6"/>
      <c r="W926" s="13"/>
      <c r="X926" s="13"/>
      <c r="Y926" s="13"/>
      <c r="Z926" s="13"/>
      <c r="AA926" s="17"/>
      <c r="AB926" s="17"/>
      <c r="AC926" s="17"/>
      <c r="AD926" s="17"/>
      <c r="AE926" s="17"/>
    </row>
    <row r="927">
      <c r="A927" s="72"/>
      <c r="B927" s="12"/>
      <c r="C927" s="12"/>
      <c r="D927" s="12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6"/>
      <c r="W927" s="13"/>
      <c r="X927" s="13"/>
      <c r="Y927" s="13"/>
      <c r="Z927" s="13"/>
      <c r="AA927" s="17"/>
      <c r="AB927" s="17"/>
      <c r="AC927" s="17"/>
      <c r="AD927" s="17"/>
      <c r="AE927" s="17"/>
    </row>
    <row r="928">
      <c r="A928" s="72"/>
      <c r="B928" s="12"/>
      <c r="C928" s="12"/>
      <c r="D928" s="12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6"/>
      <c r="W928" s="13"/>
      <c r="X928" s="13"/>
      <c r="Y928" s="13"/>
      <c r="Z928" s="13"/>
      <c r="AA928" s="17"/>
      <c r="AB928" s="17"/>
      <c r="AC928" s="17"/>
      <c r="AD928" s="17"/>
      <c r="AE928" s="17"/>
    </row>
    <row r="929">
      <c r="A929" s="72"/>
      <c r="B929" s="12"/>
      <c r="C929" s="12"/>
      <c r="D929" s="12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6"/>
      <c r="W929" s="13"/>
      <c r="X929" s="13"/>
      <c r="Y929" s="13"/>
      <c r="Z929" s="13"/>
      <c r="AA929" s="17"/>
      <c r="AB929" s="17"/>
      <c r="AC929" s="17"/>
      <c r="AD929" s="17"/>
      <c r="AE929" s="17"/>
    </row>
    <row r="930">
      <c r="A930" s="72"/>
      <c r="B930" s="12"/>
      <c r="C930" s="12"/>
      <c r="D930" s="12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6"/>
      <c r="W930" s="13"/>
      <c r="X930" s="13"/>
      <c r="Y930" s="13"/>
      <c r="Z930" s="13"/>
      <c r="AA930" s="17"/>
      <c r="AB930" s="17"/>
      <c r="AC930" s="17"/>
      <c r="AD930" s="17"/>
      <c r="AE930" s="17"/>
    </row>
    <row r="931">
      <c r="A931" s="72"/>
      <c r="B931" s="12"/>
      <c r="C931" s="12"/>
      <c r="D931" s="12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6"/>
      <c r="W931" s="13"/>
      <c r="X931" s="13"/>
      <c r="Y931" s="13"/>
      <c r="Z931" s="13"/>
      <c r="AA931" s="17"/>
      <c r="AB931" s="17"/>
      <c r="AC931" s="17"/>
      <c r="AD931" s="17"/>
      <c r="AE931" s="17"/>
    </row>
    <row r="932">
      <c r="A932" s="72"/>
      <c r="B932" s="12"/>
      <c r="C932" s="12"/>
      <c r="D932" s="12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6"/>
      <c r="W932" s="13"/>
      <c r="X932" s="13"/>
      <c r="Y932" s="13"/>
      <c r="Z932" s="13"/>
      <c r="AA932" s="17"/>
      <c r="AB932" s="17"/>
      <c r="AC932" s="17"/>
      <c r="AD932" s="17"/>
      <c r="AE932" s="17"/>
    </row>
    <row r="933">
      <c r="A933" s="72"/>
      <c r="B933" s="12"/>
      <c r="C933" s="12"/>
      <c r="D933" s="12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6"/>
      <c r="W933" s="13"/>
      <c r="X933" s="13"/>
      <c r="Y933" s="13"/>
      <c r="Z933" s="13"/>
      <c r="AA933" s="17"/>
      <c r="AB933" s="17"/>
      <c r="AC933" s="17"/>
      <c r="AD933" s="17"/>
      <c r="AE933" s="17"/>
    </row>
    <row r="934">
      <c r="A934" s="72"/>
      <c r="B934" s="12"/>
      <c r="C934" s="12"/>
      <c r="D934" s="12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6"/>
      <c r="W934" s="13"/>
      <c r="X934" s="13"/>
      <c r="Y934" s="13"/>
      <c r="Z934" s="13"/>
      <c r="AA934" s="17"/>
      <c r="AB934" s="17"/>
      <c r="AC934" s="17"/>
      <c r="AD934" s="17"/>
      <c r="AE934" s="17"/>
    </row>
    <row r="935">
      <c r="A935" s="72"/>
      <c r="B935" s="12"/>
      <c r="C935" s="12"/>
      <c r="D935" s="12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6"/>
      <c r="W935" s="13"/>
      <c r="X935" s="13"/>
      <c r="Y935" s="13"/>
      <c r="Z935" s="13"/>
      <c r="AA935" s="17"/>
      <c r="AB935" s="17"/>
      <c r="AC935" s="17"/>
      <c r="AD935" s="17"/>
      <c r="AE935" s="17"/>
    </row>
    <row r="936">
      <c r="A936" s="72"/>
      <c r="B936" s="12"/>
      <c r="C936" s="12"/>
      <c r="D936" s="12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6"/>
      <c r="W936" s="13"/>
      <c r="X936" s="13"/>
      <c r="Y936" s="13"/>
      <c r="Z936" s="13"/>
      <c r="AA936" s="17"/>
      <c r="AB936" s="17"/>
      <c r="AC936" s="17"/>
      <c r="AD936" s="17"/>
      <c r="AE936" s="17"/>
    </row>
    <row r="937">
      <c r="A937" s="72"/>
      <c r="B937" s="12"/>
      <c r="C937" s="12"/>
      <c r="D937" s="12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6"/>
      <c r="W937" s="13"/>
      <c r="X937" s="13"/>
      <c r="Y937" s="13"/>
      <c r="Z937" s="13"/>
      <c r="AA937" s="17"/>
      <c r="AB937" s="17"/>
      <c r="AC937" s="17"/>
      <c r="AD937" s="17"/>
      <c r="AE937" s="17"/>
    </row>
    <row r="938">
      <c r="A938" s="72"/>
      <c r="B938" s="12"/>
      <c r="C938" s="12"/>
      <c r="D938" s="12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6"/>
      <c r="W938" s="13"/>
      <c r="X938" s="13"/>
      <c r="Y938" s="13"/>
      <c r="Z938" s="13"/>
      <c r="AA938" s="17"/>
      <c r="AB938" s="17"/>
      <c r="AC938" s="17"/>
      <c r="AD938" s="17"/>
      <c r="AE938" s="17"/>
    </row>
    <row r="939">
      <c r="A939" s="72"/>
      <c r="B939" s="12"/>
      <c r="C939" s="12"/>
      <c r="D939" s="12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6"/>
      <c r="W939" s="13"/>
      <c r="X939" s="13"/>
      <c r="Y939" s="13"/>
      <c r="Z939" s="13"/>
      <c r="AA939" s="17"/>
      <c r="AB939" s="17"/>
      <c r="AC939" s="17"/>
      <c r="AD939" s="17"/>
      <c r="AE939" s="17"/>
    </row>
    <row r="940">
      <c r="A940" s="72"/>
      <c r="B940" s="12"/>
      <c r="C940" s="12"/>
      <c r="D940" s="12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6"/>
      <c r="W940" s="13"/>
      <c r="X940" s="13"/>
      <c r="Y940" s="13"/>
      <c r="Z940" s="13"/>
      <c r="AA940" s="17"/>
      <c r="AB940" s="17"/>
      <c r="AC940" s="17"/>
      <c r="AD940" s="17"/>
      <c r="AE940" s="17"/>
    </row>
    <row r="941">
      <c r="A941" s="72"/>
      <c r="B941" s="12"/>
      <c r="C941" s="12"/>
      <c r="D941" s="12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6"/>
      <c r="W941" s="13"/>
      <c r="X941" s="13"/>
      <c r="Y941" s="13"/>
      <c r="Z941" s="13"/>
      <c r="AA941" s="17"/>
      <c r="AB941" s="17"/>
      <c r="AC941" s="17"/>
      <c r="AD941" s="17"/>
      <c r="AE941" s="17"/>
    </row>
    <row r="942">
      <c r="A942" s="72"/>
      <c r="B942" s="12"/>
      <c r="C942" s="12"/>
      <c r="D942" s="12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6"/>
      <c r="W942" s="13"/>
      <c r="X942" s="13"/>
      <c r="Y942" s="13"/>
      <c r="Z942" s="13"/>
      <c r="AA942" s="17"/>
      <c r="AB942" s="17"/>
      <c r="AC942" s="17"/>
      <c r="AD942" s="17"/>
      <c r="AE942" s="17"/>
    </row>
    <row r="943">
      <c r="A943" s="72"/>
      <c r="B943" s="12"/>
      <c r="C943" s="12"/>
      <c r="D943" s="12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6"/>
      <c r="W943" s="13"/>
      <c r="X943" s="13"/>
      <c r="Y943" s="13"/>
      <c r="Z943" s="13"/>
      <c r="AA943" s="17"/>
      <c r="AB943" s="17"/>
      <c r="AC943" s="17"/>
      <c r="AD943" s="17"/>
      <c r="AE943" s="17"/>
    </row>
    <row r="944">
      <c r="A944" s="72"/>
      <c r="B944" s="12"/>
      <c r="C944" s="12"/>
      <c r="D944" s="12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6"/>
      <c r="W944" s="13"/>
      <c r="X944" s="13"/>
      <c r="Y944" s="13"/>
      <c r="Z944" s="13"/>
      <c r="AA944" s="17"/>
      <c r="AB944" s="17"/>
      <c r="AC944" s="17"/>
      <c r="AD944" s="17"/>
      <c r="AE944" s="17"/>
    </row>
    <row r="945">
      <c r="A945" s="72"/>
      <c r="B945" s="12"/>
      <c r="C945" s="12"/>
      <c r="D945" s="12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6"/>
      <c r="W945" s="13"/>
      <c r="X945" s="13"/>
      <c r="Y945" s="13"/>
      <c r="Z945" s="13"/>
      <c r="AA945" s="17"/>
      <c r="AB945" s="17"/>
      <c r="AC945" s="17"/>
      <c r="AD945" s="17"/>
      <c r="AE945" s="17"/>
    </row>
    <row r="946">
      <c r="A946" s="72"/>
      <c r="B946" s="12"/>
      <c r="C946" s="12"/>
      <c r="D946" s="12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6"/>
      <c r="W946" s="13"/>
      <c r="X946" s="13"/>
      <c r="Y946" s="13"/>
      <c r="Z946" s="13"/>
      <c r="AA946" s="17"/>
      <c r="AB946" s="17"/>
      <c r="AC946" s="17"/>
      <c r="AD946" s="17"/>
      <c r="AE946" s="17"/>
    </row>
    <row r="947">
      <c r="A947" s="72"/>
      <c r="B947" s="12"/>
      <c r="C947" s="12"/>
      <c r="D947" s="12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6"/>
      <c r="W947" s="13"/>
      <c r="X947" s="13"/>
      <c r="Y947" s="13"/>
      <c r="Z947" s="13"/>
      <c r="AA947" s="17"/>
      <c r="AB947" s="17"/>
      <c r="AC947" s="17"/>
      <c r="AD947" s="17"/>
      <c r="AE947" s="17"/>
    </row>
    <row r="948">
      <c r="A948" s="72"/>
      <c r="B948" s="12"/>
      <c r="C948" s="12"/>
      <c r="D948" s="12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6"/>
      <c r="W948" s="13"/>
      <c r="X948" s="13"/>
      <c r="Y948" s="13"/>
      <c r="Z948" s="13"/>
      <c r="AA948" s="17"/>
      <c r="AB948" s="17"/>
      <c r="AC948" s="17"/>
      <c r="AD948" s="17"/>
      <c r="AE948" s="17"/>
    </row>
    <row r="949">
      <c r="A949" s="72"/>
      <c r="B949" s="12"/>
      <c r="C949" s="12"/>
      <c r="D949" s="12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6"/>
      <c r="W949" s="13"/>
      <c r="X949" s="13"/>
      <c r="Y949" s="13"/>
      <c r="Z949" s="13"/>
      <c r="AA949" s="17"/>
      <c r="AB949" s="17"/>
      <c r="AC949" s="17"/>
      <c r="AD949" s="17"/>
      <c r="AE949" s="17"/>
    </row>
    <row r="950">
      <c r="A950" s="72"/>
      <c r="B950" s="12"/>
      <c r="C950" s="12"/>
      <c r="D950" s="12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6"/>
      <c r="W950" s="13"/>
      <c r="X950" s="13"/>
      <c r="Y950" s="13"/>
      <c r="Z950" s="13"/>
      <c r="AA950" s="17"/>
      <c r="AB950" s="17"/>
      <c r="AC950" s="17"/>
      <c r="AD950" s="17"/>
      <c r="AE950" s="17"/>
    </row>
    <row r="951">
      <c r="A951" s="72"/>
      <c r="B951" s="12"/>
      <c r="C951" s="12"/>
      <c r="D951" s="12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6"/>
      <c r="W951" s="13"/>
      <c r="X951" s="13"/>
      <c r="Y951" s="13"/>
      <c r="Z951" s="13"/>
      <c r="AA951" s="17"/>
      <c r="AB951" s="17"/>
      <c r="AC951" s="17"/>
      <c r="AD951" s="17"/>
      <c r="AE951" s="17"/>
    </row>
    <row r="952">
      <c r="A952" s="72"/>
      <c r="B952" s="12"/>
      <c r="C952" s="12"/>
      <c r="D952" s="12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6"/>
      <c r="W952" s="13"/>
      <c r="X952" s="13"/>
      <c r="Y952" s="13"/>
      <c r="Z952" s="13"/>
      <c r="AA952" s="17"/>
      <c r="AB952" s="17"/>
      <c r="AC952" s="17"/>
      <c r="AD952" s="17"/>
      <c r="AE952" s="17"/>
    </row>
    <row r="953">
      <c r="A953" s="72"/>
      <c r="B953" s="12"/>
      <c r="C953" s="12"/>
      <c r="D953" s="12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6"/>
      <c r="W953" s="13"/>
      <c r="X953" s="13"/>
      <c r="Y953" s="13"/>
      <c r="Z953" s="13"/>
      <c r="AA953" s="17"/>
      <c r="AB953" s="17"/>
      <c r="AC953" s="17"/>
      <c r="AD953" s="17"/>
      <c r="AE953" s="17"/>
    </row>
    <row r="954">
      <c r="A954" s="72"/>
      <c r="B954" s="12"/>
      <c r="C954" s="12"/>
      <c r="D954" s="12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6"/>
      <c r="W954" s="13"/>
      <c r="X954" s="13"/>
      <c r="Y954" s="13"/>
      <c r="Z954" s="13"/>
      <c r="AA954" s="17"/>
      <c r="AB954" s="17"/>
      <c r="AC954" s="17"/>
      <c r="AD954" s="17"/>
      <c r="AE954" s="17"/>
    </row>
    <row r="955">
      <c r="A955" s="72"/>
      <c r="B955" s="12"/>
      <c r="C955" s="12"/>
      <c r="D955" s="12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6"/>
      <c r="W955" s="13"/>
      <c r="X955" s="13"/>
      <c r="Y955" s="13"/>
      <c r="Z955" s="13"/>
      <c r="AA955" s="17"/>
      <c r="AB955" s="17"/>
      <c r="AC955" s="17"/>
      <c r="AD955" s="17"/>
      <c r="AE955" s="17"/>
    </row>
    <row r="956">
      <c r="A956" s="72"/>
      <c r="B956" s="12"/>
      <c r="C956" s="12"/>
      <c r="D956" s="12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6"/>
      <c r="W956" s="13"/>
      <c r="X956" s="13"/>
      <c r="Y956" s="13"/>
      <c r="Z956" s="13"/>
      <c r="AA956" s="17"/>
      <c r="AB956" s="17"/>
      <c r="AC956" s="17"/>
      <c r="AD956" s="17"/>
      <c r="AE956" s="17"/>
    </row>
    <row r="957">
      <c r="A957" s="72"/>
      <c r="B957" s="12"/>
      <c r="C957" s="12"/>
      <c r="D957" s="12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6"/>
      <c r="W957" s="13"/>
      <c r="X957" s="13"/>
      <c r="Y957" s="13"/>
      <c r="Z957" s="13"/>
      <c r="AA957" s="17"/>
      <c r="AB957" s="17"/>
      <c r="AC957" s="17"/>
      <c r="AD957" s="17"/>
      <c r="AE957" s="17"/>
    </row>
    <row r="958">
      <c r="A958" s="72"/>
      <c r="B958" s="12"/>
      <c r="C958" s="12"/>
      <c r="D958" s="12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6"/>
      <c r="W958" s="13"/>
      <c r="X958" s="13"/>
      <c r="Y958" s="13"/>
      <c r="Z958" s="13"/>
      <c r="AA958" s="17"/>
      <c r="AB958" s="17"/>
      <c r="AC958" s="17"/>
      <c r="AD958" s="17"/>
      <c r="AE958" s="17"/>
    </row>
    <row r="959">
      <c r="A959" s="72"/>
      <c r="B959" s="12"/>
      <c r="C959" s="12"/>
      <c r="D959" s="12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6"/>
      <c r="W959" s="13"/>
      <c r="X959" s="13"/>
      <c r="Y959" s="13"/>
      <c r="Z959" s="13"/>
      <c r="AA959" s="17"/>
      <c r="AB959" s="17"/>
      <c r="AC959" s="17"/>
      <c r="AD959" s="17"/>
      <c r="AE959" s="17"/>
    </row>
    <row r="960">
      <c r="A960" s="72"/>
      <c r="B960" s="12"/>
      <c r="C960" s="12"/>
      <c r="D960" s="12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6"/>
      <c r="W960" s="13"/>
      <c r="X960" s="13"/>
      <c r="Y960" s="13"/>
      <c r="Z960" s="13"/>
      <c r="AA960" s="17"/>
      <c r="AB960" s="17"/>
      <c r="AC960" s="17"/>
      <c r="AD960" s="17"/>
      <c r="AE960" s="17"/>
    </row>
    <row r="961">
      <c r="A961" s="72"/>
      <c r="B961" s="12"/>
      <c r="C961" s="12"/>
      <c r="D961" s="12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6"/>
      <c r="W961" s="13"/>
      <c r="X961" s="13"/>
      <c r="Y961" s="13"/>
      <c r="Z961" s="13"/>
      <c r="AA961" s="17"/>
      <c r="AB961" s="17"/>
      <c r="AC961" s="17"/>
      <c r="AD961" s="17"/>
      <c r="AE961" s="17"/>
    </row>
    <row r="962">
      <c r="A962" s="72"/>
      <c r="B962" s="12"/>
      <c r="C962" s="12"/>
      <c r="D962" s="12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6"/>
      <c r="W962" s="13"/>
      <c r="X962" s="13"/>
      <c r="Y962" s="13"/>
      <c r="Z962" s="13"/>
      <c r="AA962" s="17"/>
      <c r="AB962" s="17"/>
      <c r="AC962" s="17"/>
      <c r="AD962" s="17"/>
      <c r="AE962" s="17"/>
    </row>
    <row r="963">
      <c r="A963" s="72"/>
      <c r="B963" s="12"/>
      <c r="C963" s="12"/>
      <c r="D963" s="12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6"/>
      <c r="W963" s="13"/>
      <c r="X963" s="13"/>
      <c r="Y963" s="13"/>
      <c r="Z963" s="13"/>
      <c r="AA963" s="17"/>
      <c r="AB963" s="17"/>
      <c r="AC963" s="17"/>
      <c r="AD963" s="17"/>
      <c r="AE963" s="17"/>
    </row>
    <row r="964">
      <c r="A964" s="72"/>
      <c r="B964" s="12"/>
      <c r="C964" s="12"/>
      <c r="D964" s="12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6"/>
      <c r="W964" s="13"/>
      <c r="X964" s="13"/>
      <c r="Y964" s="13"/>
      <c r="Z964" s="13"/>
      <c r="AA964" s="17"/>
      <c r="AB964" s="17"/>
      <c r="AC964" s="17"/>
      <c r="AD964" s="17"/>
      <c r="AE964" s="17"/>
    </row>
    <row r="965">
      <c r="A965" s="72"/>
      <c r="B965" s="12"/>
      <c r="C965" s="12"/>
      <c r="D965" s="12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6"/>
      <c r="W965" s="13"/>
      <c r="X965" s="13"/>
      <c r="Y965" s="13"/>
      <c r="Z965" s="13"/>
      <c r="AA965" s="17"/>
      <c r="AB965" s="17"/>
      <c r="AC965" s="17"/>
      <c r="AD965" s="17"/>
      <c r="AE965" s="17"/>
    </row>
    <row r="966">
      <c r="A966" s="72"/>
      <c r="B966" s="12"/>
      <c r="C966" s="12"/>
      <c r="D966" s="12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6"/>
      <c r="W966" s="13"/>
      <c r="X966" s="13"/>
      <c r="Y966" s="13"/>
      <c r="Z966" s="13"/>
      <c r="AA966" s="17"/>
      <c r="AB966" s="17"/>
      <c r="AC966" s="17"/>
      <c r="AD966" s="17"/>
      <c r="AE966" s="17"/>
    </row>
    <row r="967">
      <c r="A967" s="72"/>
      <c r="B967" s="12"/>
      <c r="C967" s="12"/>
      <c r="D967" s="12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6"/>
      <c r="W967" s="13"/>
      <c r="X967" s="13"/>
      <c r="Y967" s="13"/>
      <c r="Z967" s="13"/>
      <c r="AA967" s="17"/>
      <c r="AB967" s="17"/>
      <c r="AC967" s="17"/>
      <c r="AD967" s="17"/>
      <c r="AE967" s="17"/>
    </row>
    <row r="968">
      <c r="A968" s="72"/>
      <c r="B968" s="12"/>
      <c r="C968" s="12"/>
      <c r="D968" s="12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6"/>
      <c r="W968" s="13"/>
      <c r="X968" s="13"/>
      <c r="Y968" s="13"/>
      <c r="Z968" s="13"/>
      <c r="AA968" s="17"/>
      <c r="AB968" s="17"/>
      <c r="AC968" s="17"/>
      <c r="AD968" s="17"/>
      <c r="AE968" s="17"/>
    </row>
    <row r="969">
      <c r="A969" s="72"/>
      <c r="B969" s="12"/>
      <c r="C969" s="12"/>
      <c r="D969" s="12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6"/>
      <c r="W969" s="13"/>
      <c r="X969" s="13"/>
      <c r="Y969" s="13"/>
      <c r="Z969" s="13"/>
      <c r="AA969" s="17"/>
      <c r="AB969" s="17"/>
      <c r="AC969" s="17"/>
      <c r="AD969" s="17"/>
      <c r="AE969" s="17"/>
    </row>
    <row r="970">
      <c r="A970" s="72"/>
      <c r="B970" s="12"/>
      <c r="C970" s="12"/>
      <c r="D970" s="12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6"/>
      <c r="W970" s="13"/>
      <c r="X970" s="13"/>
      <c r="Y970" s="13"/>
      <c r="Z970" s="13"/>
      <c r="AA970" s="17"/>
      <c r="AB970" s="17"/>
      <c r="AC970" s="17"/>
      <c r="AD970" s="17"/>
      <c r="AE970" s="17"/>
    </row>
    <row r="971">
      <c r="A971" s="72"/>
      <c r="B971" s="12"/>
      <c r="C971" s="12"/>
      <c r="D971" s="12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6"/>
      <c r="W971" s="13"/>
      <c r="X971" s="13"/>
      <c r="Y971" s="13"/>
      <c r="Z971" s="13"/>
      <c r="AA971" s="17"/>
      <c r="AB971" s="17"/>
      <c r="AC971" s="17"/>
      <c r="AD971" s="17"/>
      <c r="AE971" s="17"/>
    </row>
    <row r="972">
      <c r="A972" s="72"/>
      <c r="B972" s="12"/>
      <c r="C972" s="12"/>
      <c r="D972" s="12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6"/>
      <c r="W972" s="13"/>
      <c r="X972" s="13"/>
      <c r="Y972" s="13"/>
      <c r="Z972" s="13"/>
      <c r="AA972" s="17"/>
      <c r="AB972" s="17"/>
      <c r="AC972" s="17"/>
      <c r="AD972" s="17"/>
      <c r="AE972" s="17"/>
    </row>
    <row r="973">
      <c r="A973" s="72"/>
      <c r="B973" s="12"/>
      <c r="C973" s="12"/>
      <c r="D973" s="12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6"/>
      <c r="W973" s="13"/>
      <c r="X973" s="13"/>
      <c r="Y973" s="13"/>
      <c r="Z973" s="13"/>
      <c r="AA973" s="17"/>
      <c r="AB973" s="17"/>
      <c r="AC973" s="17"/>
      <c r="AD973" s="17"/>
      <c r="AE973" s="17"/>
    </row>
    <row r="974">
      <c r="A974" s="72"/>
      <c r="B974" s="12"/>
      <c r="C974" s="12"/>
      <c r="D974" s="12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6"/>
      <c r="W974" s="13"/>
      <c r="X974" s="13"/>
      <c r="Y974" s="13"/>
      <c r="Z974" s="13"/>
      <c r="AA974" s="17"/>
      <c r="AB974" s="17"/>
      <c r="AC974" s="17"/>
      <c r="AD974" s="17"/>
      <c r="AE974" s="17"/>
    </row>
    <row r="975">
      <c r="A975" s="72"/>
      <c r="B975" s="12"/>
      <c r="C975" s="12"/>
      <c r="D975" s="12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6"/>
      <c r="W975" s="13"/>
      <c r="X975" s="13"/>
      <c r="Y975" s="13"/>
      <c r="Z975" s="13"/>
      <c r="AA975" s="17"/>
      <c r="AB975" s="17"/>
      <c r="AC975" s="17"/>
      <c r="AD975" s="17"/>
      <c r="AE975" s="17"/>
    </row>
    <row r="976">
      <c r="A976" s="72"/>
      <c r="B976" s="12"/>
      <c r="C976" s="12"/>
      <c r="D976" s="12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6"/>
      <c r="W976" s="13"/>
      <c r="X976" s="13"/>
      <c r="Y976" s="13"/>
      <c r="Z976" s="13"/>
      <c r="AA976" s="17"/>
      <c r="AB976" s="17"/>
      <c r="AC976" s="17"/>
      <c r="AD976" s="17"/>
      <c r="AE976" s="17"/>
    </row>
    <row r="977">
      <c r="A977" s="72"/>
      <c r="B977" s="12"/>
      <c r="C977" s="12"/>
      <c r="D977" s="12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6"/>
      <c r="W977" s="13"/>
      <c r="X977" s="13"/>
      <c r="Y977" s="13"/>
      <c r="Z977" s="13"/>
      <c r="AA977" s="17"/>
      <c r="AB977" s="17"/>
      <c r="AC977" s="17"/>
      <c r="AD977" s="17"/>
      <c r="AE977" s="17"/>
    </row>
    <row r="978">
      <c r="A978" s="72"/>
      <c r="B978" s="12"/>
      <c r="C978" s="12"/>
      <c r="D978" s="12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6"/>
      <c r="W978" s="13"/>
      <c r="X978" s="13"/>
      <c r="Y978" s="13"/>
      <c r="Z978" s="13"/>
      <c r="AA978" s="17"/>
      <c r="AB978" s="17"/>
      <c r="AC978" s="17"/>
      <c r="AD978" s="17"/>
      <c r="AE978" s="17"/>
    </row>
    <row r="979">
      <c r="A979" s="72"/>
      <c r="B979" s="12"/>
      <c r="C979" s="12"/>
      <c r="D979" s="12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6"/>
      <c r="W979" s="13"/>
      <c r="X979" s="13"/>
      <c r="Y979" s="13"/>
      <c r="Z979" s="13"/>
      <c r="AA979" s="17"/>
      <c r="AB979" s="17"/>
      <c r="AC979" s="17"/>
      <c r="AD979" s="17"/>
      <c r="AE979" s="17"/>
    </row>
    <row r="980">
      <c r="A980" s="72"/>
      <c r="B980" s="12"/>
      <c r="C980" s="12"/>
      <c r="D980" s="12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6"/>
      <c r="W980" s="13"/>
      <c r="X980" s="13"/>
      <c r="Y980" s="13"/>
      <c r="Z980" s="13"/>
      <c r="AA980" s="17"/>
      <c r="AB980" s="17"/>
      <c r="AC980" s="17"/>
      <c r="AD980" s="17"/>
      <c r="AE980" s="17"/>
    </row>
    <row r="981">
      <c r="A981" s="72"/>
      <c r="B981" s="12"/>
      <c r="C981" s="12"/>
      <c r="D981" s="12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6"/>
      <c r="W981" s="13"/>
      <c r="X981" s="13"/>
      <c r="Y981" s="13"/>
      <c r="Z981" s="13"/>
      <c r="AA981" s="17"/>
      <c r="AB981" s="17"/>
      <c r="AC981" s="17"/>
      <c r="AD981" s="17"/>
      <c r="AE981" s="17"/>
    </row>
    <row r="982">
      <c r="A982" s="72"/>
      <c r="B982" s="12"/>
      <c r="C982" s="12"/>
      <c r="D982" s="12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6"/>
      <c r="W982" s="13"/>
      <c r="X982" s="13"/>
      <c r="Y982" s="13"/>
      <c r="Z982" s="13"/>
      <c r="AA982" s="17"/>
      <c r="AB982" s="17"/>
      <c r="AC982" s="17"/>
      <c r="AD982" s="17"/>
      <c r="AE982" s="17"/>
    </row>
    <row r="983">
      <c r="A983" s="72"/>
      <c r="B983" s="12"/>
      <c r="C983" s="12"/>
      <c r="D983" s="12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6"/>
      <c r="W983" s="13"/>
      <c r="X983" s="13"/>
      <c r="Y983" s="13"/>
      <c r="Z983" s="13"/>
      <c r="AA983" s="17"/>
      <c r="AB983" s="17"/>
      <c r="AC983" s="17"/>
      <c r="AD983" s="17"/>
      <c r="AE983" s="17"/>
    </row>
    <row r="984">
      <c r="A984" s="72"/>
      <c r="B984" s="12"/>
      <c r="C984" s="12"/>
      <c r="D984" s="12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6"/>
      <c r="W984" s="13"/>
      <c r="X984" s="13"/>
      <c r="Y984" s="13"/>
      <c r="Z984" s="13"/>
      <c r="AA984" s="17"/>
      <c r="AB984" s="17"/>
      <c r="AC984" s="17"/>
      <c r="AD984" s="17"/>
      <c r="AE984" s="17"/>
    </row>
    <row r="985">
      <c r="A985" s="72"/>
      <c r="B985" s="12"/>
      <c r="C985" s="12"/>
      <c r="D985" s="12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6"/>
      <c r="W985" s="13"/>
      <c r="X985" s="13"/>
      <c r="Y985" s="13"/>
      <c r="Z985" s="13"/>
      <c r="AA985" s="17"/>
      <c r="AB985" s="17"/>
      <c r="AC985" s="17"/>
      <c r="AD985" s="17"/>
      <c r="AE985" s="17"/>
    </row>
    <row r="986">
      <c r="A986" s="72"/>
      <c r="B986" s="12"/>
      <c r="C986" s="12"/>
      <c r="D986" s="12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6"/>
      <c r="W986" s="13"/>
      <c r="X986" s="13"/>
      <c r="Y986" s="13"/>
      <c r="Z986" s="13"/>
      <c r="AA986" s="17"/>
      <c r="AB986" s="17"/>
      <c r="AC986" s="17"/>
      <c r="AD986" s="17"/>
      <c r="AE986" s="17"/>
    </row>
    <row r="987">
      <c r="A987" s="72"/>
      <c r="B987" s="12"/>
      <c r="C987" s="12"/>
      <c r="D987" s="12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6"/>
      <c r="W987" s="13"/>
      <c r="X987" s="13"/>
      <c r="Y987" s="13"/>
      <c r="Z987" s="13"/>
      <c r="AA987" s="17"/>
      <c r="AB987" s="17"/>
      <c r="AC987" s="17"/>
      <c r="AD987" s="17"/>
      <c r="AE987" s="17"/>
    </row>
    <row r="988">
      <c r="A988" s="72"/>
      <c r="B988" s="12"/>
      <c r="C988" s="12"/>
      <c r="D988" s="12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6"/>
      <c r="W988" s="13"/>
      <c r="X988" s="13"/>
      <c r="Y988" s="13"/>
      <c r="Z988" s="13"/>
      <c r="AA988" s="17"/>
      <c r="AB988" s="17"/>
      <c r="AC988" s="17"/>
      <c r="AD988" s="17"/>
      <c r="AE988" s="17"/>
    </row>
    <row r="989">
      <c r="A989" s="72"/>
      <c r="B989" s="12"/>
      <c r="C989" s="12"/>
      <c r="D989" s="12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6"/>
      <c r="W989" s="13"/>
      <c r="X989" s="13"/>
      <c r="Y989" s="13"/>
      <c r="Z989" s="13"/>
      <c r="AA989" s="17"/>
      <c r="AB989" s="17"/>
      <c r="AC989" s="17"/>
      <c r="AD989" s="17"/>
      <c r="AE989" s="17"/>
    </row>
    <row r="990">
      <c r="A990" s="72"/>
      <c r="B990" s="12"/>
      <c r="C990" s="12"/>
      <c r="D990" s="12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6"/>
      <c r="W990" s="13"/>
      <c r="X990" s="13"/>
      <c r="Y990" s="13"/>
      <c r="Z990" s="13"/>
      <c r="AA990" s="17"/>
      <c r="AB990" s="17"/>
      <c r="AC990" s="17"/>
      <c r="AD990" s="17"/>
      <c r="AE990" s="17"/>
    </row>
    <row r="991">
      <c r="A991" s="72"/>
      <c r="B991" s="12"/>
      <c r="C991" s="12"/>
      <c r="D991" s="12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6"/>
      <c r="W991" s="13"/>
      <c r="X991" s="13"/>
      <c r="Y991" s="13"/>
      <c r="Z991" s="13"/>
      <c r="AA991" s="17"/>
      <c r="AB991" s="17"/>
      <c r="AC991" s="17"/>
      <c r="AD991" s="17"/>
      <c r="AE991" s="17"/>
    </row>
    <row r="992">
      <c r="A992" s="72"/>
      <c r="B992" s="12"/>
      <c r="C992" s="12"/>
      <c r="D992" s="12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6"/>
      <c r="W992" s="13"/>
      <c r="X992" s="13"/>
      <c r="Y992" s="13"/>
      <c r="Z992" s="13"/>
      <c r="AA992" s="17"/>
      <c r="AB992" s="17"/>
      <c r="AC992" s="17"/>
      <c r="AD992" s="17"/>
      <c r="AE992" s="17"/>
    </row>
    <row r="993">
      <c r="A993" s="72"/>
      <c r="B993" s="12"/>
      <c r="C993" s="12"/>
      <c r="D993" s="12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6"/>
      <c r="W993" s="13"/>
      <c r="X993" s="13"/>
      <c r="Y993" s="13"/>
      <c r="Z993" s="13"/>
      <c r="AA993" s="17"/>
      <c r="AB993" s="17"/>
      <c r="AC993" s="17"/>
      <c r="AD993" s="17"/>
      <c r="AE993" s="17"/>
    </row>
    <row r="994">
      <c r="A994" s="72"/>
      <c r="B994" s="12"/>
      <c r="C994" s="12"/>
      <c r="D994" s="12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6"/>
      <c r="W994" s="13"/>
      <c r="X994" s="13"/>
      <c r="Y994" s="13"/>
      <c r="Z994" s="13"/>
      <c r="AA994" s="17"/>
      <c r="AB994" s="17"/>
      <c r="AC994" s="17"/>
      <c r="AD994" s="17"/>
      <c r="AE994" s="17"/>
    </row>
    <row r="995">
      <c r="A995" s="72"/>
      <c r="B995" s="12"/>
      <c r="C995" s="12"/>
      <c r="D995" s="12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6"/>
      <c r="W995" s="13"/>
      <c r="X995" s="13"/>
      <c r="Y995" s="13"/>
      <c r="Z995" s="13"/>
      <c r="AA995" s="17"/>
      <c r="AB995" s="17"/>
      <c r="AC995" s="17"/>
      <c r="AD995" s="17"/>
      <c r="AE995" s="17"/>
    </row>
    <row r="996">
      <c r="A996" s="72"/>
      <c r="B996" s="12"/>
      <c r="C996" s="12"/>
      <c r="D996" s="12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6"/>
      <c r="W996" s="13"/>
      <c r="X996" s="13"/>
      <c r="Y996" s="13"/>
      <c r="Z996" s="13"/>
      <c r="AA996" s="17"/>
      <c r="AB996" s="17"/>
      <c r="AC996" s="17"/>
      <c r="AD996" s="17"/>
      <c r="AE996" s="17"/>
    </row>
    <row r="997">
      <c r="A997" s="72"/>
      <c r="B997" s="12"/>
      <c r="C997" s="12"/>
      <c r="D997" s="12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6"/>
      <c r="W997" s="13"/>
      <c r="X997" s="13"/>
      <c r="Y997" s="13"/>
      <c r="Z997" s="13"/>
      <c r="AA997" s="17"/>
      <c r="AB997" s="17"/>
      <c r="AC997" s="17"/>
      <c r="AD997" s="17"/>
      <c r="AE997" s="17"/>
    </row>
    <row r="998">
      <c r="A998" s="72"/>
      <c r="B998" s="12"/>
      <c r="C998" s="12"/>
      <c r="D998" s="12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6"/>
      <c r="W998" s="13"/>
      <c r="X998" s="13"/>
      <c r="Y998" s="13"/>
      <c r="Z998" s="13"/>
      <c r="AA998" s="17"/>
      <c r="AB998" s="17"/>
      <c r="AC998" s="17"/>
      <c r="AD998" s="17"/>
      <c r="AE998" s="17"/>
    </row>
    <row r="999">
      <c r="A999" s="72"/>
      <c r="B999" s="12"/>
      <c r="C999" s="12"/>
      <c r="D999" s="12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6"/>
      <c r="W999" s="13"/>
      <c r="X999" s="13"/>
      <c r="Y999" s="13"/>
      <c r="Z999" s="13"/>
      <c r="AA999" s="17"/>
      <c r="AB999" s="17"/>
      <c r="AC999" s="17"/>
      <c r="AD999" s="17"/>
      <c r="AE999" s="17"/>
    </row>
    <row r="1000">
      <c r="A1000" s="72"/>
      <c r="B1000" s="12"/>
      <c r="C1000" s="12"/>
      <c r="D1000" s="12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6"/>
      <c r="W1000" s="13"/>
      <c r="X1000" s="13"/>
      <c r="Y1000" s="13"/>
      <c r="Z1000" s="13"/>
      <c r="AA1000" s="17"/>
      <c r="AB1000" s="17"/>
      <c r="AC1000" s="17"/>
      <c r="AD1000" s="17"/>
      <c r="AE1000" s="17"/>
    </row>
    <row r="1001">
      <c r="A1001" s="72"/>
      <c r="B1001" s="12"/>
      <c r="C1001" s="12"/>
      <c r="D1001" s="12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6"/>
      <c r="W1001" s="13"/>
      <c r="X1001" s="13"/>
      <c r="Y1001" s="13"/>
      <c r="Z1001" s="13"/>
      <c r="AA1001" s="17"/>
      <c r="AB1001" s="17"/>
      <c r="AC1001" s="17"/>
      <c r="AD1001" s="17"/>
      <c r="AE1001" s="17"/>
    </row>
    <row r="1002">
      <c r="A1002" s="72"/>
      <c r="B1002" s="12"/>
      <c r="C1002" s="12"/>
      <c r="D1002" s="12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6"/>
      <c r="W1002" s="13"/>
      <c r="X1002" s="13"/>
      <c r="Y1002" s="13"/>
      <c r="Z1002" s="13"/>
      <c r="AA1002" s="17"/>
      <c r="AB1002" s="17"/>
      <c r="AC1002" s="17"/>
      <c r="AD1002" s="17"/>
      <c r="AE1002" s="17"/>
    </row>
    <row r="1003">
      <c r="A1003" s="72"/>
      <c r="B1003" s="12"/>
      <c r="C1003" s="12"/>
      <c r="D1003" s="12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6"/>
      <c r="W1003" s="13"/>
      <c r="X1003" s="13"/>
      <c r="Y1003" s="13"/>
      <c r="Z1003" s="13"/>
      <c r="AA1003" s="17"/>
      <c r="AB1003" s="17"/>
      <c r="AC1003" s="17"/>
      <c r="AD1003" s="17"/>
      <c r="AE1003" s="17"/>
    </row>
    <row r="1004">
      <c r="A1004" s="72"/>
      <c r="B1004" s="12"/>
      <c r="C1004" s="12"/>
      <c r="D1004" s="12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6"/>
      <c r="W1004" s="13"/>
      <c r="X1004" s="13"/>
      <c r="Y1004" s="13"/>
      <c r="Z1004" s="13"/>
      <c r="AA1004" s="17"/>
      <c r="AB1004" s="17"/>
      <c r="AC1004" s="17"/>
      <c r="AD1004" s="17"/>
      <c r="AE1004" s="17"/>
    </row>
    <row r="1005">
      <c r="A1005" s="72"/>
      <c r="B1005" s="12"/>
      <c r="C1005" s="12"/>
      <c r="D1005" s="12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6"/>
      <c r="W1005" s="13"/>
      <c r="X1005" s="13"/>
      <c r="Y1005" s="13"/>
      <c r="Z1005" s="13"/>
      <c r="AA1005" s="17"/>
      <c r="AB1005" s="17"/>
      <c r="AC1005" s="17"/>
      <c r="AD1005" s="17"/>
      <c r="AE1005" s="17"/>
    </row>
    <row r="1006">
      <c r="A1006" s="72"/>
      <c r="B1006" s="12"/>
      <c r="C1006" s="12"/>
      <c r="D1006" s="12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6"/>
      <c r="W1006" s="13"/>
      <c r="X1006" s="13"/>
      <c r="Y1006" s="13"/>
      <c r="Z1006" s="13"/>
      <c r="AA1006" s="17"/>
      <c r="AB1006" s="17"/>
      <c r="AC1006" s="17"/>
      <c r="AD1006" s="17"/>
      <c r="AE1006" s="17"/>
    </row>
    <row r="1007">
      <c r="A1007" s="72"/>
      <c r="B1007" s="12"/>
      <c r="C1007" s="12"/>
      <c r="D1007" s="12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6"/>
      <c r="W1007" s="13"/>
      <c r="X1007" s="13"/>
      <c r="Y1007" s="13"/>
      <c r="Z1007" s="13"/>
      <c r="AA1007" s="17"/>
      <c r="AB1007" s="17"/>
      <c r="AC1007" s="17"/>
      <c r="AD1007" s="17"/>
      <c r="AE1007" s="17"/>
    </row>
    <row r="1008">
      <c r="A1008" s="72"/>
      <c r="B1008" s="12"/>
      <c r="C1008" s="12"/>
      <c r="D1008" s="12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6"/>
      <c r="W1008" s="13"/>
      <c r="X1008" s="13"/>
      <c r="Y1008" s="13"/>
      <c r="Z1008" s="13"/>
      <c r="AA1008" s="17"/>
      <c r="AB1008" s="17"/>
      <c r="AC1008" s="17"/>
      <c r="AD1008" s="17"/>
      <c r="AE1008" s="17"/>
    </row>
    <row r="1009">
      <c r="A1009" s="72"/>
      <c r="B1009" s="12"/>
      <c r="C1009" s="12"/>
      <c r="D1009" s="12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6"/>
      <c r="W1009" s="13"/>
      <c r="X1009" s="13"/>
      <c r="Y1009" s="13"/>
      <c r="Z1009" s="13"/>
      <c r="AA1009" s="17"/>
      <c r="AB1009" s="17"/>
      <c r="AC1009" s="17"/>
      <c r="AD1009" s="17"/>
      <c r="AE1009" s="17"/>
    </row>
    <row r="1010">
      <c r="A1010" s="72"/>
      <c r="B1010" s="12"/>
      <c r="C1010" s="12"/>
      <c r="D1010" s="12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6"/>
      <c r="W1010" s="13"/>
      <c r="X1010" s="13"/>
      <c r="Y1010" s="13"/>
      <c r="Z1010" s="13"/>
      <c r="AA1010" s="17"/>
      <c r="AB1010" s="17"/>
      <c r="AC1010" s="17"/>
      <c r="AD1010" s="17"/>
      <c r="AE1010" s="17"/>
    </row>
    <row r="1011">
      <c r="A1011" s="72"/>
      <c r="B1011" s="12"/>
      <c r="C1011" s="12"/>
      <c r="D1011" s="12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6"/>
      <c r="W1011" s="13"/>
      <c r="X1011" s="13"/>
      <c r="Y1011" s="13"/>
      <c r="Z1011" s="13"/>
      <c r="AA1011" s="17"/>
      <c r="AB1011" s="17"/>
      <c r="AC1011" s="17"/>
      <c r="AD1011" s="17"/>
      <c r="AE1011" s="17"/>
    </row>
    <row r="1012">
      <c r="A1012" s="72"/>
      <c r="B1012" s="12"/>
      <c r="C1012" s="12"/>
      <c r="D1012" s="12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6"/>
      <c r="W1012" s="13"/>
      <c r="X1012" s="13"/>
      <c r="Y1012" s="13"/>
      <c r="Z1012" s="13"/>
      <c r="AA1012" s="17"/>
      <c r="AB1012" s="17"/>
      <c r="AC1012" s="17"/>
      <c r="AD1012" s="17"/>
      <c r="AE1012" s="17"/>
    </row>
    <row r="1013">
      <c r="A1013" s="72"/>
      <c r="B1013" s="12"/>
      <c r="C1013" s="12"/>
      <c r="D1013" s="12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6"/>
      <c r="W1013" s="13"/>
      <c r="X1013" s="13"/>
      <c r="Y1013" s="13"/>
      <c r="Z1013" s="13"/>
      <c r="AA1013" s="17"/>
      <c r="AB1013" s="17"/>
      <c r="AC1013" s="17"/>
      <c r="AD1013" s="17"/>
      <c r="AE1013" s="17"/>
    </row>
    <row r="1014">
      <c r="A1014" s="72"/>
      <c r="B1014" s="12"/>
      <c r="C1014" s="12"/>
      <c r="D1014" s="12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6"/>
      <c r="W1014" s="13"/>
      <c r="X1014" s="13"/>
      <c r="Y1014" s="13"/>
      <c r="Z1014" s="13"/>
      <c r="AA1014" s="17"/>
      <c r="AB1014" s="17"/>
      <c r="AC1014" s="17"/>
      <c r="AD1014" s="17"/>
      <c r="AE1014" s="17"/>
    </row>
    <row r="1015">
      <c r="A1015" s="72"/>
      <c r="B1015" s="12"/>
      <c r="C1015" s="12"/>
      <c r="D1015" s="12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6"/>
      <c r="W1015" s="13"/>
      <c r="X1015" s="13"/>
      <c r="Y1015" s="13"/>
      <c r="Z1015" s="13"/>
      <c r="AA1015" s="17"/>
      <c r="AB1015" s="17"/>
      <c r="AC1015" s="17"/>
      <c r="AD1015" s="17"/>
      <c r="AE1015" s="17"/>
    </row>
    <row r="1016">
      <c r="A1016" s="72"/>
      <c r="B1016" s="12"/>
      <c r="C1016" s="12"/>
      <c r="D1016" s="12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6"/>
      <c r="W1016" s="13"/>
      <c r="X1016" s="13"/>
      <c r="Y1016" s="13"/>
      <c r="Z1016" s="13"/>
      <c r="AA1016" s="17"/>
      <c r="AB1016" s="17"/>
      <c r="AC1016" s="17"/>
      <c r="AD1016" s="17"/>
      <c r="AE1016" s="17"/>
    </row>
    <row r="1017">
      <c r="A1017" s="72"/>
      <c r="B1017" s="12"/>
      <c r="C1017" s="12"/>
      <c r="D1017" s="12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6"/>
      <c r="W1017" s="13"/>
      <c r="X1017" s="13"/>
      <c r="Y1017" s="13"/>
      <c r="Z1017" s="13"/>
      <c r="AA1017" s="17"/>
      <c r="AB1017" s="17"/>
      <c r="AC1017" s="17"/>
      <c r="AD1017" s="17"/>
      <c r="AE1017" s="17"/>
    </row>
    <row r="1018">
      <c r="A1018" s="72"/>
      <c r="B1018" s="12"/>
      <c r="C1018" s="12"/>
      <c r="D1018" s="12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6"/>
      <c r="W1018" s="13"/>
      <c r="X1018" s="13"/>
      <c r="Y1018" s="13"/>
      <c r="Z1018" s="13"/>
      <c r="AA1018" s="17"/>
      <c r="AB1018" s="17"/>
      <c r="AC1018" s="17"/>
      <c r="AD1018" s="17"/>
      <c r="AE1018" s="17"/>
    </row>
    <row r="1019">
      <c r="A1019" s="72"/>
      <c r="B1019" s="12"/>
      <c r="C1019" s="12"/>
      <c r="D1019" s="12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6"/>
      <c r="W1019" s="13"/>
      <c r="X1019" s="13"/>
      <c r="Y1019" s="13"/>
      <c r="Z1019" s="13"/>
      <c r="AA1019" s="17"/>
      <c r="AB1019" s="17"/>
      <c r="AC1019" s="17"/>
      <c r="AD1019" s="17"/>
      <c r="AE1019" s="17"/>
    </row>
    <row r="1020">
      <c r="A1020" s="72"/>
      <c r="B1020" s="12"/>
      <c r="C1020" s="12"/>
      <c r="D1020" s="12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6"/>
      <c r="W1020" s="13"/>
      <c r="X1020" s="13"/>
      <c r="Y1020" s="13"/>
      <c r="Z1020" s="13"/>
      <c r="AA1020" s="17"/>
      <c r="AB1020" s="17"/>
      <c r="AC1020" s="17"/>
      <c r="AD1020" s="17"/>
      <c r="AE1020" s="17"/>
    </row>
    <row r="1021">
      <c r="A1021" s="72"/>
      <c r="B1021" s="12"/>
      <c r="C1021" s="12"/>
      <c r="D1021" s="12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6"/>
      <c r="W1021" s="13"/>
      <c r="X1021" s="13"/>
      <c r="Y1021" s="13"/>
      <c r="Z1021" s="13"/>
      <c r="AA1021" s="17"/>
      <c r="AB1021" s="17"/>
      <c r="AC1021" s="17"/>
      <c r="AD1021" s="17"/>
      <c r="AE1021" s="17"/>
    </row>
    <row r="1022">
      <c r="A1022" s="72"/>
      <c r="B1022" s="12"/>
      <c r="C1022" s="12"/>
      <c r="D1022" s="12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6"/>
      <c r="W1022" s="13"/>
      <c r="X1022" s="13"/>
      <c r="Y1022" s="13"/>
      <c r="Z1022" s="13"/>
      <c r="AA1022" s="17"/>
      <c r="AB1022" s="17"/>
      <c r="AC1022" s="17"/>
      <c r="AD1022" s="17"/>
      <c r="AE1022" s="17"/>
    </row>
    <row r="1023">
      <c r="A1023" s="72"/>
      <c r="B1023" s="12"/>
      <c r="C1023" s="12"/>
      <c r="D1023" s="12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6"/>
      <c r="W1023" s="13"/>
      <c r="X1023" s="13"/>
      <c r="Y1023" s="13"/>
      <c r="Z1023" s="13"/>
      <c r="AA1023" s="17"/>
      <c r="AB1023" s="17"/>
      <c r="AC1023" s="17"/>
      <c r="AD1023" s="17"/>
      <c r="AE1023" s="17"/>
    </row>
    <row r="1024">
      <c r="A1024" s="72"/>
      <c r="B1024" s="12"/>
      <c r="C1024" s="12"/>
      <c r="D1024" s="12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6"/>
      <c r="W1024" s="13"/>
      <c r="X1024" s="13"/>
      <c r="Y1024" s="13"/>
      <c r="Z1024" s="13"/>
      <c r="AA1024" s="17"/>
      <c r="AB1024" s="17"/>
      <c r="AC1024" s="17"/>
      <c r="AD1024" s="17"/>
      <c r="AE1024" s="17"/>
    </row>
    <row r="1025">
      <c r="A1025" s="72"/>
      <c r="B1025" s="12"/>
      <c r="C1025" s="12"/>
      <c r="D1025" s="12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6"/>
      <c r="W1025" s="13"/>
      <c r="X1025" s="13"/>
      <c r="Y1025" s="13"/>
      <c r="Z1025" s="13"/>
      <c r="AA1025" s="17"/>
      <c r="AB1025" s="17"/>
      <c r="AC1025" s="17"/>
      <c r="AD1025" s="17"/>
      <c r="AE1025" s="17"/>
    </row>
    <row r="1026">
      <c r="A1026" s="72"/>
      <c r="B1026" s="12"/>
      <c r="C1026" s="12"/>
      <c r="D1026" s="12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6"/>
      <c r="W1026" s="13"/>
      <c r="X1026" s="13"/>
      <c r="Y1026" s="13"/>
      <c r="Z1026" s="13"/>
      <c r="AA1026" s="17"/>
      <c r="AB1026" s="17"/>
      <c r="AC1026" s="17"/>
      <c r="AD1026" s="17"/>
      <c r="AE1026" s="17"/>
    </row>
    <row r="1027">
      <c r="A1027" s="72"/>
      <c r="B1027" s="12"/>
      <c r="C1027" s="12"/>
      <c r="D1027" s="12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6"/>
      <c r="W1027" s="13"/>
      <c r="X1027" s="13"/>
      <c r="Y1027" s="13"/>
      <c r="Z1027" s="13"/>
      <c r="AA1027" s="17"/>
      <c r="AB1027" s="17"/>
      <c r="AC1027" s="17"/>
      <c r="AD1027" s="17"/>
      <c r="AE1027" s="17"/>
    </row>
    <row r="1028">
      <c r="A1028" s="72"/>
      <c r="B1028" s="12"/>
      <c r="C1028" s="12"/>
      <c r="D1028" s="12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6"/>
      <c r="W1028" s="13"/>
      <c r="X1028" s="13"/>
      <c r="Y1028" s="13"/>
      <c r="Z1028" s="13"/>
      <c r="AA1028" s="17"/>
      <c r="AB1028" s="17"/>
      <c r="AC1028" s="17"/>
      <c r="AD1028" s="17"/>
      <c r="AE1028" s="17"/>
    </row>
    <row r="1029">
      <c r="A1029" s="72"/>
      <c r="B1029" s="12"/>
      <c r="C1029" s="12"/>
      <c r="D1029" s="12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6"/>
      <c r="W1029" s="13"/>
      <c r="X1029" s="13"/>
      <c r="Y1029" s="13"/>
      <c r="Z1029" s="13"/>
      <c r="AA1029" s="17"/>
      <c r="AB1029" s="17"/>
      <c r="AC1029" s="17"/>
      <c r="AD1029" s="17"/>
      <c r="AE1029" s="17"/>
    </row>
    <row r="1030">
      <c r="A1030" s="72"/>
      <c r="B1030" s="12"/>
      <c r="C1030" s="12"/>
      <c r="D1030" s="12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6"/>
      <c r="W1030" s="13"/>
      <c r="X1030" s="13"/>
      <c r="Y1030" s="13"/>
      <c r="Z1030" s="13"/>
      <c r="AA1030" s="17"/>
      <c r="AB1030" s="17"/>
      <c r="AC1030" s="17"/>
      <c r="AD1030" s="17"/>
      <c r="AE1030" s="17"/>
    </row>
    <row r="1031">
      <c r="A1031" s="72"/>
      <c r="B1031" s="12"/>
      <c r="C1031" s="12"/>
      <c r="D1031" s="12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6"/>
      <c r="W1031" s="13"/>
      <c r="X1031" s="13"/>
      <c r="Y1031" s="13"/>
      <c r="Z1031" s="13"/>
      <c r="AA1031" s="17"/>
      <c r="AB1031" s="17"/>
      <c r="AC1031" s="17"/>
      <c r="AD1031" s="17"/>
      <c r="AE1031" s="17"/>
    </row>
    <row r="1032">
      <c r="A1032" s="72"/>
      <c r="B1032" s="12"/>
      <c r="C1032" s="12"/>
      <c r="D1032" s="12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6"/>
      <c r="W1032" s="13"/>
      <c r="X1032" s="13"/>
      <c r="Y1032" s="13"/>
      <c r="Z1032" s="13"/>
      <c r="AA1032" s="17"/>
      <c r="AB1032" s="17"/>
      <c r="AC1032" s="17"/>
      <c r="AD1032" s="17"/>
      <c r="AE1032" s="17"/>
    </row>
    <row r="1033">
      <c r="A1033" s="72"/>
      <c r="B1033" s="12"/>
      <c r="C1033" s="12"/>
      <c r="D1033" s="12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6"/>
      <c r="W1033" s="13"/>
      <c r="X1033" s="13"/>
      <c r="Y1033" s="13"/>
      <c r="Z1033" s="13"/>
      <c r="AA1033" s="17"/>
      <c r="AB1033" s="17"/>
      <c r="AC1033" s="17"/>
      <c r="AD1033" s="17"/>
      <c r="AE1033" s="17"/>
    </row>
    <row r="1034">
      <c r="A1034" s="72"/>
      <c r="B1034" s="12"/>
      <c r="C1034" s="12"/>
      <c r="D1034" s="12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6"/>
      <c r="W1034" s="13"/>
      <c r="X1034" s="13"/>
      <c r="Y1034" s="13"/>
      <c r="Z1034" s="13"/>
      <c r="AA1034" s="17"/>
      <c r="AB1034" s="17"/>
      <c r="AC1034" s="17"/>
      <c r="AD1034" s="17"/>
      <c r="AE1034" s="17"/>
    </row>
    <row r="1035">
      <c r="A1035" s="72"/>
      <c r="B1035" s="12"/>
      <c r="C1035" s="12"/>
      <c r="D1035" s="12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6"/>
      <c r="W1035" s="13"/>
      <c r="X1035" s="13"/>
      <c r="Y1035" s="13"/>
      <c r="Z1035" s="13"/>
      <c r="AA1035" s="17"/>
      <c r="AB1035" s="17"/>
      <c r="AC1035" s="17"/>
      <c r="AD1035" s="17"/>
      <c r="AE1035" s="17"/>
    </row>
    <row r="1036">
      <c r="A1036" s="72"/>
      <c r="B1036" s="12"/>
      <c r="C1036" s="12"/>
      <c r="D1036" s="12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6"/>
      <c r="W1036" s="13"/>
      <c r="X1036" s="13"/>
      <c r="Y1036" s="13"/>
      <c r="Z1036" s="13"/>
      <c r="AA1036" s="17"/>
      <c r="AB1036" s="17"/>
      <c r="AC1036" s="17"/>
      <c r="AD1036" s="17"/>
      <c r="AE1036" s="17"/>
    </row>
    <row r="1037">
      <c r="A1037" s="72"/>
      <c r="B1037" s="12"/>
      <c r="C1037" s="12"/>
      <c r="D1037" s="12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6"/>
      <c r="W1037" s="13"/>
      <c r="X1037" s="13"/>
      <c r="Y1037" s="13"/>
      <c r="Z1037" s="13"/>
      <c r="AA1037" s="17"/>
      <c r="AB1037" s="17"/>
      <c r="AC1037" s="17"/>
      <c r="AD1037" s="17"/>
      <c r="AE1037" s="17"/>
    </row>
    <row r="1038">
      <c r="A1038" s="72"/>
      <c r="B1038" s="12"/>
      <c r="C1038" s="12"/>
      <c r="D1038" s="12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6"/>
      <c r="W1038" s="13"/>
      <c r="X1038" s="13"/>
      <c r="Y1038" s="13"/>
      <c r="Z1038" s="13"/>
      <c r="AA1038" s="17"/>
      <c r="AB1038" s="17"/>
      <c r="AC1038" s="17"/>
      <c r="AD1038" s="17"/>
      <c r="AE1038" s="17"/>
    </row>
    <row r="1039">
      <c r="A1039" s="72"/>
      <c r="B1039" s="12"/>
      <c r="C1039" s="12"/>
      <c r="D1039" s="12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6"/>
      <c r="W1039" s="13"/>
      <c r="X1039" s="13"/>
      <c r="Y1039" s="13"/>
      <c r="Z1039" s="13"/>
      <c r="AA1039" s="17"/>
      <c r="AB1039" s="17"/>
      <c r="AC1039" s="17"/>
      <c r="AD1039" s="17"/>
      <c r="AE1039" s="17"/>
    </row>
    <row r="1040">
      <c r="A1040" s="72"/>
      <c r="B1040" s="12"/>
      <c r="C1040" s="12"/>
      <c r="D1040" s="12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6"/>
      <c r="W1040" s="13"/>
      <c r="X1040" s="13"/>
      <c r="Y1040" s="13"/>
      <c r="Z1040" s="13"/>
      <c r="AA1040" s="17"/>
      <c r="AB1040" s="17"/>
      <c r="AC1040" s="17"/>
      <c r="AD1040" s="17"/>
      <c r="AE1040" s="17"/>
    </row>
    <row r="1041">
      <c r="A1041" s="72"/>
      <c r="B1041" s="12"/>
      <c r="C1041" s="12"/>
      <c r="D1041" s="12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6"/>
      <c r="W1041" s="13"/>
      <c r="X1041" s="13"/>
      <c r="Y1041" s="13"/>
      <c r="Z1041" s="13"/>
      <c r="AA1041" s="17"/>
      <c r="AB1041" s="17"/>
      <c r="AC1041" s="17"/>
      <c r="AD1041" s="17"/>
      <c r="AE1041" s="17"/>
    </row>
    <row r="1042">
      <c r="A1042" s="72"/>
      <c r="B1042" s="12"/>
      <c r="C1042" s="12"/>
      <c r="D1042" s="12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6"/>
      <c r="W1042" s="13"/>
      <c r="X1042" s="13"/>
      <c r="Y1042" s="13"/>
      <c r="Z1042" s="13"/>
      <c r="AA1042" s="17"/>
      <c r="AB1042" s="17"/>
      <c r="AC1042" s="17"/>
      <c r="AD1042" s="17"/>
      <c r="AE1042" s="17"/>
    </row>
    <row r="1043">
      <c r="A1043" s="72"/>
      <c r="B1043" s="12"/>
      <c r="C1043" s="12"/>
      <c r="D1043" s="12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6"/>
      <c r="W1043" s="13"/>
      <c r="X1043" s="13"/>
      <c r="Y1043" s="13"/>
      <c r="Z1043" s="13"/>
      <c r="AA1043" s="17"/>
      <c r="AB1043" s="17"/>
      <c r="AC1043" s="17"/>
      <c r="AD1043" s="17"/>
      <c r="AE1043" s="17"/>
    </row>
    <row r="1044">
      <c r="A1044" s="72"/>
      <c r="B1044" s="12"/>
      <c r="C1044" s="12"/>
      <c r="D1044" s="12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6"/>
      <c r="W1044" s="13"/>
      <c r="X1044" s="13"/>
      <c r="Y1044" s="13"/>
      <c r="Z1044" s="13"/>
      <c r="AA1044" s="17"/>
      <c r="AB1044" s="17"/>
      <c r="AC1044" s="17"/>
      <c r="AD1044" s="17"/>
      <c r="AE1044" s="17"/>
    </row>
    <row r="1045">
      <c r="A1045" s="72"/>
      <c r="B1045" s="12"/>
      <c r="C1045" s="12"/>
      <c r="D1045" s="12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6"/>
      <c r="W1045" s="13"/>
      <c r="X1045" s="13"/>
      <c r="Y1045" s="13"/>
      <c r="Z1045" s="13"/>
      <c r="AA1045" s="17"/>
      <c r="AB1045" s="17"/>
      <c r="AC1045" s="17"/>
      <c r="AD1045" s="17"/>
      <c r="AE1045" s="17"/>
    </row>
    <row r="1046">
      <c r="A1046" s="72"/>
      <c r="B1046" s="12"/>
      <c r="C1046" s="12"/>
      <c r="D1046" s="12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6"/>
      <c r="W1046" s="13"/>
      <c r="X1046" s="13"/>
      <c r="Y1046" s="13"/>
      <c r="Z1046" s="13"/>
      <c r="AA1046" s="17"/>
      <c r="AB1046" s="17"/>
      <c r="AC1046" s="17"/>
      <c r="AD1046" s="17"/>
      <c r="AE1046" s="17"/>
    </row>
    <row r="1047">
      <c r="A1047" s="72"/>
      <c r="B1047" s="12"/>
      <c r="C1047" s="12"/>
      <c r="D1047" s="12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6"/>
      <c r="W1047" s="13"/>
      <c r="X1047" s="13"/>
      <c r="Y1047" s="13"/>
      <c r="Z1047" s="13"/>
      <c r="AA1047" s="17"/>
      <c r="AB1047" s="17"/>
      <c r="AC1047" s="17"/>
      <c r="AD1047" s="17"/>
      <c r="AE1047" s="17"/>
    </row>
    <row r="1048">
      <c r="A1048" s="72"/>
      <c r="B1048" s="12"/>
      <c r="C1048" s="12"/>
      <c r="D1048" s="12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6"/>
      <c r="W1048" s="13"/>
      <c r="X1048" s="13"/>
      <c r="Y1048" s="13"/>
      <c r="Z1048" s="13"/>
      <c r="AA1048" s="17"/>
      <c r="AB1048" s="17"/>
      <c r="AC1048" s="17"/>
      <c r="AD1048" s="17"/>
      <c r="AE1048" s="17"/>
    </row>
    <row r="1049">
      <c r="A1049" s="72"/>
      <c r="B1049" s="12"/>
      <c r="C1049" s="12"/>
      <c r="D1049" s="12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6"/>
      <c r="W1049" s="13"/>
      <c r="X1049" s="13"/>
      <c r="Y1049" s="13"/>
      <c r="Z1049" s="13"/>
      <c r="AA1049" s="17"/>
      <c r="AB1049" s="17"/>
      <c r="AC1049" s="17"/>
      <c r="AD1049" s="17"/>
      <c r="AE1049" s="17"/>
    </row>
    <row r="1050">
      <c r="A1050" s="72"/>
      <c r="B1050" s="12"/>
      <c r="C1050" s="12"/>
      <c r="D1050" s="12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6"/>
      <c r="W1050" s="13"/>
      <c r="X1050" s="13"/>
      <c r="Y1050" s="13"/>
      <c r="Z1050" s="13"/>
      <c r="AA1050" s="17"/>
      <c r="AB1050" s="17"/>
      <c r="AC1050" s="17"/>
      <c r="AD1050" s="17"/>
      <c r="AE1050" s="17"/>
    </row>
    <row r="1051">
      <c r="A1051" s="72"/>
      <c r="B1051" s="12"/>
      <c r="C1051" s="12"/>
      <c r="D1051" s="12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6"/>
      <c r="W1051" s="13"/>
      <c r="X1051" s="13"/>
      <c r="Y1051" s="13"/>
      <c r="Z1051" s="13"/>
      <c r="AA1051" s="17"/>
      <c r="AB1051" s="17"/>
      <c r="AC1051" s="17"/>
      <c r="AD1051" s="17"/>
      <c r="AE1051" s="17"/>
    </row>
    <row r="1052">
      <c r="A1052" s="72"/>
      <c r="B1052" s="12"/>
      <c r="C1052" s="12"/>
      <c r="D1052" s="12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6"/>
      <c r="W1052" s="13"/>
      <c r="X1052" s="13"/>
      <c r="Y1052" s="13"/>
      <c r="Z1052" s="13"/>
      <c r="AA1052" s="17"/>
      <c r="AB1052" s="17"/>
      <c r="AC1052" s="17"/>
      <c r="AD1052" s="17"/>
      <c r="AE1052" s="17"/>
    </row>
    <row r="1053">
      <c r="A1053" s="72"/>
      <c r="B1053" s="12"/>
      <c r="C1053" s="12"/>
      <c r="D1053" s="12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6"/>
      <c r="W1053" s="13"/>
      <c r="X1053" s="13"/>
      <c r="Y1053" s="13"/>
      <c r="Z1053" s="13"/>
      <c r="AA1053" s="17"/>
      <c r="AB1053" s="17"/>
      <c r="AC1053" s="17"/>
      <c r="AD1053" s="17"/>
      <c r="AE1053" s="17"/>
    </row>
    <row r="1054">
      <c r="A1054" s="72"/>
      <c r="B1054" s="12"/>
      <c r="C1054" s="12"/>
      <c r="D1054" s="12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6"/>
      <c r="W1054" s="13"/>
      <c r="X1054" s="13"/>
      <c r="Y1054" s="13"/>
      <c r="Z1054" s="13"/>
      <c r="AA1054" s="17"/>
      <c r="AB1054" s="17"/>
      <c r="AC1054" s="17"/>
      <c r="AD1054" s="17"/>
      <c r="AE1054" s="17"/>
    </row>
    <row r="1055">
      <c r="A1055" s="72"/>
      <c r="B1055" s="12"/>
      <c r="C1055" s="12"/>
      <c r="D1055" s="12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6"/>
      <c r="W1055" s="13"/>
      <c r="X1055" s="13"/>
      <c r="Y1055" s="13"/>
      <c r="Z1055" s="13"/>
      <c r="AA1055" s="17"/>
      <c r="AB1055" s="17"/>
      <c r="AC1055" s="17"/>
      <c r="AD1055" s="17"/>
      <c r="AE1055" s="17"/>
    </row>
    <row r="1056">
      <c r="A1056" s="72"/>
      <c r="B1056" s="12"/>
      <c r="C1056" s="12"/>
      <c r="D1056" s="12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6"/>
      <c r="W1056" s="13"/>
      <c r="X1056" s="13"/>
      <c r="Y1056" s="13"/>
      <c r="Z1056" s="13"/>
      <c r="AA1056" s="17"/>
      <c r="AB1056" s="17"/>
      <c r="AC1056" s="17"/>
      <c r="AD1056" s="17"/>
      <c r="AE1056" s="17"/>
    </row>
    <row r="1057">
      <c r="A1057" s="72"/>
      <c r="B1057" s="12"/>
      <c r="C1057" s="12"/>
      <c r="D1057" s="12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6"/>
      <c r="W1057" s="13"/>
      <c r="X1057" s="13"/>
      <c r="Y1057" s="13"/>
      <c r="Z1057" s="13"/>
      <c r="AA1057" s="17"/>
      <c r="AB1057" s="17"/>
      <c r="AC1057" s="17"/>
      <c r="AD1057" s="17"/>
      <c r="AE1057" s="17"/>
    </row>
    <row r="1058">
      <c r="A1058" s="72"/>
      <c r="B1058" s="12"/>
      <c r="C1058" s="12"/>
      <c r="D1058" s="12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6"/>
      <c r="W1058" s="13"/>
      <c r="X1058" s="13"/>
      <c r="Y1058" s="13"/>
      <c r="Z1058" s="13"/>
      <c r="AA1058" s="17"/>
      <c r="AB1058" s="17"/>
      <c r="AC1058" s="17"/>
      <c r="AD1058" s="17"/>
      <c r="AE1058" s="17"/>
    </row>
    <row r="1059">
      <c r="A1059" s="72"/>
      <c r="B1059" s="12"/>
      <c r="C1059" s="12"/>
      <c r="D1059" s="12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6"/>
      <c r="W1059" s="13"/>
      <c r="X1059" s="13"/>
      <c r="Y1059" s="13"/>
      <c r="Z1059" s="13"/>
      <c r="AA1059" s="17"/>
      <c r="AB1059" s="17"/>
      <c r="AC1059" s="17"/>
      <c r="AD1059" s="17"/>
      <c r="AE1059" s="17"/>
    </row>
    <row r="1060">
      <c r="A1060" s="72"/>
      <c r="B1060" s="12"/>
      <c r="C1060" s="12"/>
      <c r="D1060" s="12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6"/>
      <c r="W1060" s="13"/>
      <c r="X1060" s="13"/>
      <c r="Y1060" s="13"/>
      <c r="Z1060" s="13"/>
      <c r="AA1060" s="17"/>
      <c r="AB1060" s="17"/>
      <c r="AC1060" s="17"/>
      <c r="AD1060" s="17"/>
      <c r="AE1060" s="17"/>
    </row>
    <row r="1061">
      <c r="A1061" s="72"/>
      <c r="B1061" s="12"/>
      <c r="C1061" s="12"/>
      <c r="D1061" s="12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6"/>
      <c r="W1061" s="13"/>
      <c r="X1061" s="13"/>
      <c r="Y1061" s="13"/>
      <c r="Z1061" s="13"/>
      <c r="AA1061" s="17"/>
      <c r="AB1061" s="17"/>
      <c r="AC1061" s="17"/>
      <c r="AD1061" s="17"/>
      <c r="AE1061" s="17"/>
    </row>
    <row r="1062">
      <c r="A1062" s="72"/>
      <c r="B1062" s="12"/>
      <c r="C1062" s="12"/>
      <c r="D1062" s="12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6"/>
      <c r="W1062" s="13"/>
      <c r="X1062" s="13"/>
      <c r="Y1062" s="13"/>
      <c r="Z1062" s="13"/>
      <c r="AA1062" s="17"/>
      <c r="AB1062" s="17"/>
      <c r="AC1062" s="17"/>
      <c r="AD1062" s="17"/>
      <c r="AE1062" s="17"/>
    </row>
    <row r="1063">
      <c r="A1063" s="72"/>
      <c r="B1063" s="12"/>
      <c r="C1063" s="12"/>
      <c r="D1063" s="12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6"/>
      <c r="W1063" s="13"/>
      <c r="X1063" s="13"/>
      <c r="Y1063" s="13"/>
      <c r="Z1063" s="13"/>
      <c r="AA1063" s="17"/>
      <c r="AB1063" s="17"/>
      <c r="AC1063" s="17"/>
      <c r="AD1063" s="17"/>
      <c r="AE1063" s="17"/>
    </row>
    <row r="1064">
      <c r="A1064" s="72"/>
      <c r="B1064" s="12"/>
      <c r="C1064" s="12"/>
      <c r="D1064" s="12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6"/>
      <c r="W1064" s="13"/>
      <c r="X1064" s="13"/>
      <c r="Y1064" s="13"/>
      <c r="Z1064" s="13"/>
      <c r="AA1064" s="17"/>
      <c r="AB1064" s="17"/>
      <c r="AC1064" s="17"/>
      <c r="AD1064" s="17"/>
      <c r="AE1064" s="17"/>
    </row>
    <row r="1065">
      <c r="A1065" s="72"/>
      <c r="B1065" s="12"/>
      <c r="C1065" s="12"/>
      <c r="D1065" s="12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6"/>
      <c r="W1065" s="13"/>
      <c r="X1065" s="13"/>
      <c r="Y1065" s="13"/>
      <c r="Z1065" s="13"/>
      <c r="AA1065" s="17"/>
      <c r="AB1065" s="17"/>
      <c r="AC1065" s="17"/>
      <c r="AD1065" s="17"/>
      <c r="AE1065" s="17"/>
    </row>
    <row r="1066">
      <c r="A1066" s="72"/>
      <c r="B1066" s="12"/>
      <c r="C1066" s="12"/>
      <c r="D1066" s="12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6"/>
      <c r="W1066" s="13"/>
      <c r="X1066" s="13"/>
      <c r="Y1066" s="13"/>
      <c r="Z1066" s="13"/>
      <c r="AA1066" s="17"/>
      <c r="AB1066" s="17"/>
      <c r="AC1066" s="17"/>
      <c r="AD1066" s="17"/>
      <c r="AE1066" s="17"/>
    </row>
    <row r="1067">
      <c r="A1067" s="72"/>
      <c r="B1067" s="12"/>
      <c r="C1067" s="12"/>
      <c r="D1067" s="12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6"/>
      <c r="W1067" s="13"/>
      <c r="X1067" s="13"/>
      <c r="Y1067" s="13"/>
      <c r="Z1067" s="13"/>
      <c r="AA1067" s="17"/>
      <c r="AB1067" s="17"/>
      <c r="AC1067" s="17"/>
      <c r="AD1067" s="17"/>
      <c r="AE1067" s="17"/>
    </row>
    <row r="1068">
      <c r="A1068" s="72"/>
      <c r="B1068" s="12"/>
      <c r="C1068" s="12"/>
      <c r="D1068" s="12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6"/>
      <c r="W1068" s="13"/>
      <c r="X1068" s="13"/>
      <c r="Y1068" s="13"/>
      <c r="Z1068" s="13"/>
      <c r="AA1068" s="17"/>
      <c r="AB1068" s="17"/>
      <c r="AC1068" s="17"/>
      <c r="AD1068" s="17"/>
      <c r="AE1068" s="17"/>
    </row>
    <row r="1069">
      <c r="A1069" s="72"/>
      <c r="B1069" s="12"/>
      <c r="C1069" s="12"/>
      <c r="D1069" s="12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6"/>
      <c r="W1069" s="13"/>
      <c r="X1069" s="13"/>
      <c r="Y1069" s="13"/>
      <c r="Z1069" s="13"/>
      <c r="AA1069" s="17"/>
      <c r="AB1069" s="17"/>
      <c r="AC1069" s="17"/>
      <c r="AD1069" s="17"/>
      <c r="AE1069" s="17"/>
    </row>
    <row r="1070">
      <c r="A1070" s="72"/>
      <c r="B1070" s="12"/>
      <c r="C1070" s="12"/>
      <c r="D1070" s="12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6"/>
      <c r="W1070" s="13"/>
      <c r="X1070" s="13"/>
      <c r="Y1070" s="13"/>
      <c r="Z1070" s="13"/>
      <c r="AA1070" s="17"/>
      <c r="AB1070" s="17"/>
      <c r="AC1070" s="17"/>
      <c r="AD1070" s="17"/>
      <c r="AE1070" s="17"/>
    </row>
    <row r="1071">
      <c r="A1071" s="72"/>
      <c r="B1071" s="12"/>
      <c r="C1071" s="12"/>
      <c r="D1071" s="12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6"/>
      <c r="W1071" s="13"/>
      <c r="X1071" s="13"/>
      <c r="Y1071" s="13"/>
      <c r="Z1071" s="13"/>
      <c r="AA1071" s="17"/>
      <c r="AB1071" s="17"/>
      <c r="AC1071" s="17"/>
      <c r="AD1071" s="17"/>
      <c r="AE1071" s="17"/>
    </row>
    <row r="1072">
      <c r="A1072" s="72"/>
      <c r="B1072" s="12"/>
      <c r="C1072" s="12"/>
      <c r="D1072" s="12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6"/>
      <c r="W1072" s="13"/>
      <c r="X1072" s="13"/>
      <c r="Y1072" s="13"/>
      <c r="Z1072" s="13"/>
      <c r="AA1072" s="17"/>
      <c r="AB1072" s="17"/>
      <c r="AC1072" s="17"/>
      <c r="AD1072" s="17"/>
      <c r="AE1072" s="17"/>
    </row>
    <row r="1073">
      <c r="A1073" s="72"/>
      <c r="B1073" s="12"/>
      <c r="C1073" s="12"/>
      <c r="D1073" s="12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6"/>
      <c r="W1073" s="13"/>
      <c r="X1073" s="13"/>
      <c r="Y1073" s="13"/>
      <c r="Z1073" s="13"/>
      <c r="AA1073" s="17"/>
      <c r="AB1073" s="17"/>
      <c r="AC1073" s="17"/>
      <c r="AD1073" s="17"/>
      <c r="AE1073" s="17"/>
    </row>
    <row r="1074">
      <c r="A1074" s="72"/>
      <c r="B1074" s="12"/>
      <c r="C1074" s="12"/>
      <c r="D1074" s="12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6"/>
      <c r="W1074" s="13"/>
      <c r="X1074" s="13"/>
      <c r="Y1074" s="13"/>
      <c r="Z1074" s="13"/>
      <c r="AA1074" s="17"/>
      <c r="AB1074" s="17"/>
      <c r="AC1074" s="17"/>
      <c r="AD1074" s="17"/>
      <c r="AE1074" s="17"/>
    </row>
    <row r="1075">
      <c r="A1075" s="72"/>
      <c r="B1075" s="12"/>
      <c r="C1075" s="12"/>
      <c r="D1075" s="12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6"/>
      <c r="W1075" s="13"/>
      <c r="X1075" s="13"/>
      <c r="Y1075" s="13"/>
      <c r="Z1075" s="13"/>
      <c r="AA1075" s="17"/>
      <c r="AB1075" s="17"/>
      <c r="AC1075" s="17"/>
      <c r="AD1075" s="17"/>
      <c r="AE1075" s="17"/>
    </row>
    <row r="1076">
      <c r="A1076" s="72"/>
      <c r="B1076" s="12"/>
      <c r="C1076" s="12"/>
      <c r="D1076" s="12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6"/>
      <c r="W1076" s="13"/>
      <c r="X1076" s="13"/>
      <c r="Y1076" s="13"/>
      <c r="Z1076" s="13"/>
      <c r="AA1076" s="17"/>
      <c r="AB1076" s="17"/>
      <c r="AC1076" s="17"/>
      <c r="AD1076" s="17"/>
      <c r="AE1076" s="17"/>
    </row>
    <row r="1077">
      <c r="A1077" s="72"/>
      <c r="B1077" s="12"/>
      <c r="C1077" s="12"/>
      <c r="D1077" s="12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6"/>
      <c r="W1077" s="13"/>
      <c r="X1077" s="13"/>
      <c r="Y1077" s="13"/>
      <c r="Z1077" s="13"/>
      <c r="AA1077" s="17"/>
      <c r="AB1077" s="17"/>
      <c r="AC1077" s="17"/>
      <c r="AD1077" s="17"/>
      <c r="AE1077" s="17"/>
    </row>
    <row r="1078">
      <c r="A1078" s="72"/>
      <c r="B1078" s="12"/>
      <c r="C1078" s="12"/>
      <c r="D1078" s="12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6"/>
      <c r="W1078" s="13"/>
      <c r="X1078" s="13"/>
      <c r="Y1078" s="13"/>
      <c r="Z1078" s="13"/>
      <c r="AA1078" s="17"/>
      <c r="AB1078" s="17"/>
      <c r="AC1078" s="17"/>
      <c r="AD1078" s="17"/>
      <c r="AE1078" s="17"/>
    </row>
    <row r="1079">
      <c r="A1079" s="72"/>
      <c r="B1079" s="12"/>
      <c r="C1079" s="12"/>
      <c r="D1079" s="12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6"/>
      <c r="W1079" s="13"/>
      <c r="X1079" s="13"/>
      <c r="Y1079" s="13"/>
      <c r="Z1079" s="13"/>
      <c r="AA1079" s="17"/>
      <c r="AB1079" s="17"/>
      <c r="AC1079" s="17"/>
      <c r="AD1079" s="17"/>
      <c r="AE1079" s="17"/>
    </row>
    <row r="1080">
      <c r="A1080" s="72"/>
      <c r="B1080" s="12"/>
      <c r="C1080" s="12"/>
      <c r="D1080" s="12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6"/>
      <c r="W1080" s="13"/>
      <c r="X1080" s="13"/>
      <c r="Y1080" s="13"/>
      <c r="Z1080" s="13"/>
      <c r="AA1080" s="17"/>
      <c r="AB1080" s="17"/>
      <c r="AC1080" s="17"/>
      <c r="AD1080" s="17"/>
      <c r="AE1080" s="17"/>
    </row>
    <row r="1081">
      <c r="A1081" s="72"/>
      <c r="B1081" s="12"/>
      <c r="C1081" s="12"/>
      <c r="D1081" s="12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6"/>
      <c r="W1081" s="13"/>
      <c r="X1081" s="13"/>
      <c r="Y1081" s="13"/>
      <c r="Z1081" s="13"/>
      <c r="AA1081" s="17"/>
      <c r="AB1081" s="17"/>
      <c r="AC1081" s="17"/>
      <c r="AD1081" s="17"/>
      <c r="AE1081" s="17"/>
    </row>
    <row r="1082">
      <c r="A1082" s="72"/>
      <c r="B1082" s="12"/>
      <c r="C1082" s="12"/>
      <c r="D1082" s="12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6"/>
      <c r="W1082" s="13"/>
      <c r="X1082" s="13"/>
      <c r="Y1082" s="13"/>
      <c r="Z1082" s="13"/>
      <c r="AA1082" s="17"/>
      <c r="AB1082" s="17"/>
      <c r="AC1082" s="17"/>
      <c r="AD1082" s="17"/>
      <c r="AE1082" s="17"/>
    </row>
    <row r="1083">
      <c r="A1083" s="72"/>
      <c r="B1083" s="12"/>
      <c r="C1083" s="12"/>
      <c r="D1083" s="12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6"/>
      <c r="W1083" s="13"/>
      <c r="X1083" s="13"/>
      <c r="Y1083" s="13"/>
      <c r="Z1083" s="13"/>
      <c r="AA1083" s="17"/>
      <c r="AB1083" s="17"/>
      <c r="AC1083" s="17"/>
      <c r="AD1083" s="17"/>
      <c r="AE1083" s="17"/>
    </row>
    <row r="1084">
      <c r="A1084" s="72"/>
      <c r="B1084" s="12"/>
      <c r="C1084" s="12"/>
      <c r="D1084" s="12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6"/>
      <c r="W1084" s="13"/>
      <c r="X1084" s="13"/>
      <c r="Y1084" s="13"/>
      <c r="Z1084" s="13"/>
      <c r="AA1084" s="17"/>
      <c r="AB1084" s="17"/>
      <c r="AC1084" s="17"/>
      <c r="AD1084" s="17"/>
      <c r="AE1084" s="17"/>
    </row>
    <row r="1085">
      <c r="A1085" s="72"/>
      <c r="B1085" s="12"/>
      <c r="C1085" s="12"/>
      <c r="D1085" s="12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6"/>
      <c r="W1085" s="13"/>
      <c r="X1085" s="13"/>
      <c r="Y1085" s="13"/>
      <c r="Z1085" s="13"/>
      <c r="AA1085" s="17"/>
      <c r="AB1085" s="17"/>
      <c r="AC1085" s="17"/>
      <c r="AD1085" s="17"/>
      <c r="AE1085" s="17"/>
    </row>
    <row r="1086">
      <c r="A1086" s="72"/>
      <c r="B1086" s="12"/>
      <c r="C1086" s="12"/>
      <c r="D1086" s="12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6"/>
      <c r="W1086" s="13"/>
      <c r="X1086" s="13"/>
      <c r="Y1086" s="13"/>
      <c r="Z1086" s="13"/>
      <c r="AA1086" s="17"/>
      <c r="AB1086" s="17"/>
      <c r="AC1086" s="17"/>
      <c r="AD1086" s="17"/>
      <c r="AE1086" s="17"/>
    </row>
    <row r="1087">
      <c r="A1087" s="72"/>
      <c r="B1087" s="12"/>
      <c r="C1087" s="12"/>
      <c r="D1087" s="12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6"/>
      <c r="W1087" s="13"/>
      <c r="X1087" s="13"/>
      <c r="Y1087" s="13"/>
      <c r="Z1087" s="13"/>
      <c r="AA1087" s="17"/>
      <c r="AB1087" s="17"/>
      <c r="AC1087" s="17"/>
      <c r="AD1087" s="17"/>
      <c r="AE1087" s="17"/>
    </row>
    <row r="1088">
      <c r="A1088" s="72"/>
      <c r="B1088" s="12"/>
      <c r="C1088" s="12"/>
      <c r="D1088" s="12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6"/>
      <c r="W1088" s="13"/>
      <c r="X1088" s="13"/>
      <c r="Y1088" s="13"/>
      <c r="Z1088" s="13"/>
      <c r="AA1088" s="17"/>
      <c r="AB1088" s="17"/>
      <c r="AC1088" s="17"/>
      <c r="AD1088" s="17"/>
      <c r="AE1088" s="17"/>
    </row>
    <row r="1089">
      <c r="A1089" s="72"/>
      <c r="B1089" s="12"/>
      <c r="C1089" s="12"/>
      <c r="D1089" s="12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6"/>
      <c r="W1089" s="13"/>
      <c r="X1089" s="13"/>
      <c r="Y1089" s="13"/>
      <c r="Z1089" s="13"/>
      <c r="AA1089" s="17"/>
      <c r="AB1089" s="17"/>
      <c r="AC1089" s="17"/>
      <c r="AD1089" s="17"/>
      <c r="AE1089" s="17"/>
    </row>
    <row r="1090">
      <c r="A1090" s="72"/>
      <c r="B1090" s="12"/>
      <c r="C1090" s="12"/>
      <c r="D1090" s="12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6"/>
      <c r="W1090" s="13"/>
      <c r="X1090" s="13"/>
      <c r="Y1090" s="13"/>
      <c r="Z1090" s="13"/>
      <c r="AA1090" s="17"/>
      <c r="AB1090" s="17"/>
      <c r="AC1090" s="17"/>
      <c r="AD1090" s="17"/>
      <c r="AE1090" s="17"/>
    </row>
    <row r="1091">
      <c r="A1091" s="72"/>
      <c r="B1091" s="12"/>
      <c r="C1091" s="12"/>
      <c r="D1091" s="12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6"/>
      <c r="W1091" s="13"/>
      <c r="X1091" s="13"/>
      <c r="Y1091" s="13"/>
      <c r="Z1091" s="13"/>
      <c r="AA1091" s="17"/>
      <c r="AB1091" s="17"/>
      <c r="AC1091" s="17"/>
      <c r="AD1091" s="17"/>
      <c r="AE1091" s="17"/>
    </row>
    <row r="1092">
      <c r="A1092" s="72"/>
      <c r="B1092" s="12"/>
      <c r="C1092" s="12"/>
      <c r="D1092" s="12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6"/>
      <c r="W1092" s="13"/>
      <c r="X1092" s="13"/>
      <c r="Y1092" s="13"/>
      <c r="Z1092" s="13"/>
      <c r="AA1092" s="17"/>
      <c r="AB1092" s="17"/>
      <c r="AC1092" s="17"/>
      <c r="AD1092" s="17"/>
      <c r="AE1092" s="17"/>
    </row>
    <row r="1093">
      <c r="A1093" s="72"/>
      <c r="B1093" s="12"/>
      <c r="C1093" s="12"/>
      <c r="D1093" s="12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6"/>
      <c r="W1093" s="13"/>
      <c r="X1093" s="13"/>
      <c r="Y1093" s="13"/>
      <c r="Z1093" s="13"/>
      <c r="AA1093" s="17"/>
      <c r="AB1093" s="17"/>
      <c r="AC1093" s="17"/>
      <c r="AD1093" s="17"/>
      <c r="AE1093" s="17"/>
    </row>
    <row r="1094">
      <c r="A1094" s="72"/>
      <c r="B1094" s="12"/>
      <c r="C1094" s="12"/>
      <c r="D1094" s="12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6"/>
      <c r="W1094" s="13"/>
      <c r="X1094" s="13"/>
      <c r="Y1094" s="13"/>
      <c r="Z1094" s="13"/>
      <c r="AA1094" s="17"/>
      <c r="AB1094" s="17"/>
      <c r="AC1094" s="17"/>
      <c r="AD1094" s="17"/>
      <c r="AE1094" s="17"/>
    </row>
    <row r="1095">
      <c r="A1095" s="72"/>
      <c r="B1095" s="12"/>
      <c r="C1095" s="12"/>
      <c r="D1095" s="12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6"/>
      <c r="W1095" s="13"/>
      <c r="X1095" s="13"/>
      <c r="Y1095" s="13"/>
      <c r="Z1095" s="13"/>
      <c r="AA1095" s="17"/>
      <c r="AB1095" s="17"/>
      <c r="AC1095" s="17"/>
      <c r="AD1095" s="17"/>
      <c r="AE1095" s="17"/>
    </row>
    <row r="1096">
      <c r="A1096" s="72"/>
      <c r="B1096" s="12"/>
      <c r="C1096" s="12"/>
      <c r="D1096" s="12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6"/>
      <c r="W1096" s="13"/>
      <c r="X1096" s="13"/>
      <c r="Y1096" s="13"/>
      <c r="Z1096" s="13"/>
      <c r="AA1096" s="17"/>
      <c r="AB1096" s="17"/>
      <c r="AC1096" s="17"/>
      <c r="AD1096" s="17"/>
      <c r="AE1096" s="17"/>
    </row>
    <row r="1097">
      <c r="A1097" s="72"/>
      <c r="B1097" s="12"/>
      <c r="C1097" s="12"/>
      <c r="D1097" s="12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6"/>
      <c r="W1097" s="13"/>
      <c r="X1097" s="13"/>
      <c r="Y1097" s="13"/>
      <c r="Z1097" s="13"/>
      <c r="AA1097" s="17"/>
      <c r="AB1097" s="17"/>
      <c r="AC1097" s="17"/>
      <c r="AD1097" s="17"/>
      <c r="AE1097" s="17"/>
    </row>
    <row r="1098">
      <c r="A1098" s="72"/>
      <c r="B1098" s="12"/>
      <c r="C1098" s="12"/>
      <c r="D1098" s="12"/>
      <c r="E1098" s="13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6"/>
      <c r="W1098" s="13"/>
      <c r="X1098" s="13"/>
      <c r="Y1098" s="13"/>
      <c r="Z1098" s="13"/>
      <c r="AA1098" s="17"/>
      <c r="AB1098" s="17"/>
      <c r="AC1098" s="17"/>
      <c r="AD1098" s="17"/>
      <c r="AE1098" s="17"/>
    </row>
    <row r="1099">
      <c r="A1099" s="72"/>
      <c r="B1099" s="12"/>
      <c r="C1099" s="12"/>
      <c r="D1099" s="12"/>
      <c r="E1099" s="13"/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6"/>
      <c r="W1099" s="13"/>
      <c r="X1099" s="13"/>
      <c r="Y1099" s="13"/>
      <c r="Z1099" s="13"/>
      <c r="AA1099" s="17"/>
      <c r="AB1099" s="17"/>
      <c r="AC1099" s="17"/>
      <c r="AD1099" s="17"/>
      <c r="AE1099" s="17"/>
    </row>
    <row r="1100">
      <c r="A1100" s="72"/>
      <c r="B1100" s="12"/>
      <c r="C1100" s="12"/>
      <c r="D1100" s="12"/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6"/>
      <c r="W1100" s="13"/>
      <c r="X1100" s="13"/>
      <c r="Y1100" s="13"/>
      <c r="Z1100" s="13"/>
      <c r="AA1100" s="17"/>
      <c r="AB1100" s="17"/>
      <c r="AC1100" s="17"/>
      <c r="AD1100" s="17"/>
      <c r="AE1100" s="17"/>
    </row>
    <row r="1101">
      <c r="A1101" s="72"/>
      <c r="B1101" s="12"/>
      <c r="C1101" s="12"/>
      <c r="D1101" s="12"/>
      <c r="E1101" s="13"/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6"/>
      <c r="W1101" s="13"/>
      <c r="X1101" s="13"/>
      <c r="Y1101" s="13"/>
      <c r="Z1101" s="13"/>
      <c r="AA1101" s="17"/>
      <c r="AB1101" s="17"/>
      <c r="AC1101" s="17"/>
      <c r="AD1101" s="17"/>
      <c r="AE1101" s="17"/>
    </row>
    <row r="1102">
      <c r="A1102" s="72"/>
      <c r="B1102" s="12"/>
      <c r="C1102" s="12"/>
      <c r="D1102" s="12"/>
      <c r="E1102" s="13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6"/>
      <c r="W1102" s="13"/>
      <c r="X1102" s="13"/>
      <c r="Y1102" s="13"/>
      <c r="Z1102" s="13"/>
      <c r="AA1102" s="17"/>
      <c r="AB1102" s="17"/>
      <c r="AC1102" s="17"/>
      <c r="AD1102" s="17"/>
      <c r="AE1102" s="17"/>
    </row>
    <row r="1103">
      <c r="A1103" s="72"/>
      <c r="B1103" s="12"/>
      <c r="C1103" s="12"/>
      <c r="D1103" s="12"/>
      <c r="E1103" s="13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6"/>
      <c r="W1103" s="13"/>
      <c r="X1103" s="13"/>
      <c r="Y1103" s="13"/>
      <c r="Z1103" s="13"/>
      <c r="AA1103" s="17"/>
      <c r="AB1103" s="17"/>
      <c r="AC1103" s="17"/>
      <c r="AD1103" s="17"/>
      <c r="AE1103" s="17"/>
    </row>
    <row r="1104">
      <c r="A1104" s="72"/>
      <c r="B1104" s="12"/>
      <c r="C1104" s="12"/>
      <c r="D1104" s="12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6"/>
      <c r="W1104" s="13"/>
      <c r="X1104" s="13"/>
      <c r="Y1104" s="13"/>
      <c r="Z1104" s="13"/>
      <c r="AA1104" s="17"/>
      <c r="AB1104" s="17"/>
      <c r="AC1104" s="17"/>
      <c r="AD1104" s="17"/>
      <c r="AE1104" s="17"/>
    </row>
    <row r="1105">
      <c r="A1105" s="72"/>
      <c r="B1105" s="12"/>
      <c r="C1105" s="12"/>
      <c r="D1105" s="12"/>
      <c r="E1105" s="13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6"/>
      <c r="W1105" s="13"/>
      <c r="X1105" s="13"/>
      <c r="Y1105" s="13"/>
      <c r="Z1105" s="13"/>
      <c r="AA1105" s="17"/>
      <c r="AB1105" s="17"/>
      <c r="AC1105" s="17"/>
      <c r="AD1105" s="17"/>
      <c r="AE1105" s="17"/>
    </row>
    <row r="1106">
      <c r="A1106" s="72"/>
      <c r="B1106" s="12"/>
      <c r="C1106" s="12"/>
      <c r="D1106" s="12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6"/>
      <c r="W1106" s="13"/>
      <c r="X1106" s="13"/>
      <c r="Y1106" s="13"/>
      <c r="Z1106" s="13"/>
      <c r="AA1106" s="17"/>
      <c r="AB1106" s="17"/>
      <c r="AC1106" s="17"/>
      <c r="AD1106" s="17"/>
      <c r="AE1106" s="17"/>
    </row>
    <row r="1107">
      <c r="A1107" s="72"/>
      <c r="B1107" s="12"/>
      <c r="C1107" s="12"/>
      <c r="D1107" s="12"/>
      <c r="E1107" s="13"/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6"/>
      <c r="W1107" s="13"/>
      <c r="X1107" s="13"/>
      <c r="Y1107" s="13"/>
      <c r="Z1107" s="13"/>
      <c r="AA1107" s="17"/>
      <c r="AB1107" s="17"/>
      <c r="AC1107" s="17"/>
      <c r="AD1107" s="17"/>
      <c r="AE1107" s="17"/>
    </row>
    <row r="1108">
      <c r="A1108" s="72"/>
      <c r="B1108" s="12"/>
      <c r="C1108" s="12"/>
      <c r="D1108" s="12"/>
      <c r="E1108" s="13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6"/>
      <c r="W1108" s="13"/>
      <c r="X1108" s="13"/>
      <c r="Y1108" s="13"/>
      <c r="Z1108" s="13"/>
      <c r="AA1108" s="17"/>
      <c r="AB1108" s="17"/>
      <c r="AC1108" s="17"/>
      <c r="AD1108" s="17"/>
      <c r="AE1108" s="17"/>
    </row>
    <row r="1109">
      <c r="A1109" s="72"/>
      <c r="B1109" s="12"/>
      <c r="C1109" s="12"/>
      <c r="D1109" s="12"/>
      <c r="E1109" s="13"/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6"/>
      <c r="W1109" s="13"/>
      <c r="X1109" s="13"/>
      <c r="Y1109" s="13"/>
      <c r="Z1109" s="13"/>
      <c r="AA1109" s="17"/>
      <c r="AB1109" s="17"/>
      <c r="AC1109" s="17"/>
      <c r="AD1109" s="17"/>
      <c r="AE1109" s="17"/>
    </row>
    <row r="1110">
      <c r="A1110" s="72"/>
      <c r="B1110" s="12"/>
      <c r="C1110" s="12"/>
      <c r="D1110" s="12"/>
      <c r="E1110" s="13"/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6"/>
      <c r="W1110" s="13"/>
      <c r="X1110" s="13"/>
      <c r="Y1110" s="13"/>
      <c r="Z1110" s="13"/>
      <c r="AA1110" s="17"/>
      <c r="AB1110" s="17"/>
      <c r="AC1110" s="17"/>
      <c r="AD1110" s="17"/>
      <c r="AE1110" s="17"/>
    </row>
    <row r="1111">
      <c r="A1111" s="72"/>
      <c r="B1111" s="12"/>
      <c r="C1111" s="12"/>
      <c r="D1111" s="12"/>
      <c r="E1111" s="13"/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6"/>
      <c r="W1111" s="13"/>
      <c r="X1111" s="13"/>
      <c r="Y1111" s="13"/>
      <c r="Z1111" s="13"/>
      <c r="AA1111" s="17"/>
      <c r="AB1111" s="17"/>
      <c r="AC1111" s="17"/>
      <c r="AD1111" s="17"/>
      <c r="AE1111" s="17"/>
    </row>
    <row r="1112">
      <c r="A1112" s="72"/>
      <c r="B1112" s="12"/>
      <c r="C1112" s="12"/>
      <c r="D1112" s="12"/>
      <c r="E1112" s="13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6"/>
      <c r="W1112" s="13"/>
      <c r="X1112" s="13"/>
      <c r="Y1112" s="13"/>
      <c r="Z1112" s="13"/>
      <c r="AA1112" s="17"/>
      <c r="AB1112" s="17"/>
      <c r="AC1112" s="17"/>
      <c r="AD1112" s="17"/>
      <c r="AE1112" s="17"/>
    </row>
    <row r="1113">
      <c r="A1113" s="72"/>
      <c r="B1113" s="12"/>
      <c r="C1113" s="12"/>
      <c r="D1113" s="12"/>
      <c r="E1113" s="13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6"/>
      <c r="W1113" s="13"/>
      <c r="X1113" s="13"/>
      <c r="Y1113" s="13"/>
      <c r="Z1113" s="13"/>
      <c r="AA1113" s="17"/>
      <c r="AB1113" s="17"/>
      <c r="AC1113" s="17"/>
      <c r="AD1113" s="17"/>
      <c r="AE1113" s="17"/>
    </row>
    <row r="1114">
      <c r="A1114" s="72"/>
      <c r="B1114" s="12"/>
      <c r="C1114" s="12"/>
      <c r="D1114" s="12"/>
      <c r="E1114" s="13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6"/>
      <c r="W1114" s="13"/>
      <c r="X1114" s="13"/>
      <c r="Y1114" s="13"/>
      <c r="Z1114" s="13"/>
      <c r="AA1114" s="17"/>
      <c r="AB1114" s="17"/>
      <c r="AC1114" s="17"/>
      <c r="AD1114" s="17"/>
      <c r="AE1114" s="17"/>
    </row>
    <row r="1115">
      <c r="A1115" s="72"/>
      <c r="B1115" s="12"/>
      <c r="C1115" s="12"/>
      <c r="D1115" s="12"/>
      <c r="E1115" s="13"/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6"/>
      <c r="W1115" s="13"/>
      <c r="X1115" s="13"/>
      <c r="Y1115" s="13"/>
      <c r="Z1115" s="13"/>
      <c r="AA1115" s="17"/>
      <c r="AB1115" s="17"/>
      <c r="AC1115" s="17"/>
      <c r="AD1115" s="17"/>
      <c r="AE1115" s="17"/>
    </row>
    <row r="1116">
      <c r="A1116" s="72"/>
      <c r="B1116" s="12"/>
      <c r="C1116" s="12"/>
      <c r="D1116" s="12"/>
      <c r="E1116" s="13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6"/>
      <c r="W1116" s="13"/>
      <c r="X1116" s="13"/>
      <c r="Y1116" s="13"/>
      <c r="Z1116" s="13"/>
      <c r="AA1116" s="17"/>
      <c r="AB1116" s="17"/>
      <c r="AC1116" s="17"/>
      <c r="AD1116" s="17"/>
      <c r="AE1116" s="17"/>
    </row>
    <row r="1117">
      <c r="A1117" s="72"/>
      <c r="B1117" s="12"/>
      <c r="C1117" s="12"/>
      <c r="D1117" s="12"/>
      <c r="E1117" s="13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6"/>
      <c r="W1117" s="13"/>
      <c r="X1117" s="13"/>
      <c r="Y1117" s="13"/>
      <c r="Z1117" s="13"/>
      <c r="AA1117" s="17"/>
      <c r="AB1117" s="17"/>
      <c r="AC1117" s="17"/>
      <c r="AD1117" s="17"/>
      <c r="AE1117" s="17"/>
    </row>
    <row r="1118">
      <c r="A1118" s="72"/>
      <c r="B1118" s="12"/>
      <c r="C1118" s="12"/>
      <c r="D1118" s="12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6"/>
      <c r="W1118" s="13"/>
      <c r="X1118" s="13"/>
      <c r="Y1118" s="13"/>
      <c r="Z1118" s="13"/>
      <c r="AA1118" s="17"/>
      <c r="AB1118" s="17"/>
      <c r="AC1118" s="17"/>
      <c r="AD1118" s="17"/>
      <c r="AE1118" s="17"/>
    </row>
    <row r="1119">
      <c r="A1119" s="72"/>
      <c r="B1119" s="12"/>
      <c r="C1119" s="12"/>
      <c r="D1119" s="12"/>
      <c r="E1119" s="13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6"/>
      <c r="W1119" s="13"/>
      <c r="X1119" s="13"/>
      <c r="Y1119" s="13"/>
      <c r="Z1119" s="13"/>
      <c r="AA1119" s="17"/>
      <c r="AB1119" s="17"/>
      <c r="AC1119" s="17"/>
      <c r="AD1119" s="17"/>
      <c r="AE1119" s="17"/>
    </row>
    <row r="1120">
      <c r="A1120" s="72"/>
      <c r="B1120" s="12"/>
      <c r="C1120" s="12"/>
      <c r="D1120" s="12"/>
      <c r="E1120" s="13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6"/>
      <c r="W1120" s="13"/>
      <c r="X1120" s="13"/>
      <c r="Y1120" s="13"/>
      <c r="Z1120" s="13"/>
      <c r="AA1120" s="17"/>
      <c r="AB1120" s="17"/>
      <c r="AC1120" s="17"/>
      <c r="AD1120" s="17"/>
      <c r="AE1120" s="17"/>
    </row>
    <row r="1121">
      <c r="A1121" s="72"/>
      <c r="B1121" s="12"/>
      <c r="C1121" s="12"/>
      <c r="D1121" s="12"/>
      <c r="E1121" s="13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6"/>
      <c r="W1121" s="13"/>
      <c r="X1121" s="13"/>
      <c r="Y1121" s="13"/>
      <c r="Z1121" s="13"/>
      <c r="AA1121" s="17"/>
      <c r="AB1121" s="17"/>
      <c r="AC1121" s="17"/>
      <c r="AD1121" s="17"/>
      <c r="AE1121" s="17"/>
    </row>
    <row r="1122">
      <c r="A1122" s="72"/>
      <c r="B1122" s="12"/>
      <c r="C1122" s="12"/>
      <c r="D1122" s="12"/>
      <c r="E1122" s="13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6"/>
      <c r="W1122" s="13"/>
      <c r="X1122" s="13"/>
      <c r="Y1122" s="13"/>
      <c r="Z1122" s="13"/>
      <c r="AA1122" s="17"/>
      <c r="AB1122" s="17"/>
      <c r="AC1122" s="17"/>
      <c r="AD1122" s="17"/>
      <c r="AE1122" s="17"/>
    </row>
    <row r="1123">
      <c r="A1123" s="72"/>
      <c r="B1123" s="12"/>
      <c r="C1123" s="12"/>
      <c r="D1123" s="12"/>
      <c r="E1123" s="13"/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6"/>
      <c r="W1123" s="13"/>
      <c r="X1123" s="13"/>
      <c r="Y1123" s="13"/>
      <c r="Z1123" s="13"/>
      <c r="AA1123" s="17"/>
      <c r="AB1123" s="17"/>
      <c r="AC1123" s="17"/>
      <c r="AD1123" s="17"/>
      <c r="AE1123" s="17"/>
    </row>
    <row r="1124">
      <c r="A1124" s="72"/>
      <c r="B1124" s="12"/>
      <c r="C1124" s="12"/>
      <c r="D1124" s="12"/>
      <c r="E1124" s="13"/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6"/>
      <c r="W1124" s="13"/>
      <c r="X1124" s="13"/>
      <c r="Y1124" s="13"/>
      <c r="Z1124" s="13"/>
      <c r="AA1124" s="17"/>
      <c r="AB1124" s="17"/>
      <c r="AC1124" s="17"/>
      <c r="AD1124" s="17"/>
      <c r="AE1124" s="17"/>
    </row>
    <row r="1125">
      <c r="A1125" s="72"/>
      <c r="B1125" s="12"/>
      <c r="C1125" s="12"/>
      <c r="D1125" s="12"/>
      <c r="E1125" s="13"/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6"/>
      <c r="W1125" s="13"/>
      <c r="X1125" s="13"/>
      <c r="Y1125" s="13"/>
      <c r="Z1125" s="13"/>
      <c r="AA1125" s="17"/>
      <c r="AB1125" s="17"/>
      <c r="AC1125" s="17"/>
      <c r="AD1125" s="17"/>
      <c r="AE1125" s="17"/>
    </row>
    <row r="1126">
      <c r="A1126" s="72"/>
      <c r="B1126" s="12"/>
      <c r="C1126" s="12"/>
      <c r="D1126" s="12"/>
      <c r="E1126" s="13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6"/>
      <c r="W1126" s="13"/>
      <c r="X1126" s="13"/>
      <c r="Y1126" s="13"/>
      <c r="Z1126" s="13"/>
      <c r="AA1126" s="17"/>
      <c r="AB1126" s="17"/>
      <c r="AC1126" s="17"/>
      <c r="AD1126" s="17"/>
      <c r="AE1126" s="17"/>
    </row>
    <row r="1127">
      <c r="A1127" s="72"/>
      <c r="B1127" s="12"/>
      <c r="C1127" s="12"/>
      <c r="D1127" s="12"/>
      <c r="E1127" s="13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6"/>
      <c r="W1127" s="13"/>
      <c r="X1127" s="13"/>
      <c r="Y1127" s="13"/>
      <c r="Z1127" s="13"/>
      <c r="AA1127" s="17"/>
      <c r="AB1127" s="17"/>
      <c r="AC1127" s="17"/>
      <c r="AD1127" s="17"/>
      <c r="AE1127" s="17"/>
    </row>
    <row r="1128">
      <c r="A1128" s="72"/>
      <c r="B1128" s="12"/>
      <c r="C1128" s="12"/>
      <c r="D1128" s="12"/>
      <c r="E1128" s="13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6"/>
      <c r="W1128" s="13"/>
      <c r="X1128" s="13"/>
      <c r="Y1128" s="13"/>
      <c r="Z1128" s="13"/>
      <c r="AA1128" s="17"/>
      <c r="AB1128" s="17"/>
      <c r="AC1128" s="17"/>
      <c r="AD1128" s="17"/>
      <c r="AE1128" s="17"/>
    </row>
    <row r="1129">
      <c r="A1129" s="72"/>
      <c r="B1129" s="12"/>
      <c r="C1129" s="12"/>
      <c r="D1129" s="12"/>
      <c r="E1129" s="13"/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6"/>
      <c r="W1129" s="13"/>
      <c r="X1129" s="13"/>
      <c r="Y1129" s="13"/>
      <c r="Z1129" s="13"/>
      <c r="AA1129" s="17"/>
      <c r="AB1129" s="17"/>
      <c r="AC1129" s="17"/>
      <c r="AD1129" s="17"/>
      <c r="AE1129" s="17"/>
    </row>
    <row r="1130">
      <c r="A1130" s="72"/>
      <c r="B1130" s="12"/>
      <c r="C1130" s="12"/>
      <c r="D1130" s="12"/>
      <c r="E1130" s="13"/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6"/>
      <c r="W1130" s="13"/>
      <c r="X1130" s="13"/>
      <c r="Y1130" s="13"/>
      <c r="Z1130" s="13"/>
      <c r="AA1130" s="17"/>
      <c r="AB1130" s="17"/>
      <c r="AC1130" s="17"/>
      <c r="AD1130" s="17"/>
      <c r="AE1130" s="17"/>
    </row>
    <row r="1131">
      <c r="A1131" s="72"/>
      <c r="B1131" s="12"/>
      <c r="C1131" s="12"/>
      <c r="D1131" s="12"/>
      <c r="E1131" s="13"/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6"/>
      <c r="W1131" s="13"/>
      <c r="X1131" s="13"/>
      <c r="Y1131" s="13"/>
      <c r="Z1131" s="13"/>
      <c r="AA1131" s="17"/>
      <c r="AB1131" s="17"/>
      <c r="AC1131" s="17"/>
      <c r="AD1131" s="17"/>
      <c r="AE1131" s="17"/>
    </row>
    <row r="1132">
      <c r="A1132" s="72"/>
      <c r="B1132" s="12"/>
      <c r="C1132" s="12"/>
      <c r="D1132" s="12"/>
      <c r="E1132" s="13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6"/>
      <c r="W1132" s="13"/>
      <c r="X1132" s="13"/>
      <c r="Y1132" s="13"/>
      <c r="Z1132" s="13"/>
      <c r="AA1132" s="17"/>
      <c r="AB1132" s="17"/>
      <c r="AC1132" s="17"/>
      <c r="AD1132" s="17"/>
      <c r="AE1132" s="17"/>
    </row>
    <row r="1133">
      <c r="A1133" s="72"/>
      <c r="B1133" s="12"/>
      <c r="C1133" s="12"/>
      <c r="D1133" s="12"/>
      <c r="E1133" s="13"/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6"/>
      <c r="W1133" s="13"/>
      <c r="X1133" s="13"/>
      <c r="Y1133" s="13"/>
      <c r="Z1133" s="13"/>
      <c r="AA1133" s="17"/>
      <c r="AB1133" s="17"/>
      <c r="AC1133" s="17"/>
      <c r="AD1133" s="17"/>
      <c r="AE1133" s="17"/>
    </row>
    <row r="1134">
      <c r="A1134" s="72"/>
      <c r="B1134" s="12"/>
      <c r="C1134" s="12"/>
      <c r="D1134" s="12"/>
      <c r="E1134" s="13"/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6"/>
      <c r="W1134" s="13"/>
      <c r="X1134" s="13"/>
      <c r="Y1134" s="13"/>
      <c r="Z1134" s="13"/>
      <c r="AA1134" s="17"/>
      <c r="AB1134" s="17"/>
      <c r="AC1134" s="17"/>
      <c r="AD1134" s="17"/>
      <c r="AE1134" s="17"/>
    </row>
    <row r="1135">
      <c r="A1135" s="72"/>
      <c r="B1135" s="12"/>
      <c r="C1135" s="12"/>
      <c r="D1135" s="12"/>
      <c r="E1135" s="13"/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6"/>
      <c r="W1135" s="13"/>
      <c r="X1135" s="13"/>
      <c r="Y1135" s="13"/>
      <c r="Z1135" s="13"/>
      <c r="AA1135" s="17"/>
      <c r="AB1135" s="17"/>
      <c r="AC1135" s="17"/>
      <c r="AD1135" s="17"/>
      <c r="AE1135" s="17"/>
    </row>
    <row r="1136">
      <c r="A1136" s="72"/>
      <c r="B1136" s="12"/>
      <c r="C1136" s="12"/>
      <c r="D1136" s="12"/>
      <c r="E1136" s="13"/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6"/>
      <c r="W1136" s="13"/>
      <c r="X1136" s="13"/>
      <c r="Y1136" s="13"/>
      <c r="Z1136" s="13"/>
      <c r="AA1136" s="17"/>
      <c r="AB1136" s="17"/>
      <c r="AC1136" s="17"/>
      <c r="AD1136" s="17"/>
      <c r="AE1136" s="17"/>
    </row>
    <row r="1137">
      <c r="A1137" s="72"/>
      <c r="B1137" s="12"/>
      <c r="C1137" s="12"/>
      <c r="D1137" s="12"/>
      <c r="E1137" s="13"/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6"/>
      <c r="W1137" s="13"/>
      <c r="X1137" s="13"/>
      <c r="Y1137" s="13"/>
      <c r="Z1137" s="13"/>
      <c r="AA1137" s="17"/>
      <c r="AB1137" s="17"/>
      <c r="AC1137" s="17"/>
      <c r="AD1137" s="17"/>
      <c r="AE1137" s="17"/>
    </row>
    <row r="1138">
      <c r="A1138" s="72"/>
      <c r="B1138" s="12"/>
      <c r="C1138" s="12"/>
      <c r="D1138" s="12"/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6"/>
      <c r="W1138" s="13"/>
      <c r="X1138" s="13"/>
      <c r="Y1138" s="13"/>
      <c r="Z1138" s="13"/>
      <c r="AA1138" s="17"/>
      <c r="AB1138" s="17"/>
      <c r="AC1138" s="17"/>
      <c r="AD1138" s="17"/>
      <c r="AE1138" s="17"/>
    </row>
    <row r="1139">
      <c r="A1139" s="72"/>
      <c r="B1139" s="12"/>
      <c r="C1139" s="12"/>
      <c r="D1139" s="12"/>
      <c r="E1139" s="13"/>
      <c r="F1139" s="13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6"/>
      <c r="W1139" s="13"/>
      <c r="X1139" s="13"/>
      <c r="Y1139" s="13"/>
      <c r="Z1139" s="13"/>
      <c r="AA1139" s="17"/>
      <c r="AB1139" s="17"/>
      <c r="AC1139" s="17"/>
      <c r="AD1139" s="17"/>
      <c r="AE1139" s="17"/>
    </row>
    <row r="1140">
      <c r="A1140" s="72"/>
      <c r="B1140" s="12"/>
      <c r="C1140" s="12"/>
      <c r="D1140" s="12"/>
      <c r="E1140" s="13"/>
      <c r="F1140" s="13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6"/>
      <c r="W1140" s="13"/>
      <c r="X1140" s="13"/>
      <c r="Y1140" s="13"/>
      <c r="Z1140" s="13"/>
      <c r="AA1140" s="17"/>
      <c r="AB1140" s="17"/>
      <c r="AC1140" s="17"/>
      <c r="AD1140" s="17"/>
      <c r="AE1140" s="17"/>
    </row>
    <row r="1141">
      <c r="A1141" s="72"/>
      <c r="B1141" s="12"/>
      <c r="C1141" s="12"/>
      <c r="D1141" s="12"/>
      <c r="E1141" s="13"/>
      <c r="F1141" s="13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6"/>
      <c r="W1141" s="13"/>
      <c r="X1141" s="13"/>
      <c r="Y1141" s="13"/>
      <c r="Z1141" s="13"/>
      <c r="AA1141" s="17"/>
      <c r="AB1141" s="17"/>
      <c r="AC1141" s="17"/>
      <c r="AD1141" s="17"/>
      <c r="AE1141" s="17"/>
    </row>
    <row r="1142">
      <c r="A1142" s="72"/>
      <c r="B1142" s="12"/>
      <c r="C1142" s="12"/>
      <c r="D1142" s="12"/>
      <c r="E1142" s="13"/>
      <c r="F1142" s="13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6"/>
      <c r="W1142" s="13"/>
      <c r="X1142" s="13"/>
      <c r="Y1142" s="13"/>
      <c r="Z1142" s="13"/>
      <c r="AA1142" s="17"/>
      <c r="AB1142" s="17"/>
      <c r="AC1142" s="17"/>
      <c r="AD1142" s="17"/>
      <c r="AE1142" s="17"/>
    </row>
    <row r="1143">
      <c r="A1143" s="72"/>
      <c r="B1143" s="12"/>
      <c r="C1143" s="12"/>
      <c r="D1143" s="12"/>
      <c r="E1143" s="13"/>
      <c r="F1143" s="13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6"/>
      <c r="W1143" s="13"/>
      <c r="X1143" s="13"/>
      <c r="Y1143" s="13"/>
      <c r="Z1143" s="13"/>
      <c r="AA1143" s="17"/>
      <c r="AB1143" s="17"/>
      <c r="AC1143" s="17"/>
      <c r="AD1143" s="17"/>
      <c r="AE1143" s="17"/>
    </row>
    <row r="1144">
      <c r="A1144" s="72"/>
      <c r="B1144" s="12"/>
      <c r="C1144" s="12"/>
      <c r="D1144" s="12"/>
      <c r="E1144" s="13"/>
      <c r="F1144" s="13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6"/>
      <c r="W1144" s="13"/>
      <c r="X1144" s="13"/>
      <c r="Y1144" s="13"/>
      <c r="Z1144" s="13"/>
      <c r="AA1144" s="17"/>
      <c r="AB1144" s="17"/>
      <c r="AC1144" s="17"/>
      <c r="AD1144" s="17"/>
      <c r="AE1144" s="17"/>
    </row>
    <row r="1145">
      <c r="A1145" s="72"/>
      <c r="B1145" s="12"/>
      <c r="C1145" s="12"/>
      <c r="D1145" s="12"/>
      <c r="E1145" s="13"/>
      <c r="F1145" s="13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6"/>
      <c r="W1145" s="13"/>
      <c r="X1145" s="13"/>
      <c r="Y1145" s="13"/>
      <c r="Z1145" s="13"/>
      <c r="AA1145" s="17"/>
      <c r="AB1145" s="17"/>
      <c r="AC1145" s="17"/>
      <c r="AD1145" s="17"/>
      <c r="AE1145" s="17"/>
    </row>
    <row r="1146">
      <c r="A1146" s="72"/>
      <c r="B1146" s="12"/>
      <c r="C1146" s="12"/>
      <c r="D1146" s="12"/>
      <c r="E1146" s="13"/>
      <c r="F1146" s="13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6"/>
      <c r="W1146" s="13"/>
      <c r="X1146" s="13"/>
      <c r="Y1146" s="13"/>
      <c r="Z1146" s="13"/>
      <c r="AA1146" s="17"/>
      <c r="AB1146" s="17"/>
      <c r="AC1146" s="17"/>
      <c r="AD1146" s="17"/>
      <c r="AE1146" s="17"/>
    </row>
    <row r="1147">
      <c r="A1147" s="72"/>
      <c r="B1147" s="12"/>
      <c r="C1147" s="12"/>
      <c r="D1147" s="12"/>
      <c r="E1147" s="13"/>
      <c r="F1147" s="13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6"/>
      <c r="W1147" s="13"/>
      <c r="X1147" s="13"/>
      <c r="Y1147" s="13"/>
      <c r="Z1147" s="13"/>
      <c r="AA1147" s="17"/>
      <c r="AB1147" s="17"/>
      <c r="AC1147" s="17"/>
      <c r="AD1147" s="17"/>
      <c r="AE1147" s="17"/>
    </row>
    <row r="1148">
      <c r="A1148" s="72"/>
      <c r="B1148" s="12"/>
      <c r="C1148" s="12"/>
      <c r="D1148" s="12"/>
      <c r="E1148" s="13"/>
      <c r="F1148" s="13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6"/>
      <c r="W1148" s="13"/>
      <c r="X1148" s="13"/>
      <c r="Y1148" s="13"/>
      <c r="Z1148" s="13"/>
      <c r="AA1148" s="17"/>
      <c r="AB1148" s="17"/>
      <c r="AC1148" s="17"/>
      <c r="AD1148" s="17"/>
      <c r="AE1148" s="17"/>
    </row>
    <row r="1149">
      <c r="A1149" s="72"/>
      <c r="B1149" s="12"/>
      <c r="C1149" s="12"/>
      <c r="D1149" s="12"/>
      <c r="E1149" s="13"/>
      <c r="F1149" s="13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6"/>
      <c r="W1149" s="13"/>
      <c r="X1149" s="13"/>
      <c r="Y1149" s="13"/>
      <c r="Z1149" s="13"/>
      <c r="AA1149" s="17"/>
      <c r="AB1149" s="17"/>
      <c r="AC1149" s="17"/>
      <c r="AD1149" s="17"/>
      <c r="AE1149" s="17"/>
    </row>
    <row r="1150">
      <c r="A1150" s="72"/>
      <c r="B1150" s="12"/>
      <c r="C1150" s="12"/>
      <c r="D1150" s="12"/>
      <c r="E1150" s="13"/>
      <c r="F1150" s="13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6"/>
      <c r="W1150" s="13"/>
      <c r="X1150" s="13"/>
      <c r="Y1150" s="13"/>
      <c r="Z1150" s="13"/>
      <c r="AA1150" s="17"/>
      <c r="AB1150" s="17"/>
      <c r="AC1150" s="17"/>
      <c r="AD1150" s="17"/>
      <c r="AE1150" s="17"/>
    </row>
    <row r="1151">
      <c r="A1151" s="72"/>
      <c r="B1151" s="12"/>
      <c r="C1151" s="12"/>
      <c r="D1151" s="12"/>
      <c r="E1151" s="13"/>
      <c r="F1151" s="13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6"/>
      <c r="W1151" s="13"/>
      <c r="X1151" s="13"/>
      <c r="Y1151" s="13"/>
      <c r="Z1151" s="13"/>
      <c r="AA1151" s="17"/>
      <c r="AB1151" s="17"/>
      <c r="AC1151" s="17"/>
      <c r="AD1151" s="17"/>
      <c r="AE1151" s="17"/>
    </row>
    <row r="1152">
      <c r="A1152" s="72"/>
      <c r="B1152" s="12"/>
      <c r="C1152" s="12"/>
      <c r="D1152" s="12"/>
      <c r="E1152" s="13"/>
      <c r="F1152" s="13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6"/>
      <c r="W1152" s="13"/>
      <c r="X1152" s="13"/>
      <c r="Y1152" s="13"/>
      <c r="Z1152" s="13"/>
      <c r="AA1152" s="17"/>
      <c r="AB1152" s="17"/>
      <c r="AC1152" s="17"/>
      <c r="AD1152" s="17"/>
      <c r="AE1152" s="17"/>
    </row>
    <row r="1153">
      <c r="A1153" s="72"/>
      <c r="B1153" s="12"/>
      <c r="C1153" s="12"/>
      <c r="D1153" s="12"/>
      <c r="E1153" s="13"/>
      <c r="F1153" s="13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6"/>
      <c r="W1153" s="13"/>
      <c r="X1153" s="13"/>
      <c r="Y1153" s="13"/>
      <c r="Z1153" s="13"/>
      <c r="AA1153" s="17"/>
      <c r="AB1153" s="17"/>
      <c r="AC1153" s="17"/>
      <c r="AD1153" s="17"/>
      <c r="AE1153" s="17"/>
    </row>
    <row r="1154">
      <c r="A1154" s="72"/>
      <c r="B1154" s="12"/>
      <c r="C1154" s="12"/>
      <c r="D1154" s="12"/>
      <c r="E1154" s="13"/>
      <c r="F1154" s="13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6"/>
      <c r="W1154" s="13"/>
      <c r="X1154" s="13"/>
      <c r="Y1154" s="13"/>
      <c r="Z1154" s="13"/>
      <c r="AA1154" s="17"/>
      <c r="AB1154" s="17"/>
      <c r="AC1154" s="17"/>
      <c r="AD1154" s="17"/>
      <c r="AE1154" s="17"/>
    </row>
    <row r="1155">
      <c r="A1155" s="72"/>
      <c r="B1155" s="12"/>
      <c r="C1155" s="12"/>
      <c r="D1155" s="12"/>
      <c r="E1155" s="13"/>
      <c r="F1155" s="13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6"/>
      <c r="W1155" s="13"/>
      <c r="X1155" s="13"/>
      <c r="Y1155" s="13"/>
      <c r="Z1155" s="13"/>
      <c r="AA1155" s="17"/>
      <c r="AB1155" s="17"/>
      <c r="AC1155" s="17"/>
      <c r="AD1155" s="17"/>
      <c r="AE1155" s="17"/>
    </row>
    <row r="1156">
      <c r="A1156" s="72"/>
      <c r="B1156" s="12"/>
      <c r="C1156" s="12"/>
      <c r="D1156" s="12"/>
      <c r="E1156" s="13"/>
      <c r="F1156" s="13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6"/>
      <c r="W1156" s="13"/>
      <c r="X1156" s="13"/>
      <c r="Y1156" s="13"/>
      <c r="Z1156" s="13"/>
      <c r="AA1156" s="17"/>
      <c r="AB1156" s="17"/>
      <c r="AC1156" s="17"/>
      <c r="AD1156" s="17"/>
      <c r="AE1156" s="17"/>
    </row>
    <row r="1157">
      <c r="A1157" s="72"/>
      <c r="B1157" s="12"/>
      <c r="C1157" s="12"/>
      <c r="D1157" s="12"/>
      <c r="E1157" s="13"/>
      <c r="F1157" s="13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6"/>
      <c r="W1157" s="13"/>
      <c r="X1157" s="13"/>
      <c r="Y1157" s="13"/>
      <c r="Z1157" s="13"/>
      <c r="AA1157" s="17"/>
      <c r="AB1157" s="17"/>
      <c r="AC1157" s="17"/>
      <c r="AD1157" s="17"/>
      <c r="AE1157" s="17"/>
    </row>
    <row r="1158">
      <c r="A1158" s="72"/>
      <c r="B1158" s="12"/>
      <c r="C1158" s="12"/>
      <c r="D1158" s="12"/>
      <c r="E1158" s="13"/>
      <c r="F1158" s="13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6"/>
      <c r="W1158" s="13"/>
      <c r="X1158" s="13"/>
      <c r="Y1158" s="13"/>
      <c r="Z1158" s="13"/>
      <c r="AA1158" s="17"/>
      <c r="AB1158" s="17"/>
      <c r="AC1158" s="17"/>
      <c r="AD1158" s="17"/>
      <c r="AE1158" s="17"/>
    </row>
    <row r="1159">
      <c r="A1159" s="72"/>
      <c r="B1159" s="12"/>
      <c r="C1159" s="12"/>
      <c r="D1159" s="12"/>
      <c r="E1159" s="13"/>
      <c r="F1159" s="13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6"/>
      <c r="W1159" s="13"/>
      <c r="X1159" s="13"/>
      <c r="Y1159" s="13"/>
      <c r="Z1159" s="13"/>
      <c r="AA1159" s="17"/>
      <c r="AB1159" s="17"/>
      <c r="AC1159" s="17"/>
      <c r="AD1159" s="17"/>
      <c r="AE1159" s="17"/>
    </row>
    <row r="1160">
      <c r="A1160" s="72"/>
      <c r="B1160" s="12"/>
      <c r="C1160" s="12"/>
      <c r="D1160" s="12"/>
      <c r="E1160" s="13"/>
      <c r="F1160" s="13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6"/>
      <c r="W1160" s="13"/>
      <c r="X1160" s="13"/>
      <c r="Y1160" s="13"/>
      <c r="Z1160" s="13"/>
      <c r="AA1160" s="17"/>
      <c r="AB1160" s="17"/>
      <c r="AC1160" s="17"/>
      <c r="AD1160" s="17"/>
      <c r="AE1160" s="17"/>
    </row>
    <row r="1161">
      <c r="A1161" s="72"/>
      <c r="B1161" s="12"/>
      <c r="C1161" s="12"/>
      <c r="D1161" s="12"/>
      <c r="E1161" s="13"/>
      <c r="F1161" s="13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6"/>
      <c r="W1161" s="13"/>
      <c r="X1161" s="13"/>
      <c r="Y1161" s="13"/>
      <c r="Z1161" s="13"/>
      <c r="AA1161" s="17"/>
      <c r="AB1161" s="17"/>
      <c r="AC1161" s="17"/>
      <c r="AD1161" s="17"/>
      <c r="AE1161" s="17"/>
    </row>
    <row r="1162">
      <c r="A1162" s="72"/>
      <c r="B1162" s="12"/>
      <c r="C1162" s="12"/>
      <c r="D1162" s="12"/>
      <c r="E1162" s="13"/>
      <c r="F1162" s="13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6"/>
      <c r="W1162" s="13"/>
      <c r="X1162" s="13"/>
      <c r="Y1162" s="13"/>
      <c r="Z1162" s="13"/>
      <c r="AA1162" s="17"/>
      <c r="AB1162" s="17"/>
      <c r="AC1162" s="17"/>
      <c r="AD1162" s="17"/>
      <c r="AE1162" s="17"/>
    </row>
    <row r="1163">
      <c r="A1163" s="72"/>
      <c r="B1163" s="12"/>
      <c r="C1163" s="12"/>
      <c r="D1163" s="12"/>
      <c r="E1163" s="13"/>
      <c r="F1163" s="13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6"/>
      <c r="W1163" s="13"/>
      <c r="X1163" s="13"/>
      <c r="Y1163" s="13"/>
      <c r="Z1163" s="13"/>
      <c r="AA1163" s="17"/>
      <c r="AB1163" s="17"/>
      <c r="AC1163" s="17"/>
      <c r="AD1163" s="17"/>
      <c r="AE1163" s="17"/>
    </row>
    <row r="1164">
      <c r="A1164" s="72"/>
      <c r="B1164" s="12"/>
      <c r="C1164" s="12"/>
      <c r="D1164" s="12"/>
      <c r="E1164" s="13"/>
      <c r="F1164" s="13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6"/>
      <c r="W1164" s="13"/>
      <c r="X1164" s="13"/>
      <c r="Y1164" s="13"/>
      <c r="Z1164" s="13"/>
      <c r="AA1164" s="17"/>
      <c r="AB1164" s="17"/>
      <c r="AC1164" s="17"/>
      <c r="AD1164" s="17"/>
      <c r="AE1164" s="17"/>
    </row>
    <row r="1165">
      <c r="A1165" s="72"/>
      <c r="B1165" s="12"/>
      <c r="C1165" s="12"/>
      <c r="D1165" s="12"/>
      <c r="E1165" s="13"/>
      <c r="F1165" s="13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6"/>
      <c r="W1165" s="13"/>
      <c r="X1165" s="13"/>
      <c r="Y1165" s="13"/>
      <c r="Z1165" s="13"/>
      <c r="AA1165" s="17"/>
      <c r="AB1165" s="17"/>
      <c r="AC1165" s="17"/>
      <c r="AD1165" s="17"/>
      <c r="AE1165" s="17"/>
    </row>
    <row r="1166">
      <c r="A1166" s="72"/>
      <c r="B1166" s="12"/>
      <c r="C1166" s="12"/>
      <c r="D1166" s="12"/>
      <c r="E1166" s="13"/>
      <c r="F1166" s="13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6"/>
      <c r="W1166" s="13"/>
      <c r="X1166" s="13"/>
      <c r="Y1166" s="13"/>
      <c r="Z1166" s="13"/>
      <c r="AA1166" s="17"/>
      <c r="AB1166" s="17"/>
      <c r="AC1166" s="17"/>
      <c r="AD1166" s="17"/>
      <c r="AE1166" s="17"/>
    </row>
    <row r="1167">
      <c r="A1167" s="72"/>
      <c r="B1167" s="12"/>
      <c r="C1167" s="12"/>
      <c r="D1167" s="12"/>
      <c r="E1167" s="13"/>
      <c r="F1167" s="13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6"/>
      <c r="W1167" s="13"/>
      <c r="X1167" s="13"/>
      <c r="Y1167" s="13"/>
      <c r="Z1167" s="13"/>
      <c r="AA1167" s="17"/>
      <c r="AB1167" s="17"/>
      <c r="AC1167" s="17"/>
      <c r="AD1167" s="17"/>
      <c r="AE1167" s="17"/>
    </row>
    <row r="1168">
      <c r="A1168" s="72"/>
      <c r="B1168" s="12"/>
      <c r="C1168" s="12"/>
      <c r="D1168" s="12"/>
      <c r="E1168" s="13"/>
      <c r="F1168" s="13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6"/>
      <c r="W1168" s="13"/>
      <c r="X1168" s="13"/>
      <c r="Y1168" s="13"/>
      <c r="Z1168" s="13"/>
      <c r="AA1168" s="17"/>
      <c r="AB1168" s="17"/>
      <c r="AC1168" s="17"/>
      <c r="AD1168" s="17"/>
      <c r="AE1168" s="17"/>
    </row>
    <row r="1169">
      <c r="A1169" s="72"/>
      <c r="B1169" s="12"/>
      <c r="C1169" s="12"/>
      <c r="D1169" s="12"/>
      <c r="E1169" s="13"/>
      <c r="F1169" s="13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6"/>
      <c r="W1169" s="13"/>
      <c r="X1169" s="13"/>
      <c r="Y1169" s="13"/>
      <c r="Z1169" s="13"/>
      <c r="AA1169" s="17"/>
      <c r="AB1169" s="17"/>
      <c r="AC1169" s="17"/>
      <c r="AD1169" s="17"/>
      <c r="AE1169" s="17"/>
    </row>
    <row r="1170">
      <c r="A1170" s="72"/>
      <c r="B1170" s="12"/>
      <c r="C1170" s="12"/>
      <c r="D1170" s="12"/>
      <c r="E1170" s="13"/>
      <c r="F1170" s="13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6"/>
      <c r="W1170" s="13"/>
      <c r="X1170" s="13"/>
      <c r="Y1170" s="13"/>
      <c r="Z1170" s="13"/>
      <c r="AA1170" s="17"/>
      <c r="AB1170" s="17"/>
      <c r="AC1170" s="17"/>
      <c r="AD1170" s="17"/>
      <c r="AE1170" s="17"/>
    </row>
    <row r="1171">
      <c r="A1171" s="72"/>
      <c r="B1171" s="12"/>
      <c r="C1171" s="12"/>
      <c r="D1171" s="12"/>
      <c r="E1171" s="13"/>
      <c r="F1171" s="13"/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6"/>
      <c r="W1171" s="13"/>
      <c r="X1171" s="13"/>
      <c r="Y1171" s="13"/>
      <c r="Z1171" s="13"/>
      <c r="AA1171" s="17"/>
      <c r="AB1171" s="17"/>
      <c r="AC1171" s="17"/>
      <c r="AD1171" s="17"/>
      <c r="AE1171" s="17"/>
    </row>
    <row r="1172">
      <c r="A1172" s="72"/>
      <c r="B1172" s="12"/>
      <c r="C1172" s="12"/>
      <c r="D1172" s="12"/>
      <c r="E1172" s="13"/>
      <c r="F1172" s="13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6"/>
      <c r="W1172" s="13"/>
      <c r="X1172" s="13"/>
      <c r="Y1172" s="13"/>
      <c r="Z1172" s="13"/>
      <c r="AA1172" s="17"/>
      <c r="AB1172" s="17"/>
      <c r="AC1172" s="17"/>
      <c r="AD1172" s="17"/>
      <c r="AE1172" s="17"/>
    </row>
    <row r="1173">
      <c r="A1173" s="72"/>
      <c r="B1173" s="12"/>
      <c r="C1173" s="12"/>
      <c r="D1173" s="12"/>
      <c r="E1173" s="13"/>
      <c r="F1173" s="13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6"/>
      <c r="W1173" s="13"/>
      <c r="X1173" s="13"/>
      <c r="Y1173" s="13"/>
      <c r="Z1173" s="13"/>
      <c r="AA1173" s="17"/>
      <c r="AB1173" s="17"/>
      <c r="AC1173" s="17"/>
      <c r="AD1173" s="17"/>
      <c r="AE1173" s="17"/>
    </row>
    <row r="1174">
      <c r="A1174" s="72"/>
      <c r="B1174" s="12"/>
      <c r="C1174" s="12"/>
      <c r="D1174" s="12"/>
      <c r="E1174" s="13"/>
      <c r="F1174" s="13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6"/>
      <c r="W1174" s="13"/>
      <c r="X1174" s="13"/>
      <c r="Y1174" s="13"/>
      <c r="Z1174" s="13"/>
      <c r="AA1174" s="17"/>
      <c r="AB1174" s="17"/>
      <c r="AC1174" s="17"/>
      <c r="AD1174" s="17"/>
      <c r="AE1174" s="17"/>
    </row>
    <row r="1175">
      <c r="A1175" s="72"/>
      <c r="B1175" s="12"/>
      <c r="C1175" s="12"/>
      <c r="D1175" s="12"/>
      <c r="E1175" s="13"/>
      <c r="F1175" s="13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6"/>
      <c r="W1175" s="13"/>
      <c r="X1175" s="13"/>
      <c r="Y1175" s="13"/>
      <c r="Z1175" s="13"/>
      <c r="AA1175" s="17"/>
      <c r="AB1175" s="17"/>
      <c r="AC1175" s="17"/>
      <c r="AD1175" s="17"/>
      <c r="AE1175" s="17"/>
    </row>
    <row r="1176">
      <c r="A1176" s="72"/>
      <c r="B1176" s="12"/>
      <c r="C1176" s="12"/>
      <c r="D1176" s="12"/>
      <c r="E1176" s="13"/>
      <c r="F1176" s="13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6"/>
      <c r="W1176" s="13"/>
      <c r="X1176" s="13"/>
      <c r="Y1176" s="13"/>
      <c r="Z1176" s="13"/>
      <c r="AA1176" s="17"/>
      <c r="AB1176" s="17"/>
      <c r="AC1176" s="17"/>
      <c r="AD1176" s="17"/>
      <c r="AE1176" s="17"/>
    </row>
    <row r="1177">
      <c r="A1177" s="72"/>
      <c r="B1177" s="12"/>
      <c r="C1177" s="12"/>
      <c r="D1177" s="12"/>
      <c r="E1177" s="13"/>
      <c r="F1177" s="13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6"/>
      <c r="W1177" s="13"/>
      <c r="X1177" s="13"/>
      <c r="Y1177" s="13"/>
      <c r="Z1177" s="13"/>
      <c r="AA1177" s="17"/>
      <c r="AB1177" s="17"/>
      <c r="AC1177" s="17"/>
      <c r="AD1177" s="17"/>
      <c r="AE1177" s="17"/>
    </row>
    <row r="1178">
      <c r="A1178" s="72"/>
      <c r="B1178" s="12"/>
      <c r="C1178" s="12"/>
      <c r="D1178" s="12"/>
      <c r="E1178" s="13"/>
      <c r="F1178" s="13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6"/>
      <c r="W1178" s="13"/>
      <c r="X1178" s="13"/>
      <c r="Y1178" s="13"/>
      <c r="Z1178" s="13"/>
      <c r="AA1178" s="17"/>
      <c r="AB1178" s="17"/>
      <c r="AC1178" s="17"/>
      <c r="AD1178" s="17"/>
      <c r="AE1178" s="17"/>
    </row>
    <row r="1179">
      <c r="A1179" s="72"/>
      <c r="B1179" s="12"/>
      <c r="C1179" s="12"/>
      <c r="D1179" s="12"/>
      <c r="E1179" s="13"/>
      <c r="F1179" s="13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6"/>
      <c r="W1179" s="13"/>
      <c r="X1179" s="13"/>
      <c r="Y1179" s="13"/>
      <c r="Z1179" s="13"/>
      <c r="AA1179" s="17"/>
      <c r="AB1179" s="17"/>
      <c r="AC1179" s="17"/>
      <c r="AD1179" s="17"/>
      <c r="AE1179" s="17"/>
    </row>
    <row r="1180">
      <c r="A1180" s="72"/>
      <c r="B1180" s="12"/>
      <c r="C1180" s="12"/>
      <c r="D1180" s="12"/>
      <c r="E1180" s="13"/>
      <c r="F1180" s="13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6"/>
      <c r="W1180" s="13"/>
      <c r="X1180" s="13"/>
      <c r="Y1180" s="13"/>
      <c r="Z1180" s="13"/>
      <c r="AA1180" s="17"/>
      <c r="AB1180" s="17"/>
      <c r="AC1180" s="17"/>
      <c r="AD1180" s="17"/>
      <c r="AE1180" s="17"/>
    </row>
    <row r="1181">
      <c r="A1181" s="72"/>
      <c r="B1181" s="12"/>
      <c r="C1181" s="12"/>
      <c r="D1181" s="12"/>
      <c r="E1181" s="13"/>
      <c r="F1181" s="13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6"/>
      <c r="W1181" s="13"/>
      <c r="X1181" s="13"/>
      <c r="Y1181" s="13"/>
      <c r="Z1181" s="13"/>
      <c r="AA1181" s="17"/>
      <c r="AB1181" s="17"/>
      <c r="AC1181" s="17"/>
      <c r="AD1181" s="17"/>
      <c r="AE1181" s="17"/>
    </row>
    <row r="1182">
      <c r="A1182" s="72"/>
      <c r="B1182" s="12"/>
      <c r="C1182" s="12"/>
      <c r="D1182" s="12"/>
      <c r="E1182" s="13"/>
      <c r="F1182" s="13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6"/>
      <c r="W1182" s="13"/>
      <c r="X1182" s="13"/>
      <c r="Y1182" s="13"/>
      <c r="Z1182" s="13"/>
      <c r="AA1182" s="17"/>
      <c r="AB1182" s="17"/>
      <c r="AC1182" s="17"/>
      <c r="AD1182" s="17"/>
      <c r="AE1182" s="17"/>
    </row>
    <row r="1183">
      <c r="A1183" s="72"/>
      <c r="B1183" s="12"/>
      <c r="C1183" s="12"/>
      <c r="D1183" s="12"/>
      <c r="E1183" s="13"/>
      <c r="F1183" s="13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6"/>
      <c r="W1183" s="13"/>
      <c r="X1183" s="13"/>
      <c r="Y1183" s="13"/>
      <c r="Z1183" s="13"/>
      <c r="AA1183" s="17"/>
      <c r="AB1183" s="17"/>
      <c r="AC1183" s="17"/>
      <c r="AD1183" s="17"/>
      <c r="AE1183" s="17"/>
    </row>
    <row r="1184">
      <c r="A1184" s="72"/>
      <c r="B1184" s="12"/>
      <c r="C1184" s="12"/>
      <c r="D1184" s="12"/>
      <c r="E1184" s="13"/>
      <c r="F1184" s="13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6"/>
      <c r="W1184" s="13"/>
      <c r="X1184" s="13"/>
      <c r="Y1184" s="13"/>
      <c r="Z1184" s="13"/>
      <c r="AA1184" s="17"/>
      <c r="AB1184" s="17"/>
      <c r="AC1184" s="17"/>
      <c r="AD1184" s="17"/>
      <c r="AE1184" s="17"/>
    </row>
    <row r="1185">
      <c r="A1185" s="72"/>
      <c r="B1185" s="12"/>
      <c r="C1185" s="12"/>
      <c r="D1185" s="12"/>
      <c r="E1185" s="13"/>
      <c r="F1185" s="13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6"/>
      <c r="W1185" s="13"/>
      <c r="X1185" s="13"/>
      <c r="Y1185" s="13"/>
      <c r="Z1185" s="13"/>
      <c r="AA1185" s="17"/>
      <c r="AB1185" s="17"/>
      <c r="AC1185" s="17"/>
      <c r="AD1185" s="17"/>
      <c r="AE1185" s="17"/>
    </row>
    <row r="1186">
      <c r="A1186" s="72"/>
      <c r="B1186" s="12"/>
      <c r="C1186" s="12"/>
      <c r="D1186" s="12"/>
      <c r="E1186" s="13"/>
      <c r="F1186" s="13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6"/>
      <c r="W1186" s="13"/>
      <c r="X1186" s="13"/>
      <c r="Y1186" s="13"/>
      <c r="Z1186" s="13"/>
      <c r="AA1186" s="17"/>
      <c r="AB1186" s="17"/>
      <c r="AC1186" s="17"/>
      <c r="AD1186" s="17"/>
      <c r="AE1186" s="17"/>
    </row>
    <row r="1187">
      <c r="A1187" s="72"/>
      <c r="B1187" s="12"/>
      <c r="C1187" s="12"/>
      <c r="D1187" s="12"/>
      <c r="E1187" s="13"/>
      <c r="F1187" s="13"/>
      <c r="G1187" s="13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6"/>
      <c r="W1187" s="13"/>
      <c r="X1187" s="13"/>
      <c r="Y1187" s="13"/>
      <c r="Z1187" s="13"/>
      <c r="AA1187" s="17"/>
      <c r="AB1187" s="17"/>
      <c r="AC1187" s="17"/>
      <c r="AD1187" s="17"/>
      <c r="AE1187" s="17"/>
    </row>
    <row r="1188">
      <c r="A1188" s="72"/>
      <c r="B1188" s="12"/>
      <c r="C1188" s="12"/>
      <c r="D1188" s="12"/>
      <c r="E1188" s="13"/>
      <c r="F1188" s="13"/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6"/>
      <c r="W1188" s="13"/>
      <c r="X1188" s="13"/>
      <c r="Y1188" s="13"/>
      <c r="Z1188" s="13"/>
      <c r="AA1188" s="17"/>
      <c r="AB1188" s="17"/>
      <c r="AC1188" s="17"/>
      <c r="AD1188" s="17"/>
      <c r="AE1188" s="17"/>
    </row>
    <row r="1189">
      <c r="A1189" s="72"/>
      <c r="B1189" s="12"/>
      <c r="C1189" s="12"/>
      <c r="D1189" s="12"/>
      <c r="E1189" s="13"/>
      <c r="F1189" s="13"/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6"/>
      <c r="W1189" s="13"/>
      <c r="X1189" s="13"/>
      <c r="Y1189" s="13"/>
      <c r="Z1189" s="13"/>
      <c r="AA1189" s="17"/>
      <c r="AB1189" s="17"/>
      <c r="AC1189" s="17"/>
      <c r="AD1189" s="17"/>
      <c r="AE1189" s="17"/>
    </row>
    <row r="1190">
      <c r="A1190" s="72"/>
      <c r="B1190" s="12"/>
      <c r="C1190" s="12"/>
      <c r="D1190" s="12"/>
      <c r="E1190" s="13"/>
      <c r="F1190" s="13"/>
      <c r="G1190" s="13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6"/>
      <c r="W1190" s="13"/>
      <c r="X1190" s="13"/>
      <c r="Y1190" s="13"/>
      <c r="Z1190" s="13"/>
      <c r="AA1190" s="17"/>
      <c r="AB1190" s="17"/>
      <c r="AC1190" s="17"/>
      <c r="AD1190" s="17"/>
      <c r="AE1190" s="17"/>
    </row>
    <row r="1191">
      <c r="A1191" s="72"/>
      <c r="B1191" s="12"/>
      <c r="C1191" s="12"/>
      <c r="D1191" s="12"/>
      <c r="E1191" s="13"/>
      <c r="F1191" s="13"/>
      <c r="G1191" s="13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6"/>
      <c r="W1191" s="13"/>
      <c r="X1191" s="13"/>
      <c r="Y1191" s="13"/>
      <c r="Z1191" s="13"/>
      <c r="AA1191" s="17"/>
      <c r="AB1191" s="17"/>
      <c r="AC1191" s="17"/>
      <c r="AD1191" s="17"/>
      <c r="AE1191" s="17"/>
    </row>
    <row r="1192">
      <c r="A1192" s="72"/>
      <c r="B1192" s="12"/>
      <c r="C1192" s="12"/>
      <c r="D1192" s="12"/>
      <c r="E1192" s="13"/>
      <c r="F1192" s="13"/>
      <c r="G1192" s="13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6"/>
      <c r="W1192" s="13"/>
      <c r="X1192" s="13"/>
      <c r="Y1192" s="13"/>
      <c r="Z1192" s="13"/>
      <c r="AA1192" s="17"/>
      <c r="AB1192" s="17"/>
      <c r="AC1192" s="17"/>
      <c r="AD1192" s="17"/>
      <c r="AE1192" s="17"/>
    </row>
    <row r="1193">
      <c r="A1193" s="72"/>
      <c r="B1193" s="12"/>
      <c r="C1193" s="12"/>
      <c r="D1193" s="12"/>
      <c r="E1193" s="13"/>
      <c r="F1193" s="13"/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6"/>
      <c r="W1193" s="13"/>
      <c r="X1193" s="13"/>
      <c r="Y1193" s="13"/>
      <c r="Z1193" s="13"/>
      <c r="AA1193" s="17"/>
      <c r="AB1193" s="17"/>
      <c r="AC1193" s="17"/>
      <c r="AD1193" s="17"/>
      <c r="AE1193" s="17"/>
    </row>
    <row r="1194">
      <c r="A1194" s="72"/>
      <c r="B1194" s="12"/>
      <c r="C1194" s="12"/>
      <c r="D1194" s="12"/>
      <c r="E1194" s="13"/>
      <c r="F1194" s="13"/>
      <c r="G1194" s="13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6"/>
      <c r="W1194" s="13"/>
      <c r="X1194" s="13"/>
      <c r="Y1194" s="13"/>
      <c r="Z1194" s="13"/>
      <c r="AA1194" s="17"/>
      <c r="AB1194" s="17"/>
      <c r="AC1194" s="17"/>
      <c r="AD1194" s="17"/>
      <c r="AE1194" s="17"/>
    </row>
    <row r="1195">
      <c r="A1195" s="72"/>
      <c r="B1195" s="12"/>
      <c r="C1195" s="12"/>
      <c r="D1195" s="12"/>
      <c r="E1195" s="13"/>
      <c r="F1195" s="13"/>
      <c r="G1195" s="13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6"/>
      <c r="W1195" s="13"/>
      <c r="X1195" s="13"/>
      <c r="Y1195" s="13"/>
      <c r="Z1195" s="13"/>
      <c r="AA1195" s="17"/>
      <c r="AB1195" s="17"/>
      <c r="AC1195" s="17"/>
      <c r="AD1195" s="17"/>
      <c r="AE1195" s="17"/>
    </row>
    <row r="1196">
      <c r="A1196" s="72"/>
      <c r="B1196" s="12"/>
      <c r="C1196" s="12"/>
      <c r="D1196" s="12"/>
      <c r="E1196" s="13"/>
      <c r="F1196" s="13"/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6"/>
      <c r="W1196" s="13"/>
      <c r="X1196" s="13"/>
      <c r="Y1196" s="13"/>
      <c r="Z1196" s="13"/>
      <c r="AA1196" s="17"/>
      <c r="AB1196" s="17"/>
      <c r="AC1196" s="17"/>
      <c r="AD1196" s="17"/>
      <c r="AE1196" s="17"/>
    </row>
    <row r="1197">
      <c r="A1197" s="72"/>
      <c r="B1197" s="12"/>
      <c r="C1197" s="12"/>
      <c r="D1197" s="12"/>
      <c r="E1197" s="13"/>
      <c r="F1197" s="13"/>
      <c r="G1197" s="13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6"/>
      <c r="W1197" s="13"/>
      <c r="X1197" s="13"/>
      <c r="Y1197" s="13"/>
      <c r="Z1197" s="13"/>
      <c r="AA1197" s="17"/>
      <c r="AB1197" s="17"/>
      <c r="AC1197" s="17"/>
      <c r="AD1197" s="17"/>
      <c r="AE1197" s="17"/>
    </row>
    <row r="1198">
      <c r="A1198" s="72"/>
      <c r="B1198" s="12"/>
      <c r="C1198" s="12"/>
      <c r="D1198" s="12"/>
      <c r="E1198" s="13"/>
      <c r="F1198" s="13"/>
      <c r="G1198" s="13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6"/>
      <c r="W1198" s="13"/>
      <c r="X1198" s="13"/>
      <c r="Y1198" s="13"/>
      <c r="Z1198" s="13"/>
      <c r="AA1198" s="17"/>
      <c r="AB1198" s="17"/>
      <c r="AC1198" s="17"/>
      <c r="AD1198" s="17"/>
      <c r="AE1198" s="17"/>
    </row>
    <row r="1199">
      <c r="A1199" s="72"/>
      <c r="B1199" s="12"/>
      <c r="C1199" s="12"/>
      <c r="D1199" s="12"/>
      <c r="E1199" s="13"/>
      <c r="F1199" s="13"/>
      <c r="G1199" s="13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6"/>
      <c r="W1199" s="13"/>
      <c r="X1199" s="13"/>
      <c r="Y1199" s="13"/>
      <c r="Z1199" s="13"/>
      <c r="AA1199" s="17"/>
      <c r="AB1199" s="17"/>
      <c r="AC1199" s="17"/>
      <c r="AD1199" s="17"/>
      <c r="AE1199" s="17"/>
    </row>
    <row r="1200">
      <c r="A1200" s="72"/>
      <c r="B1200" s="12"/>
      <c r="C1200" s="12"/>
      <c r="D1200" s="12"/>
      <c r="E1200" s="13"/>
      <c r="F1200" s="13"/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6"/>
      <c r="W1200" s="13"/>
      <c r="X1200" s="13"/>
      <c r="Y1200" s="13"/>
      <c r="Z1200" s="13"/>
      <c r="AA1200" s="17"/>
      <c r="AB1200" s="17"/>
      <c r="AC1200" s="17"/>
      <c r="AD1200" s="17"/>
      <c r="AE1200" s="17"/>
    </row>
    <row r="1201">
      <c r="A1201" s="72"/>
      <c r="B1201" s="12"/>
      <c r="C1201" s="12"/>
      <c r="D1201" s="12"/>
      <c r="E1201" s="13"/>
      <c r="F1201" s="13"/>
      <c r="G1201" s="13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6"/>
      <c r="W1201" s="13"/>
      <c r="X1201" s="13"/>
      <c r="Y1201" s="13"/>
      <c r="Z1201" s="13"/>
      <c r="AA1201" s="17"/>
      <c r="AB1201" s="17"/>
      <c r="AC1201" s="17"/>
      <c r="AD1201" s="17"/>
      <c r="AE1201" s="17"/>
    </row>
    <row r="1202">
      <c r="A1202" s="72"/>
      <c r="B1202" s="12"/>
      <c r="C1202" s="12"/>
      <c r="D1202" s="12"/>
      <c r="E1202" s="13"/>
      <c r="F1202" s="13"/>
      <c r="G1202" s="13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6"/>
      <c r="W1202" s="13"/>
      <c r="X1202" s="13"/>
      <c r="Y1202" s="13"/>
      <c r="Z1202" s="13"/>
      <c r="AA1202" s="17"/>
      <c r="AB1202" s="17"/>
      <c r="AC1202" s="17"/>
      <c r="AD1202" s="17"/>
      <c r="AE1202" s="17"/>
    </row>
    <row r="1203">
      <c r="A1203" s="72"/>
      <c r="B1203" s="12"/>
      <c r="C1203" s="12"/>
      <c r="D1203" s="12"/>
      <c r="E1203" s="13"/>
      <c r="F1203" s="13"/>
      <c r="G1203" s="13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6"/>
      <c r="W1203" s="13"/>
      <c r="X1203" s="13"/>
      <c r="Y1203" s="13"/>
      <c r="Z1203" s="13"/>
      <c r="AA1203" s="17"/>
      <c r="AB1203" s="17"/>
      <c r="AC1203" s="17"/>
      <c r="AD1203" s="17"/>
      <c r="AE1203" s="17"/>
    </row>
    <row r="1204">
      <c r="A1204" s="72"/>
      <c r="B1204" s="12"/>
      <c r="C1204" s="12"/>
      <c r="D1204" s="12"/>
      <c r="E1204" s="13"/>
      <c r="F1204" s="13"/>
      <c r="G1204" s="13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6"/>
      <c r="W1204" s="13"/>
      <c r="X1204" s="13"/>
      <c r="Y1204" s="13"/>
      <c r="Z1204" s="13"/>
      <c r="AA1204" s="17"/>
      <c r="AB1204" s="17"/>
      <c r="AC1204" s="17"/>
      <c r="AD1204" s="17"/>
      <c r="AE1204" s="17"/>
    </row>
    <row r="1205">
      <c r="A1205" s="72"/>
      <c r="B1205" s="12"/>
      <c r="C1205" s="12"/>
      <c r="D1205" s="12"/>
      <c r="E1205" s="13"/>
      <c r="F1205" s="13"/>
      <c r="G1205" s="13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6"/>
      <c r="W1205" s="13"/>
      <c r="X1205" s="13"/>
      <c r="Y1205" s="13"/>
      <c r="Z1205" s="13"/>
      <c r="AA1205" s="17"/>
      <c r="AB1205" s="17"/>
      <c r="AC1205" s="17"/>
      <c r="AD1205" s="17"/>
      <c r="AE1205" s="17"/>
    </row>
    <row r="1206">
      <c r="A1206" s="72"/>
      <c r="B1206" s="12"/>
      <c r="C1206" s="12"/>
      <c r="D1206" s="12"/>
      <c r="E1206" s="13"/>
      <c r="F1206" s="13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6"/>
      <c r="W1206" s="13"/>
      <c r="X1206" s="13"/>
      <c r="Y1206" s="13"/>
      <c r="Z1206" s="13"/>
      <c r="AA1206" s="17"/>
      <c r="AB1206" s="17"/>
      <c r="AC1206" s="17"/>
      <c r="AD1206" s="17"/>
      <c r="AE1206" s="17"/>
    </row>
    <row r="1207">
      <c r="A1207" s="72"/>
      <c r="B1207" s="12"/>
      <c r="C1207" s="12"/>
      <c r="D1207" s="12"/>
      <c r="E1207" s="13"/>
      <c r="F1207" s="13"/>
      <c r="G1207" s="13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6"/>
      <c r="W1207" s="13"/>
      <c r="X1207" s="13"/>
      <c r="Y1207" s="13"/>
      <c r="Z1207" s="13"/>
      <c r="AA1207" s="17"/>
      <c r="AB1207" s="17"/>
      <c r="AC1207" s="17"/>
      <c r="AD1207" s="17"/>
      <c r="AE1207" s="17"/>
    </row>
    <row r="1208">
      <c r="A1208" s="72"/>
      <c r="B1208" s="12"/>
      <c r="C1208" s="12"/>
      <c r="D1208" s="12"/>
      <c r="E1208" s="13"/>
      <c r="F1208" s="13"/>
      <c r="G1208" s="13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6"/>
      <c r="W1208" s="13"/>
      <c r="X1208" s="13"/>
      <c r="Y1208" s="13"/>
      <c r="Z1208" s="13"/>
      <c r="AA1208" s="17"/>
      <c r="AB1208" s="17"/>
      <c r="AC1208" s="17"/>
      <c r="AD1208" s="17"/>
      <c r="AE1208" s="17"/>
    </row>
    <row r="1209">
      <c r="A1209" s="72"/>
      <c r="B1209" s="12"/>
      <c r="C1209" s="12"/>
      <c r="D1209" s="12"/>
      <c r="E1209" s="13"/>
      <c r="F1209" s="13"/>
      <c r="G1209" s="13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6"/>
      <c r="W1209" s="13"/>
      <c r="X1209" s="13"/>
      <c r="Y1209" s="13"/>
      <c r="Z1209" s="13"/>
      <c r="AA1209" s="17"/>
      <c r="AB1209" s="17"/>
      <c r="AC1209" s="17"/>
      <c r="AD1209" s="17"/>
      <c r="AE1209" s="17"/>
    </row>
    <row r="1210">
      <c r="A1210" s="72"/>
      <c r="B1210" s="12"/>
      <c r="C1210" s="12"/>
      <c r="D1210" s="12"/>
      <c r="E1210" s="13"/>
      <c r="F1210" s="13"/>
      <c r="G1210" s="13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6"/>
      <c r="W1210" s="13"/>
      <c r="X1210" s="13"/>
      <c r="Y1210" s="13"/>
      <c r="Z1210" s="13"/>
      <c r="AA1210" s="17"/>
      <c r="AB1210" s="17"/>
      <c r="AC1210" s="17"/>
      <c r="AD1210" s="17"/>
      <c r="AE1210" s="17"/>
    </row>
    <row r="1211">
      <c r="A1211" s="72"/>
      <c r="B1211" s="12"/>
      <c r="C1211" s="12"/>
      <c r="D1211" s="12"/>
      <c r="E1211" s="13"/>
      <c r="F1211" s="13"/>
      <c r="G1211" s="13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6"/>
      <c r="W1211" s="13"/>
      <c r="X1211" s="13"/>
      <c r="Y1211" s="13"/>
      <c r="Z1211" s="13"/>
      <c r="AA1211" s="17"/>
      <c r="AB1211" s="17"/>
      <c r="AC1211" s="17"/>
      <c r="AD1211" s="17"/>
      <c r="AE1211" s="17"/>
    </row>
    <row r="1212">
      <c r="A1212" s="72"/>
      <c r="B1212" s="12"/>
      <c r="C1212" s="12"/>
      <c r="D1212" s="12"/>
      <c r="E1212" s="13"/>
      <c r="F1212" s="13"/>
      <c r="G1212" s="13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6"/>
      <c r="W1212" s="13"/>
      <c r="X1212" s="13"/>
      <c r="Y1212" s="13"/>
      <c r="Z1212" s="13"/>
      <c r="AA1212" s="17"/>
      <c r="AB1212" s="17"/>
      <c r="AC1212" s="17"/>
      <c r="AD1212" s="17"/>
      <c r="AE1212" s="17"/>
    </row>
    <row r="1213">
      <c r="A1213" s="72"/>
      <c r="B1213" s="12"/>
      <c r="C1213" s="12"/>
      <c r="D1213" s="12"/>
      <c r="E1213" s="13"/>
      <c r="F1213" s="13"/>
      <c r="G1213" s="13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6"/>
      <c r="W1213" s="13"/>
      <c r="X1213" s="13"/>
      <c r="Y1213" s="13"/>
      <c r="Z1213" s="13"/>
      <c r="AA1213" s="17"/>
      <c r="AB1213" s="17"/>
      <c r="AC1213" s="17"/>
      <c r="AD1213" s="17"/>
      <c r="AE1213" s="17"/>
    </row>
    <row r="1214">
      <c r="A1214" s="72"/>
      <c r="B1214" s="12"/>
      <c r="C1214" s="12"/>
      <c r="D1214" s="12"/>
      <c r="E1214" s="13"/>
      <c r="F1214" s="13"/>
      <c r="G1214" s="13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6"/>
      <c r="W1214" s="13"/>
      <c r="X1214" s="13"/>
      <c r="Y1214" s="13"/>
      <c r="Z1214" s="13"/>
      <c r="AA1214" s="17"/>
      <c r="AB1214" s="17"/>
      <c r="AC1214" s="17"/>
      <c r="AD1214" s="17"/>
      <c r="AE1214" s="17"/>
    </row>
    <row r="1215">
      <c r="A1215" s="72"/>
      <c r="B1215" s="12"/>
      <c r="C1215" s="12"/>
      <c r="D1215" s="12"/>
      <c r="E1215" s="13"/>
      <c r="F1215" s="13"/>
      <c r="G1215" s="13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6"/>
      <c r="W1215" s="13"/>
      <c r="X1215" s="13"/>
      <c r="Y1215" s="13"/>
      <c r="Z1215" s="13"/>
      <c r="AA1215" s="17"/>
      <c r="AB1215" s="17"/>
      <c r="AC1215" s="17"/>
      <c r="AD1215" s="17"/>
      <c r="AE1215" s="17"/>
    </row>
    <row r="1216">
      <c r="A1216" s="72"/>
      <c r="B1216" s="12"/>
      <c r="C1216" s="12"/>
      <c r="D1216" s="12"/>
      <c r="E1216" s="13"/>
      <c r="F1216" s="13"/>
      <c r="G1216" s="13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6"/>
      <c r="W1216" s="13"/>
      <c r="X1216" s="13"/>
      <c r="Y1216" s="13"/>
      <c r="Z1216" s="13"/>
      <c r="AA1216" s="17"/>
      <c r="AB1216" s="17"/>
      <c r="AC1216" s="17"/>
      <c r="AD1216" s="17"/>
      <c r="AE1216" s="17"/>
    </row>
    <row r="1217">
      <c r="A1217" s="72"/>
      <c r="B1217" s="12"/>
      <c r="C1217" s="12"/>
      <c r="D1217" s="12"/>
      <c r="E1217" s="13"/>
      <c r="F1217" s="13"/>
      <c r="G1217" s="13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6"/>
      <c r="W1217" s="13"/>
      <c r="X1217" s="13"/>
      <c r="Y1217" s="13"/>
      <c r="Z1217" s="13"/>
      <c r="AA1217" s="17"/>
      <c r="AB1217" s="17"/>
      <c r="AC1217" s="17"/>
      <c r="AD1217" s="17"/>
      <c r="AE1217" s="17"/>
    </row>
    <row r="1218">
      <c r="A1218" s="72"/>
      <c r="B1218" s="12"/>
      <c r="C1218" s="12"/>
      <c r="D1218" s="12"/>
      <c r="E1218" s="13"/>
      <c r="F1218" s="13"/>
      <c r="G1218" s="13"/>
      <c r="H1218" s="13"/>
      <c r="I1218" s="13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6"/>
      <c r="W1218" s="13"/>
      <c r="X1218" s="13"/>
      <c r="Y1218" s="13"/>
      <c r="Z1218" s="13"/>
      <c r="AA1218" s="17"/>
      <c r="AB1218" s="17"/>
      <c r="AC1218" s="17"/>
      <c r="AD1218" s="17"/>
      <c r="AE1218" s="17"/>
    </row>
    <row r="1219">
      <c r="A1219" s="72"/>
      <c r="B1219" s="12"/>
      <c r="C1219" s="12"/>
      <c r="D1219" s="12"/>
      <c r="E1219" s="13"/>
      <c r="F1219" s="13"/>
      <c r="G1219" s="13"/>
      <c r="H1219" s="13"/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6"/>
      <c r="W1219" s="13"/>
      <c r="X1219" s="13"/>
      <c r="Y1219" s="13"/>
      <c r="Z1219" s="13"/>
      <c r="AA1219" s="17"/>
      <c r="AB1219" s="17"/>
      <c r="AC1219" s="17"/>
      <c r="AD1219" s="17"/>
      <c r="AE1219" s="17"/>
    </row>
    <row r="1220">
      <c r="A1220" s="72"/>
      <c r="B1220" s="12"/>
      <c r="C1220" s="12"/>
      <c r="D1220" s="12"/>
      <c r="E1220" s="13"/>
      <c r="F1220" s="13"/>
      <c r="G1220" s="13"/>
      <c r="H1220" s="13"/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6"/>
      <c r="W1220" s="13"/>
      <c r="X1220" s="13"/>
      <c r="Y1220" s="13"/>
      <c r="Z1220" s="13"/>
      <c r="AA1220" s="17"/>
      <c r="AB1220" s="17"/>
      <c r="AC1220" s="17"/>
      <c r="AD1220" s="17"/>
      <c r="AE1220" s="17"/>
    </row>
    <row r="1221">
      <c r="A1221" s="72"/>
      <c r="B1221" s="12"/>
      <c r="C1221" s="12"/>
      <c r="D1221" s="12"/>
      <c r="E1221" s="13"/>
      <c r="F1221" s="13"/>
      <c r="G1221" s="13"/>
      <c r="H1221" s="13"/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6"/>
      <c r="W1221" s="13"/>
      <c r="X1221" s="13"/>
      <c r="Y1221" s="13"/>
      <c r="Z1221" s="13"/>
      <c r="AA1221" s="17"/>
      <c r="AB1221" s="17"/>
      <c r="AC1221" s="17"/>
      <c r="AD1221" s="17"/>
      <c r="AE1221" s="17"/>
    </row>
    <row r="1222">
      <c r="A1222" s="72"/>
      <c r="B1222" s="12"/>
      <c r="C1222" s="12"/>
      <c r="D1222" s="12"/>
      <c r="E1222" s="13"/>
      <c r="F1222" s="13"/>
      <c r="G1222" s="13"/>
      <c r="H1222" s="13"/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6"/>
      <c r="W1222" s="13"/>
      <c r="X1222" s="13"/>
      <c r="Y1222" s="13"/>
      <c r="Z1222" s="13"/>
      <c r="AA1222" s="17"/>
      <c r="AB1222" s="17"/>
      <c r="AC1222" s="17"/>
      <c r="AD1222" s="17"/>
      <c r="AE1222" s="17"/>
    </row>
    <row r="1223">
      <c r="A1223" s="72"/>
      <c r="B1223" s="12"/>
      <c r="C1223" s="12"/>
      <c r="D1223" s="12"/>
      <c r="E1223" s="13"/>
      <c r="F1223" s="13"/>
      <c r="G1223" s="13"/>
      <c r="H1223" s="13"/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6"/>
      <c r="W1223" s="13"/>
      <c r="X1223" s="13"/>
      <c r="Y1223" s="13"/>
      <c r="Z1223" s="13"/>
      <c r="AA1223" s="17"/>
      <c r="AB1223" s="17"/>
      <c r="AC1223" s="17"/>
      <c r="AD1223" s="17"/>
      <c r="AE1223" s="17"/>
    </row>
    <row r="1224">
      <c r="A1224" s="72"/>
      <c r="B1224" s="12"/>
      <c r="C1224" s="12"/>
      <c r="D1224" s="12"/>
      <c r="E1224" s="13"/>
      <c r="F1224" s="13"/>
      <c r="G1224" s="13"/>
      <c r="H1224" s="13"/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6"/>
      <c r="W1224" s="13"/>
      <c r="X1224" s="13"/>
      <c r="Y1224" s="13"/>
      <c r="Z1224" s="13"/>
      <c r="AA1224" s="17"/>
      <c r="AB1224" s="17"/>
      <c r="AC1224" s="17"/>
      <c r="AD1224" s="17"/>
      <c r="AE1224" s="17"/>
    </row>
    <row r="1225">
      <c r="A1225" s="72"/>
      <c r="B1225" s="12"/>
      <c r="C1225" s="12"/>
      <c r="D1225" s="12"/>
      <c r="E1225" s="13"/>
      <c r="F1225" s="13"/>
      <c r="G1225" s="13"/>
      <c r="H1225" s="13"/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6"/>
      <c r="W1225" s="13"/>
      <c r="X1225" s="13"/>
      <c r="Y1225" s="13"/>
      <c r="Z1225" s="13"/>
      <c r="AA1225" s="17"/>
      <c r="AB1225" s="17"/>
      <c r="AC1225" s="17"/>
      <c r="AD1225" s="17"/>
      <c r="AE1225" s="17"/>
    </row>
    <row r="1226">
      <c r="A1226" s="72"/>
      <c r="B1226" s="12"/>
      <c r="C1226" s="12"/>
      <c r="D1226" s="12"/>
      <c r="E1226" s="13"/>
      <c r="F1226" s="13"/>
      <c r="G1226" s="13"/>
      <c r="H1226" s="13"/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6"/>
      <c r="W1226" s="13"/>
      <c r="X1226" s="13"/>
      <c r="Y1226" s="13"/>
      <c r="Z1226" s="13"/>
      <c r="AA1226" s="17"/>
      <c r="AB1226" s="17"/>
      <c r="AC1226" s="17"/>
      <c r="AD1226" s="17"/>
      <c r="AE1226" s="17"/>
    </row>
    <row r="1227">
      <c r="A1227" s="72"/>
      <c r="B1227" s="12"/>
      <c r="C1227" s="12"/>
      <c r="D1227" s="12"/>
      <c r="E1227" s="13"/>
      <c r="F1227" s="13"/>
      <c r="G1227" s="13"/>
      <c r="H1227" s="13"/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6"/>
      <c r="W1227" s="13"/>
      <c r="X1227" s="13"/>
      <c r="Y1227" s="13"/>
      <c r="Z1227" s="13"/>
      <c r="AA1227" s="17"/>
      <c r="AB1227" s="17"/>
      <c r="AC1227" s="17"/>
      <c r="AD1227" s="17"/>
      <c r="AE1227" s="17"/>
    </row>
    <row r="1228">
      <c r="A1228" s="72"/>
      <c r="B1228" s="12"/>
      <c r="C1228" s="12"/>
      <c r="D1228" s="12"/>
      <c r="E1228" s="13"/>
      <c r="F1228" s="13"/>
      <c r="G1228" s="13"/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6"/>
      <c r="W1228" s="13"/>
      <c r="X1228" s="13"/>
      <c r="Y1228" s="13"/>
      <c r="Z1228" s="13"/>
      <c r="AA1228" s="17"/>
      <c r="AB1228" s="17"/>
      <c r="AC1228" s="17"/>
      <c r="AD1228" s="17"/>
      <c r="AE1228" s="17"/>
    </row>
    <row r="1229">
      <c r="A1229" s="72"/>
      <c r="B1229" s="12"/>
      <c r="C1229" s="12"/>
      <c r="D1229" s="12"/>
      <c r="E1229" s="13"/>
      <c r="F1229" s="13"/>
      <c r="G1229" s="13"/>
      <c r="H1229" s="13"/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6"/>
      <c r="W1229" s="13"/>
      <c r="X1229" s="13"/>
      <c r="Y1229" s="13"/>
      <c r="Z1229" s="13"/>
      <c r="AA1229" s="17"/>
      <c r="AB1229" s="17"/>
      <c r="AC1229" s="17"/>
      <c r="AD1229" s="17"/>
      <c r="AE1229" s="17"/>
    </row>
    <row r="1230">
      <c r="A1230" s="72"/>
      <c r="B1230" s="12"/>
      <c r="C1230" s="12"/>
      <c r="D1230" s="12"/>
      <c r="E1230" s="13"/>
      <c r="F1230" s="13"/>
      <c r="G1230" s="13"/>
      <c r="H1230" s="13"/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6"/>
      <c r="W1230" s="13"/>
      <c r="X1230" s="13"/>
      <c r="Y1230" s="13"/>
      <c r="Z1230" s="13"/>
      <c r="AA1230" s="17"/>
      <c r="AB1230" s="17"/>
      <c r="AC1230" s="17"/>
      <c r="AD1230" s="17"/>
      <c r="AE1230" s="17"/>
    </row>
    <row r="1231">
      <c r="A1231" s="72"/>
      <c r="B1231" s="12"/>
      <c r="C1231" s="12"/>
      <c r="D1231" s="12"/>
      <c r="E1231" s="13"/>
      <c r="F1231" s="13"/>
      <c r="G1231" s="13"/>
      <c r="H1231" s="13"/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6"/>
      <c r="W1231" s="13"/>
      <c r="X1231" s="13"/>
      <c r="Y1231" s="13"/>
      <c r="Z1231" s="13"/>
      <c r="AA1231" s="17"/>
      <c r="AB1231" s="17"/>
      <c r="AC1231" s="17"/>
      <c r="AD1231" s="17"/>
      <c r="AE1231" s="17"/>
    </row>
    <row r="1232">
      <c r="A1232" s="72"/>
      <c r="B1232" s="12"/>
      <c r="C1232" s="12"/>
      <c r="D1232" s="12"/>
      <c r="E1232" s="13"/>
      <c r="F1232" s="13"/>
      <c r="G1232" s="13"/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6"/>
      <c r="W1232" s="13"/>
      <c r="X1232" s="13"/>
      <c r="Y1232" s="13"/>
      <c r="Z1232" s="13"/>
      <c r="AA1232" s="17"/>
      <c r="AB1232" s="17"/>
      <c r="AC1232" s="17"/>
      <c r="AD1232" s="17"/>
      <c r="AE1232" s="17"/>
    </row>
    <row r="1233">
      <c r="A1233" s="72"/>
      <c r="B1233" s="12"/>
      <c r="C1233" s="12"/>
      <c r="D1233" s="12"/>
      <c r="E1233" s="13"/>
      <c r="F1233" s="13"/>
      <c r="G1233" s="13"/>
      <c r="H1233" s="13"/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6"/>
      <c r="W1233" s="13"/>
      <c r="X1233" s="13"/>
      <c r="Y1233" s="13"/>
      <c r="Z1233" s="13"/>
      <c r="AA1233" s="17"/>
      <c r="AB1233" s="17"/>
      <c r="AC1233" s="17"/>
      <c r="AD1233" s="17"/>
      <c r="AE1233" s="17"/>
    </row>
    <row r="1234">
      <c r="A1234" s="72"/>
      <c r="B1234" s="12"/>
      <c r="C1234" s="12"/>
      <c r="D1234" s="12"/>
      <c r="E1234" s="13"/>
      <c r="F1234" s="13"/>
      <c r="G1234" s="13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6"/>
      <c r="W1234" s="13"/>
      <c r="X1234" s="13"/>
      <c r="Y1234" s="13"/>
      <c r="Z1234" s="13"/>
      <c r="AA1234" s="17"/>
      <c r="AB1234" s="17"/>
      <c r="AC1234" s="17"/>
      <c r="AD1234" s="17"/>
      <c r="AE1234" s="17"/>
    </row>
    <row r="1235">
      <c r="A1235" s="72"/>
      <c r="B1235" s="12"/>
      <c r="C1235" s="12"/>
      <c r="D1235" s="12"/>
      <c r="E1235" s="13"/>
      <c r="F1235" s="13"/>
      <c r="G1235" s="13"/>
      <c r="H1235" s="13"/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6"/>
      <c r="W1235" s="13"/>
      <c r="X1235" s="13"/>
      <c r="Y1235" s="13"/>
      <c r="Z1235" s="13"/>
      <c r="AA1235" s="17"/>
      <c r="AB1235" s="17"/>
      <c r="AC1235" s="17"/>
      <c r="AD1235" s="17"/>
      <c r="AE1235" s="17"/>
    </row>
    <row r="1236">
      <c r="A1236" s="72"/>
      <c r="B1236" s="12"/>
      <c r="C1236" s="12"/>
      <c r="D1236" s="12"/>
      <c r="E1236" s="13"/>
      <c r="F1236" s="13"/>
      <c r="G1236" s="13"/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6"/>
      <c r="W1236" s="13"/>
      <c r="X1236" s="13"/>
      <c r="Y1236" s="13"/>
      <c r="Z1236" s="13"/>
      <c r="AA1236" s="17"/>
      <c r="AB1236" s="17"/>
      <c r="AC1236" s="17"/>
      <c r="AD1236" s="17"/>
      <c r="AE1236" s="17"/>
    </row>
    <row r="1237">
      <c r="A1237" s="72"/>
      <c r="B1237" s="12"/>
      <c r="C1237" s="12"/>
      <c r="D1237" s="12"/>
      <c r="E1237" s="13"/>
      <c r="F1237" s="13"/>
      <c r="G1237" s="13"/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6"/>
      <c r="W1237" s="13"/>
      <c r="X1237" s="13"/>
      <c r="Y1237" s="13"/>
      <c r="Z1237" s="13"/>
      <c r="AA1237" s="17"/>
      <c r="AB1237" s="17"/>
      <c r="AC1237" s="17"/>
      <c r="AD1237" s="17"/>
      <c r="AE1237" s="17"/>
    </row>
    <row r="1238">
      <c r="A1238" s="72"/>
      <c r="B1238" s="12"/>
      <c r="C1238" s="12"/>
      <c r="D1238" s="12"/>
      <c r="E1238" s="13"/>
      <c r="F1238" s="13"/>
      <c r="G1238" s="13"/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6"/>
      <c r="W1238" s="13"/>
      <c r="X1238" s="13"/>
      <c r="Y1238" s="13"/>
      <c r="Z1238" s="13"/>
      <c r="AA1238" s="17"/>
      <c r="AB1238" s="17"/>
      <c r="AC1238" s="17"/>
      <c r="AD1238" s="17"/>
      <c r="AE1238" s="17"/>
    </row>
    <row r="1239">
      <c r="A1239" s="72"/>
      <c r="B1239" s="12"/>
      <c r="C1239" s="12"/>
      <c r="D1239" s="12"/>
      <c r="E1239" s="13"/>
      <c r="F1239" s="13"/>
      <c r="G1239" s="13"/>
      <c r="H1239" s="13"/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6"/>
      <c r="W1239" s="13"/>
      <c r="X1239" s="13"/>
      <c r="Y1239" s="13"/>
      <c r="Z1239" s="13"/>
      <c r="AA1239" s="17"/>
      <c r="AB1239" s="17"/>
      <c r="AC1239" s="17"/>
      <c r="AD1239" s="17"/>
      <c r="AE1239" s="17"/>
    </row>
    <row r="1240">
      <c r="A1240" s="72"/>
      <c r="B1240" s="12"/>
      <c r="C1240" s="12"/>
      <c r="D1240" s="12"/>
      <c r="E1240" s="13"/>
      <c r="F1240" s="13"/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6"/>
      <c r="W1240" s="13"/>
      <c r="X1240" s="13"/>
      <c r="Y1240" s="13"/>
      <c r="Z1240" s="13"/>
      <c r="AA1240" s="17"/>
      <c r="AB1240" s="17"/>
      <c r="AC1240" s="17"/>
      <c r="AD1240" s="17"/>
      <c r="AE1240" s="17"/>
    </row>
    <row r="1241">
      <c r="A1241" s="72"/>
      <c r="B1241" s="12"/>
      <c r="C1241" s="12"/>
      <c r="D1241" s="12"/>
      <c r="E1241" s="13"/>
      <c r="F1241" s="13"/>
      <c r="G1241" s="13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6"/>
      <c r="W1241" s="13"/>
      <c r="X1241" s="13"/>
      <c r="Y1241" s="13"/>
      <c r="Z1241" s="13"/>
      <c r="AA1241" s="17"/>
      <c r="AB1241" s="17"/>
      <c r="AC1241" s="17"/>
      <c r="AD1241" s="17"/>
      <c r="AE1241" s="17"/>
    </row>
    <row r="1242">
      <c r="A1242" s="72"/>
      <c r="B1242" s="12"/>
      <c r="C1242" s="12"/>
      <c r="D1242" s="12"/>
      <c r="E1242" s="13"/>
      <c r="F1242" s="13"/>
      <c r="G1242" s="13"/>
      <c r="H1242" s="13"/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6"/>
      <c r="W1242" s="13"/>
      <c r="X1242" s="13"/>
      <c r="Y1242" s="13"/>
      <c r="Z1242" s="13"/>
      <c r="AA1242" s="17"/>
      <c r="AB1242" s="17"/>
      <c r="AC1242" s="17"/>
      <c r="AD1242" s="17"/>
      <c r="AE1242" s="17"/>
    </row>
    <row r="1243">
      <c r="A1243" s="72"/>
      <c r="B1243" s="12"/>
      <c r="C1243" s="12"/>
      <c r="D1243" s="12"/>
      <c r="E1243" s="13"/>
      <c r="F1243" s="13"/>
      <c r="G1243" s="13"/>
      <c r="H1243" s="13"/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6"/>
      <c r="W1243" s="13"/>
      <c r="X1243" s="13"/>
      <c r="Y1243" s="13"/>
      <c r="Z1243" s="13"/>
      <c r="AA1243" s="17"/>
      <c r="AB1243" s="17"/>
      <c r="AC1243" s="17"/>
      <c r="AD1243" s="17"/>
      <c r="AE1243" s="17"/>
    </row>
    <row r="1244">
      <c r="A1244" s="72"/>
      <c r="B1244" s="12"/>
      <c r="C1244" s="12"/>
      <c r="D1244" s="12"/>
      <c r="E1244" s="13"/>
      <c r="F1244" s="13"/>
      <c r="G1244" s="13"/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6"/>
      <c r="W1244" s="13"/>
      <c r="X1244" s="13"/>
      <c r="Y1244" s="13"/>
      <c r="Z1244" s="13"/>
      <c r="AA1244" s="17"/>
      <c r="AB1244" s="17"/>
      <c r="AC1244" s="17"/>
      <c r="AD1244" s="17"/>
      <c r="AE1244" s="17"/>
    </row>
    <row r="1245">
      <c r="A1245" s="72"/>
      <c r="B1245" s="12"/>
      <c r="C1245" s="12"/>
      <c r="D1245" s="12"/>
      <c r="E1245" s="13"/>
      <c r="F1245" s="13"/>
      <c r="G1245" s="13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6"/>
      <c r="W1245" s="13"/>
      <c r="X1245" s="13"/>
      <c r="Y1245" s="13"/>
      <c r="Z1245" s="13"/>
      <c r="AA1245" s="17"/>
      <c r="AB1245" s="17"/>
      <c r="AC1245" s="17"/>
      <c r="AD1245" s="17"/>
      <c r="AE1245" s="17"/>
    </row>
    <row r="1246">
      <c r="A1246" s="72"/>
      <c r="B1246" s="12"/>
      <c r="C1246" s="12"/>
      <c r="D1246" s="12"/>
      <c r="E1246" s="13"/>
      <c r="F1246" s="13"/>
      <c r="G1246" s="13"/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6"/>
      <c r="W1246" s="13"/>
      <c r="X1246" s="13"/>
      <c r="Y1246" s="13"/>
      <c r="Z1246" s="13"/>
      <c r="AA1246" s="17"/>
      <c r="AB1246" s="17"/>
      <c r="AC1246" s="17"/>
      <c r="AD1246" s="17"/>
      <c r="AE1246" s="17"/>
    </row>
    <row r="1247">
      <c r="A1247" s="72"/>
      <c r="B1247" s="12"/>
      <c r="C1247" s="12"/>
      <c r="D1247" s="12"/>
      <c r="E1247" s="13"/>
      <c r="F1247" s="13"/>
      <c r="G1247" s="13"/>
      <c r="H1247" s="13"/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6"/>
      <c r="W1247" s="13"/>
      <c r="X1247" s="13"/>
      <c r="Y1247" s="13"/>
      <c r="Z1247" s="13"/>
      <c r="AA1247" s="17"/>
      <c r="AB1247" s="17"/>
      <c r="AC1247" s="17"/>
      <c r="AD1247" s="17"/>
      <c r="AE1247" s="17"/>
    </row>
    <row r="1248">
      <c r="A1248" s="72"/>
      <c r="B1248" s="12"/>
      <c r="C1248" s="12"/>
      <c r="D1248" s="12"/>
      <c r="E1248" s="13"/>
      <c r="F1248" s="13"/>
      <c r="G1248" s="13"/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6"/>
      <c r="W1248" s="13"/>
      <c r="X1248" s="13"/>
      <c r="Y1248" s="13"/>
      <c r="Z1248" s="13"/>
      <c r="AA1248" s="17"/>
      <c r="AB1248" s="17"/>
      <c r="AC1248" s="17"/>
      <c r="AD1248" s="17"/>
      <c r="AE1248" s="17"/>
    </row>
    <row r="1249">
      <c r="A1249" s="72"/>
      <c r="B1249" s="12"/>
      <c r="C1249" s="12"/>
      <c r="D1249" s="12"/>
      <c r="E1249" s="13"/>
      <c r="F1249" s="13"/>
      <c r="G1249" s="13"/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6"/>
      <c r="W1249" s="13"/>
      <c r="X1249" s="13"/>
      <c r="Y1249" s="13"/>
      <c r="Z1249" s="13"/>
      <c r="AA1249" s="17"/>
      <c r="AB1249" s="17"/>
      <c r="AC1249" s="17"/>
      <c r="AD1249" s="17"/>
      <c r="AE1249" s="17"/>
    </row>
    <row r="1250">
      <c r="A1250" s="72"/>
      <c r="B1250" s="12"/>
      <c r="C1250" s="12"/>
      <c r="D1250" s="12"/>
      <c r="E1250" s="13"/>
      <c r="F1250" s="13"/>
      <c r="G1250" s="13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6"/>
      <c r="W1250" s="13"/>
      <c r="X1250" s="13"/>
      <c r="Y1250" s="13"/>
      <c r="Z1250" s="13"/>
      <c r="AA1250" s="17"/>
      <c r="AB1250" s="17"/>
      <c r="AC1250" s="17"/>
      <c r="AD1250" s="17"/>
      <c r="AE1250" s="17"/>
    </row>
    <row r="1251">
      <c r="A1251" s="72"/>
      <c r="B1251" s="12"/>
      <c r="C1251" s="12"/>
      <c r="D1251" s="12"/>
      <c r="E1251" s="13"/>
      <c r="F1251" s="13"/>
      <c r="G1251" s="13"/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6"/>
      <c r="W1251" s="13"/>
      <c r="X1251" s="13"/>
      <c r="Y1251" s="13"/>
      <c r="Z1251" s="13"/>
      <c r="AA1251" s="17"/>
      <c r="AB1251" s="17"/>
      <c r="AC1251" s="17"/>
      <c r="AD1251" s="17"/>
      <c r="AE1251" s="17"/>
    </row>
    <row r="1252">
      <c r="A1252" s="72"/>
      <c r="B1252" s="12"/>
      <c r="C1252" s="12"/>
      <c r="D1252" s="12"/>
      <c r="E1252" s="13"/>
      <c r="F1252" s="13"/>
      <c r="G1252" s="13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6"/>
      <c r="W1252" s="13"/>
      <c r="X1252" s="13"/>
      <c r="Y1252" s="13"/>
      <c r="Z1252" s="13"/>
      <c r="AA1252" s="17"/>
      <c r="AB1252" s="17"/>
      <c r="AC1252" s="17"/>
      <c r="AD1252" s="17"/>
      <c r="AE1252" s="17"/>
    </row>
    <row r="1253">
      <c r="A1253" s="72"/>
      <c r="B1253" s="12"/>
      <c r="C1253" s="12"/>
      <c r="D1253" s="12"/>
      <c r="E1253" s="13"/>
      <c r="F1253" s="13"/>
      <c r="G1253" s="13"/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6"/>
      <c r="W1253" s="13"/>
      <c r="X1253" s="13"/>
      <c r="Y1253" s="13"/>
      <c r="Z1253" s="13"/>
      <c r="AA1253" s="17"/>
      <c r="AB1253" s="17"/>
      <c r="AC1253" s="17"/>
      <c r="AD1253" s="17"/>
      <c r="AE1253" s="17"/>
    </row>
    <row r="1254">
      <c r="A1254" s="72"/>
      <c r="B1254" s="12"/>
      <c r="C1254" s="12"/>
      <c r="D1254" s="12"/>
      <c r="E1254" s="13"/>
      <c r="F1254" s="13"/>
      <c r="G1254" s="13"/>
      <c r="H1254" s="13"/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6"/>
      <c r="W1254" s="13"/>
      <c r="X1254" s="13"/>
      <c r="Y1254" s="13"/>
      <c r="Z1254" s="13"/>
      <c r="AA1254" s="17"/>
      <c r="AB1254" s="17"/>
      <c r="AC1254" s="17"/>
      <c r="AD1254" s="17"/>
      <c r="AE1254" s="17"/>
    </row>
    <row r="1255">
      <c r="A1255" s="72"/>
      <c r="B1255" s="12"/>
      <c r="C1255" s="12"/>
      <c r="D1255" s="12"/>
      <c r="E1255" s="13"/>
      <c r="F1255" s="13"/>
      <c r="G1255" s="13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6"/>
      <c r="W1255" s="13"/>
      <c r="X1255" s="13"/>
      <c r="Y1255" s="13"/>
      <c r="Z1255" s="13"/>
      <c r="AA1255" s="17"/>
      <c r="AB1255" s="17"/>
      <c r="AC1255" s="17"/>
      <c r="AD1255" s="17"/>
      <c r="AE1255" s="17"/>
    </row>
    <row r="1256">
      <c r="A1256" s="72"/>
      <c r="B1256" s="12"/>
      <c r="C1256" s="12"/>
      <c r="D1256" s="12"/>
      <c r="E1256" s="13"/>
      <c r="F1256" s="13"/>
      <c r="G1256" s="13"/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6"/>
      <c r="W1256" s="13"/>
      <c r="X1256" s="13"/>
      <c r="Y1256" s="13"/>
      <c r="Z1256" s="13"/>
      <c r="AA1256" s="17"/>
      <c r="AB1256" s="17"/>
      <c r="AC1256" s="17"/>
      <c r="AD1256" s="17"/>
      <c r="AE1256" s="17"/>
    </row>
    <row r="1257">
      <c r="A1257" s="72"/>
      <c r="B1257" s="12"/>
      <c r="C1257" s="12"/>
      <c r="D1257" s="12"/>
      <c r="E1257" s="13"/>
      <c r="F1257" s="13"/>
      <c r="G1257" s="13"/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6"/>
      <c r="W1257" s="13"/>
      <c r="X1257" s="13"/>
      <c r="Y1257" s="13"/>
      <c r="Z1257" s="13"/>
      <c r="AA1257" s="17"/>
      <c r="AB1257" s="17"/>
      <c r="AC1257" s="17"/>
      <c r="AD1257" s="17"/>
      <c r="AE1257" s="17"/>
    </row>
    <row r="1258">
      <c r="A1258" s="72"/>
      <c r="B1258" s="12"/>
      <c r="C1258" s="12"/>
      <c r="D1258" s="12"/>
      <c r="E1258" s="13"/>
      <c r="F1258" s="13"/>
      <c r="G1258" s="13"/>
      <c r="H1258" s="13"/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6"/>
      <c r="W1258" s="13"/>
      <c r="X1258" s="13"/>
      <c r="Y1258" s="13"/>
      <c r="Z1258" s="13"/>
      <c r="AA1258" s="17"/>
      <c r="AB1258" s="17"/>
      <c r="AC1258" s="17"/>
      <c r="AD1258" s="17"/>
      <c r="AE1258" s="17"/>
    </row>
    <row r="1259">
      <c r="A1259" s="72"/>
      <c r="B1259" s="12"/>
      <c r="C1259" s="12"/>
      <c r="D1259" s="12"/>
      <c r="E1259" s="13"/>
      <c r="F1259" s="13"/>
      <c r="G1259" s="13"/>
      <c r="H1259" s="13"/>
      <c r="I1259" s="13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6"/>
      <c r="W1259" s="13"/>
      <c r="X1259" s="13"/>
      <c r="Y1259" s="13"/>
      <c r="Z1259" s="13"/>
      <c r="AA1259" s="17"/>
      <c r="AB1259" s="17"/>
      <c r="AC1259" s="17"/>
      <c r="AD1259" s="17"/>
      <c r="AE1259" s="17"/>
    </row>
    <row r="1260">
      <c r="A1260" s="72"/>
      <c r="B1260" s="12"/>
      <c r="C1260" s="12"/>
      <c r="D1260" s="12"/>
      <c r="E1260" s="13"/>
      <c r="F1260" s="13"/>
      <c r="G1260" s="13"/>
      <c r="H1260" s="13"/>
      <c r="I1260" s="13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6"/>
      <c r="W1260" s="13"/>
      <c r="X1260" s="13"/>
      <c r="Y1260" s="13"/>
      <c r="Z1260" s="13"/>
      <c r="AA1260" s="17"/>
      <c r="AB1260" s="17"/>
      <c r="AC1260" s="17"/>
      <c r="AD1260" s="17"/>
      <c r="AE1260" s="17"/>
    </row>
    <row r="1261">
      <c r="A1261" s="72"/>
      <c r="B1261" s="12"/>
      <c r="C1261" s="12"/>
      <c r="D1261" s="12"/>
      <c r="E1261" s="13"/>
      <c r="F1261" s="13"/>
      <c r="G1261" s="13"/>
      <c r="H1261" s="13"/>
      <c r="I1261" s="13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6"/>
      <c r="W1261" s="13"/>
      <c r="X1261" s="13"/>
      <c r="Y1261" s="13"/>
      <c r="Z1261" s="13"/>
      <c r="AA1261" s="17"/>
      <c r="AB1261" s="17"/>
      <c r="AC1261" s="17"/>
      <c r="AD1261" s="17"/>
      <c r="AE1261" s="17"/>
    </row>
    <row r="1262">
      <c r="A1262" s="72"/>
      <c r="B1262" s="12"/>
      <c r="C1262" s="12"/>
      <c r="D1262" s="12"/>
      <c r="E1262" s="13"/>
      <c r="F1262" s="13"/>
      <c r="G1262" s="13"/>
      <c r="H1262" s="13"/>
      <c r="I1262" s="13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6"/>
      <c r="W1262" s="13"/>
      <c r="X1262" s="13"/>
      <c r="Y1262" s="13"/>
      <c r="Z1262" s="13"/>
      <c r="AA1262" s="17"/>
      <c r="AB1262" s="17"/>
      <c r="AC1262" s="17"/>
      <c r="AD1262" s="17"/>
      <c r="AE1262" s="17"/>
    </row>
    <row r="1263">
      <c r="A1263" s="72"/>
      <c r="B1263" s="12"/>
      <c r="C1263" s="12"/>
      <c r="D1263" s="12"/>
      <c r="E1263" s="13"/>
      <c r="F1263" s="13"/>
      <c r="G1263" s="13"/>
      <c r="H1263" s="13"/>
      <c r="I1263" s="13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6"/>
      <c r="W1263" s="13"/>
      <c r="X1263" s="13"/>
      <c r="Y1263" s="13"/>
      <c r="Z1263" s="13"/>
      <c r="AA1263" s="17"/>
      <c r="AB1263" s="17"/>
      <c r="AC1263" s="17"/>
      <c r="AD1263" s="17"/>
      <c r="AE1263" s="17"/>
    </row>
    <row r="1264">
      <c r="A1264" s="72"/>
      <c r="B1264" s="12"/>
      <c r="C1264" s="12"/>
      <c r="D1264" s="12"/>
      <c r="E1264" s="13"/>
      <c r="F1264" s="13"/>
      <c r="G1264" s="13"/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6"/>
      <c r="W1264" s="13"/>
      <c r="X1264" s="13"/>
      <c r="Y1264" s="13"/>
      <c r="Z1264" s="13"/>
      <c r="AA1264" s="17"/>
      <c r="AB1264" s="17"/>
      <c r="AC1264" s="17"/>
      <c r="AD1264" s="17"/>
      <c r="AE1264" s="17"/>
    </row>
    <row r="1265">
      <c r="A1265" s="72"/>
      <c r="B1265" s="12"/>
      <c r="C1265" s="12"/>
      <c r="D1265" s="12"/>
      <c r="E1265" s="13"/>
      <c r="F1265" s="13"/>
      <c r="G1265" s="13"/>
      <c r="H1265" s="13"/>
      <c r="I1265" s="13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6"/>
      <c r="W1265" s="13"/>
      <c r="X1265" s="13"/>
      <c r="Y1265" s="13"/>
      <c r="Z1265" s="13"/>
      <c r="AA1265" s="17"/>
      <c r="AB1265" s="17"/>
      <c r="AC1265" s="17"/>
      <c r="AD1265" s="17"/>
      <c r="AE1265" s="17"/>
    </row>
    <row r="1266">
      <c r="A1266" s="72"/>
      <c r="B1266" s="12"/>
      <c r="C1266" s="12"/>
      <c r="D1266" s="12"/>
      <c r="E1266" s="13"/>
      <c r="F1266" s="13"/>
      <c r="G1266" s="13"/>
      <c r="H1266" s="13"/>
      <c r="I1266" s="13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6"/>
      <c r="W1266" s="13"/>
      <c r="X1266" s="13"/>
      <c r="Y1266" s="13"/>
      <c r="Z1266" s="13"/>
      <c r="AA1266" s="17"/>
      <c r="AB1266" s="17"/>
      <c r="AC1266" s="17"/>
      <c r="AD1266" s="17"/>
      <c r="AE1266" s="17"/>
    </row>
    <row r="1267">
      <c r="A1267" s="72"/>
      <c r="B1267" s="12"/>
      <c r="C1267" s="12"/>
      <c r="D1267" s="12"/>
      <c r="E1267" s="13"/>
      <c r="F1267" s="13"/>
      <c r="G1267" s="13"/>
      <c r="H1267" s="13"/>
      <c r="I1267" s="13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6"/>
      <c r="W1267" s="13"/>
      <c r="X1267" s="13"/>
      <c r="Y1267" s="13"/>
      <c r="Z1267" s="13"/>
      <c r="AA1267" s="17"/>
      <c r="AB1267" s="17"/>
      <c r="AC1267" s="17"/>
      <c r="AD1267" s="17"/>
      <c r="AE1267" s="17"/>
    </row>
    <row r="1268">
      <c r="A1268" s="72"/>
      <c r="B1268" s="12"/>
      <c r="C1268" s="12"/>
      <c r="D1268" s="12"/>
      <c r="E1268" s="13"/>
      <c r="F1268" s="13"/>
      <c r="G1268" s="13"/>
      <c r="H1268" s="13"/>
      <c r="I1268" s="13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6"/>
      <c r="W1268" s="13"/>
      <c r="X1268" s="13"/>
      <c r="Y1268" s="13"/>
      <c r="Z1268" s="13"/>
      <c r="AA1268" s="17"/>
      <c r="AB1268" s="17"/>
      <c r="AC1268" s="17"/>
      <c r="AD1268" s="17"/>
      <c r="AE1268" s="17"/>
    </row>
    <row r="1269">
      <c r="A1269" s="72"/>
      <c r="B1269" s="12"/>
      <c r="C1269" s="12"/>
      <c r="D1269" s="12"/>
      <c r="E1269" s="13"/>
      <c r="F1269" s="13"/>
      <c r="G1269" s="13"/>
      <c r="H1269" s="13"/>
      <c r="I1269" s="13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6"/>
      <c r="W1269" s="13"/>
      <c r="X1269" s="13"/>
      <c r="Y1269" s="13"/>
      <c r="Z1269" s="13"/>
      <c r="AA1269" s="17"/>
      <c r="AB1269" s="17"/>
      <c r="AC1269" s="17"/>
      <c r="AD1269" s="17"/>
      <c r="AE1269" s="17"/>
    </row>
    <row r="1270">
      <c r="A1270" s="72"/>
      <c r="B1270" s="12"/>
      <c r="C1270" s="12"/>
      <c r="D1270" s="12"/>
      <c r="E1270" s="13"/>
      <c r="F1270" s="13"/>
      <c r="G1270" s="13"/>
      <c r="H1270" s="13"/>
      <c r="I1270" s="13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6"/>
      <c r="W1270" s="13"/>
      <c r="X1270" s="13"/>
      <c r="Y1270" s="13"/>
      <c r="Z1270" s="13"/>
      <c r="AA1270" s="17"/>
      <c r="AB1270" s="17"/>
      <c r="AC1270" s="17"/>
      <c r="AD1270" s="17"/>
      <c r="AE1270" s="17"/>
    </row>
    <row r="1271">
      <c r="A1271" s="72"/>
      <c r="B1271" s="12"/>
      <c r="C1271" s="12"/>
      <c r="D1271" s="12"/>
      <c r="E1271" s="13"/>
      <c r="F1271" s="13"/>
      <c r="G1271" s="13"/>
      <c r="H1271" s="13"/>
      <c r="I1271" s="13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6"/>
      <c r="W1271" s="13"/>
      <c r="X1271" s="13"/>
      <c r="Y1271" s="13"/>
      <c r="Z1271" s="13"/>
      <c r="AA1271" s="17"/>
      <c r="AB1271" s="17"/>
      <c r="AC1271" s="17"/>
      <c r="AD1271" s="17"/>
      <c r="AE1271" s="17"/>
    </row>
    <row r="1272">
      <c r="A1272" s="72"/>
      <c r="B1272" s="12"/>
      <c r="C1272" s="12"/>
      <c r="D1272" s="12"/>
      <c r="E1272" s="13"/>
      <c r="F1272" s="13"/>
      <c r="G1272" s="13"/>
      <c r="H1272" s="13"/>
      <c r="I1272" s="13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6"/>
      <c r="W1272" s="13"/>
      <c r="X1272" s="13"/>
      <c r="Y1272" s="13"/>
      <c r="Z1272" s="13"/>
      <c r="AA1272" s="17"/>
      <c r="AB1272" s="17"/>
      <c r="AC1272" s="17"/>
      <c r="AD1272" s="17"/>
      <c r="AE1272" s="17"/>
    </row>
    <row r="1273">
      <c r="A1273" s="72"/>
      <c r="B1273" s="12"/>
      <c r="C1273" s="12"/>
      <c r="D1273" s="12"/>
      <c r="E1273" s="13"/>
      <c r="F1273" s="13"/>
      <c r="G1273" s="13"/>
      <c r="H1273" s="13"/>
      <c r="I1273" s="13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6"/>
      <c r="W1273" s="13"/>
      <c r="X1273" s="13"/>
      <c r="Y1273" s="13"/>
      <c r="Z1273" s="13"/>
      <c r="AA1273" s="17"/>
      <c r="AB1273" s="17"/>
      <c r="AC1273" s="17"/>
      <c r="AD1273" s="17"/>
      <c r="AE1273" s="17"/>
    </row>
    <row r="1274">
      <c r="A1274" s="72"/>
      <c r="B1274" s="12"/>
      <c r="C1274" s="12"/>
      <c r="D1274" s="12"/>
      <c r="E1274" s="13"/>
      <c r="F1274" s="13"/>
      <c r="G1274" s="13"/>
      <c r="H1274" s="13"/>
      <c r="I1274" s="13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6"/>
      <c r="W1274" s="13"/>
      <c r="X1274" s="13"/>
      <c r="Y1274" s="13"/>
      <c r="Z1274" s="13"/>
      <c r="AA1274" s="17"/>
      <c r="AB1274" s="17"/>
      <c r="AC1274" s="17"/>
      <c r="AD1274" s="17"/>
      <c r="AE1274" s="17"/>
    </row>
    <row r="1275">
      <c r="A1275" s="72"/>
      <c r="B1275" s="12"/>
      <c r="C1275" s="12"/>
      <c r="D1275" s="12"/>
      <c r="E1275" s="13"/>
      <c r="F1275" s="13"/>
      <c r="G1275" s="13"/>
      <c r="H1275" s="13"/>
      <c r="I1275" s="13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6"/>
      <c r="W1275" s="13"/>
      <c r="X1275" s="13"/>
      <c r="Y1275" s="13"/>
      <c r="Z1275" s="13"/>
      <c r="AA1275" s="17"/>
      <c r="AB1275" s="17"/>
      <c r="AC1275" s="17"/>
      <c r="AD1275" s="17"/>
      <c r="AE1275" s="17"/>
    </row>
    <row r="1276">
      <c r="A1276" s="72"/>
      <c r="B1276" s="12"/>
      <c r="C1276" s="12"/>
      <c r="D1276" s="12"/>
      <c r="E1276" s="13"/>
      <c r="F1276" s="13"/>
      <c r="G1276" s="13"/>
      <c r="H1276" s="13"/>
      <c r="I1276" s="13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6"/>
      <c r="W1276" s="13"/>
      <c r="X1276" s="13"/>
      <c r="Y1276" s="13"/>
      <c r="Z1276" s="13"/>
      <c r="AA1276" s="17"/>
      <c r="AB1276" s="17"/>
      <c r="AC1276" s="17"/>
      <c r="AD1276" s="17"/>
      <c r="AE1276" s="17"/>
    </row>
    <row r="1277">
      <c r="A1277" s="72"/>
      <c r="B1277" s="12"/>
      <c r="C1277" s="12"/>
      <c r="D1277" s="12"/>
      <c r="E1277" s="13"/>
      <c r="F1277" s="13"/>
      <c r="G1277" s="13"/>
      <c r="H1277" s="13"/>
      <c r="I1277" s="13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6"/>
      <c r="W1277" s="13"/>
      <c r="X1277" s="13"/>
      <c r="Y1277" s="13"/>
      <c r="Z1277" s="13"/>
      <c r="AA1277" s="17"/>
      <c r="AB1277" s="17"/>
      <c r="AC1277" s="17"/>
      <c r="AD1277" s="17"/>
      <c r="AE1277" s="17"/>
    </row>
    <row r="1278">
      <c r="A1278" s="72"/>
      <c r="B1278" s="12"/>
      <c r="C1278" s="12"/>
      <c r="D1278" s="12"/>
      <c r="E1278" s="13"/>
      <c r="F1278" s="13"/>
      <c r="G1278" s="13"/>
      <c r="H1278" s="13"/>
      <c r="I1278" s="13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6"/>
      <c r="W1278" s="13"/>
      <c r="X1278" s="13"/>
      <c r="Y1278" s="13"/>
      <c r="Z1278" s="13"/>
      <c r="AA1278" s="17"/>
      <c r="AB1278" s="17"/>
      <c r="AC1278" s="17"/>
      <c r="AD1278" s="17"/>
      <c r="AE1278" s="17"/>
    </row>
    <row r="1279">
      <c r="A1279" s="72"/>
      <c r="B1279" s="12"/>
      <c r="C1279" s="12"/>
      <c r="D1279" s="12"/>
      <c r="E1279" s="13"/>
      <c r="F1279" s="13"/>
      <c r="G1279" s="13"/>
      <c r="H1279" s="13"/>
      <c r="I1279" s="13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6"/>
      <c r="W1279" s="13"/>
      <c r="X1279" s="13"/>
      <c r="Y1279" s="13"/>
      <c r="Z1279" s="13"/>
      <c r="AA1279" s="17"/>
      <c r="AB1279" s="17"/>
      <c r="AC1279" s="17"/>
      <c r="AD1279" s="17"/>
      <c r="AE1279" s="17"/>
    </row>
    <row r="1280">
      <c r="A1280" s="72"/>
      <c r="B1280" s="12"/>
      <c r="C1280" s="12"/>
      <c r="D1280" s="12"/>
      <c r="E1280" s="13"/>
      <c r="F1280" s="13"/>
      <c r="G1280" s="13"/>
      <c r="H1280" s="13"/>
      <c r="I1280" s="13"/>
      <c r="J1280" s="13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6"/>
      <c r="W1280" s="13"/>
      <c r="X1280" s="13"/>
      <c r="Y1280" s="13"/>
      <c r="Z1280" s="13"/>
      <c r="AA1280" s="17"/>
      <c r="AB1280" s="17"/>
      <c r="AC1280" s="17"/>
      <c r="AD1280" s="17"/>
      <c r="AE1280" s="17"/>
    </row>
    <row r="1281">
      <c r="A1281" s="72"/>
      <c r="B1281" s="12"/>
      <c r="C1281" s="12"/>
      <c r="D1281" s="12"/>
      <c r="E1281" s="13"/>
      <c r="F1281" s="13"/>
      <c r="G1281" s="13"/>
      <c r="H1281" s="13"/>
      <c r="I1281" s="13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6"/>
      <c r="W1281" s="13"/>
      <c r="X1281" s="13"/>
      <c r="Y1281" s="13"/>
      <c r="Z1281" s="13"/>
      <c r="AA1281" s="17"/>
      <c r="AB1281" s="17"/>
      <c r="AC1281" s="17"/>
      <c r="AD1281" s="17"/>
      <c r="AE1281" s="17"/>
    </row>
    <row r="1282">
      <c r="A1282" s="72"/>
      <c r="B1282" s="12"/>
      <c r="C1282" s="12"/>
      <c r="D1282" s="12"/>
      <c r="E1282" s="13"/>
      <c r="F1282" s="13"/>
      <c r="G1282" s="13"/>
      <c r="H1282" s="13"/>
      <c r="I1282" s="13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6"/>
      <c r="W1282" s="13"/>
      <c r="X1282" s="13"/>
      <c r="Y1282" s="13"/>
      <c r="Z1282" s="13"/>
      <c r="AA1282" s="17"/>
      <c r="AB1282" s="17"/>
      <c r="AC1282" s="17"/>
      <c r="AD1282" s="17"/>
      <c r="AE1282" s="17"/>
    </row>
    <row r="1283">
      <c r="A1283" s="72"/>
      <c r="B1283" s="12"/>
      <c r="C1283" s="12"/>
      <c r="D1283" s="12"/>
      <c r="E1283" s="13"/>
      <c r="F1283" s="13"/>
      <c r="G1283" s="13"/>
      <c r="H1283" s="13"/>
      <c r="I1283" s="13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6"/>
      <c r="W1283" s="13"/>
      <c r="X1283" s="13"/>
      <c r="Y1283" s="13"/>
      <c r="Z1283" s="13"/>
      <c r="AA1283" s="17"/>
      <c r="AB1283" s="17"/>
      <c r="AC1283" s="17"/>
      <c r="AD1283" s="17"/>
      <c r="AE1283" s="17"/>
    </row>
    <row r="1284">
      <c r="A1284" s="72"/>
      <c r="B1284" s="12"/>
      <c r="C1284" s="12"/>
      <c r="D1284" s="12"/>
      <c r="E1284" s="13"/>
      <c r="F1284" s="13"/>
      <c r="G1284" s="13"/>
      <c r="H1284" s="13"/>
      <c r="I1284" s="13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6"/>
      <c r="W1284" s="13"/>
      <c r="X1284" s="13"/>
      <c r="Y1284" s="13"/>
      <c r="Z1284" s="13"/>
      <c r="AA1284" s="17"/>
      <c r="AB1284" s="17"/>
      <c r="AC1284" s="17"/>
      <c r="AD1284" s="17"/>
      <c r="AE1284" s="17"/>
    </row>
    <row r="1285">
      <c r="A1285" s="72"/>
      <c r="B1285" s="12"/>
      <c r="C1285" s="12"/>
      <c r="D1285" s="12"/>
      <c r="E1285" s="13"/>
      <c r="F1285" s="13"/>
      <c r="G1285" s="13"/>
      <c r="H1285" s="13"/>
      <c r="I1285" s="13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6"/>
      <c r="W1285" s="13"/>
      <c r="X1285" s="13"/>
      <c r="Y1285" s="13"/>
      <c r="Z1285" s="13"/>
      <c r="AA1285" s="17"/>
      <c r="AB1285" s="17"/>
      <c r="AC1285" s="17"/>
      <c r="AD1285" s="17"/>
      <c r="AE1285" s="17"/>
    </row>
    <row r="1286">
      <c r="A1286" s="72"/>
      <c r="B1286" s="12"/>
      <c r="C1286" s="12"/>
      <c r="D1286" s="12"/>
      <c r="E1286" s="13"/>
      <c r="F1286" s="13"/>
      <c r="G1286" s="13"/>
      <c r="H1286" s="13"/>
      <c r="I1286" s="13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6"/>
      <c r="W1286" s="13"/>
      <c r="X1286" s="13"/>
      <c r="Y1286" s="13"/>
      <c r="Z1286" s="13"/>
      <c r="AA1286" s="17"/>
      <c r="AB1286" s="17"/>
      <c r="AC1286" s="17"/>
      <c r="AD1286" s="17"/>
      <c r="AE1286" s="17"/>
    </row>
    <row r="1287">
      <c r="A1287" s="72"/>
      <c r="B1287" s="12"/>
      <c r="C1287" s="12"/>
      <c r="D1287" s="12"/>
      <c r="E1287" s="13"/>
      <c r="F1287" s="13"/>
      <c r="G1287" s="13"/>
      <c r="H1287" s="13"/>
      <c r="I1287" s="13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6"/>
      <c r="W1287" s="13"/>
      <c r="X1287" s="13"/>
      <c r="Y1287" s="13"/>
      <c r="Z1287" s="13"/>
      <c r="AA1287" s="17"/>
      <c r="AB1287" s="17"/>
      <c r="AC1287" s="17"/>
      <c r="AD1287" s="17"/>
      <c r="AE1287" s="17"/>
    </row>
    <row r="1288">
      <c r="A1288" s="72"/>
      <c r="B1288" s="12"/>
      <c r="C1288" s="12"/>
      <c r="D1288" s="12"/>
      <c r="E1288" s="13"/>
      <c r="F1288" s="13"/>
      <c r="G1288" s="13"/>
      <c r="H1288" s="13"/>
      <c r="I1288" s="13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6"/>
      <c r="W1288" s="13"/>
      <c r="X1288" s="13"/>
      <c r="Y1288" s="13"/>
      <c r="Z1288" s="13"/>
      <c r="AA1288" s="17"/>
      <c r="AB1288" s="17"/>
      <c r="AC1288" s="17"/>
      <c r="AD1288" s="17"/>
      <c r="AE1288" s="17"/>
    </row>
    <row r="1289">
      <c r="A1289" s="72"/>
      <c r="B1289" s="12"/>
      <c r="C1289" s="12"/>
      <c r="D1289" s="12"/>
      <c r="E1289" s="13"/>
      <c r="F1289" s="13"/>
      <c r="G1289" s="13"/>
      <c r="H1289" s="13"/>
      <c r="I1289" s="13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6"/>
      <c r="W1289" s="13"/>
      <c r="X1289" s="13"/>
      <c r="Y1289" s="13"/>
      <c r="Z1289" s="13"/>
      <c r="AA1289" s="17"/>
      <c r="AB1289" s="17"/>
      <c r="AC1289" s="17"/>
      <c r="AD1289" s="17"/>
      <c r="AE1289" s="17"/>
    </row>
    <row r="1290">
      <c r="A1290" s="72"/>
      <c r="B1290" s="12"/>
      <c r="C1290" s="12"/>
      <c r="D1290" s="12"/>
      <c r="E1290" s="13"/>
      <c r="F1290" s="13"/>
      <c r="G1290" s="13"/>
      <c r="H1290" s="13"/>
      <c r="I1290" s="13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6"/>
      <c r="W1290" s="13"/>
      <c r="X1290" s="13"/>
      <c r="Y1290" s="13"/>
      <c r="Z1290" s="13"/>
      <c r="AA1290" s="17"/>
      <c r="AB1290" s="17"/>
      <c r="AC1290" s="17"/>
      <c r="AD1290" s="17"/>
      <c r="AE1290" s="17"/>
    </row>
    <row r="1291">
      <c r="A1291" s="72"/>
      <c r="B1291" s="12"/>
      <c r="C1291" s="12"/>
      <c r="D1291" s="12"/>
      <c r="E1291" s="13"/>
      <c r="F1291" s="13"/>
      <c r="G1291" s="13"/>
      <c r="H1291" s="13"/>
      <c r="I1291" s="13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6"/>
      <c r="W1291" s="13"/>
      <c r="X1291" s="13"/>
      <c r="Y1291" s="13"/>
      <c r="Z1291" s="13"/>
      <c r="AA1291" s="17"/>
      <c r="AB1291" s="17"/>
      <c r="AC1291" s="17"/>
      <c r="AD1291" s="17"/>
      <c r="AE1291" s="17"/>
    </row>
    <row r="1292">
      <c r="A1292" s="72"/>
      <c r="B1292" s="12"/>
      <c r="C1292" s="12"/>
      <c r="D1292" s="12"/>
      <c r="E1292" s="13"/>
      <c r="F1292" s="13"/>
      <c r="G1292" s="13"/>
      <c r="H1292" s="13"/>
      <c r="I1292" s="13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6"/>
      <c r="W1292" s="13"/>
      <c r="X1292" s="13"/>
      <c r="Y1292" s="13"/>
      <c r="Z1292" s="13"/>
      <c r="AA1292" s="17"/>
      <c r="AB1292" s="17"/>
      <c r="AC1292" s="17"/>
      <c r="AD1292" s="17"/>
      <c r="AE1292" s="17"/>
    </row>
    <row r="1293">
      <c r="A1293" s="72"/>
      <c r="B1293" s="12"/>
      <c r="C1293" s="12"/>
      <c r="D1293" s="12"/>
      <c r="E1293" s="13"/>
      <c r="F1293" s="13"/>
      <c r="G1293" s="13"/>
      <c r="H1293" s="13"/>
      <c r="I1293" s="13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6"/>
      <c r="W1293" s="13"/>
      <c r="X1293" s="13"/>
      <c r="Y1293" s="13"/>
      <c r="Z1293" s="13"/>
      <c r="AA1293" s="17"/>
      <c r="AB1293" s="17"/>
      <c r="AC1293" s="17"/>
      <c r="AD1293" s="17"/>
      <c r="AE1293" s="17"/>
    </row>
    <row r="1294">
      <c r="A1294" s="72"/>
      <c r="B1294" s="12"/>
      <c r="C1294" s="12"/>
      <c r="D1294" s="12"/>
      <c r="E1294" s="13"/>
      <c r="F1294" s="13"/>
      <c r="G1294" s="13"/>
      <c r="H1294" s="13"/>
      <c r="I1294" s="13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6"/>
      <c r="W1294" s="13"/>
      <c r="X1294" s="13"/>
      <c r="Y1294" s="13"/>
      <c r="Z1294" s="13"/>
      <c r="AA1294" s="17"/>
      <c r="AB1294" s="17"/>
      <c r="AC1294" s="17"/>
      <c r="AD1294" s="17"/>
      <c r="AE1294" s="17"/>
    </row>
    <row r="1295">
      <c r="A1295" s="72"/>
      <c r="B1295" s="12"/>
      <c r="C1295" s="12"/>
      <c r="D1295" s="12"/>
      <c r="E1295" s="13"/>
      <c r="F1295" s="13"/>
      <c r="G1295" s="13"/>
      <c r="H1295" s="13"/>
      <c r="I1295" s="13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6"/>
      <c r="W1295" s="13"/>
      <c r="X1295" s="13"/>
      <c r="Y1295" s="13"/>
      <c r="Z1295" s="13"/>
      <c r="AA1295" s="17"/>
      <c r="AB1295" s="17"/>
      <c r="AC1295" s="17"/>
      <c r="AD1295" s="17"/>
      <c r="AE1295" s="17"/>
    </row>
    <row r="1296">
      <c r="A1296" s="72"/>
      <c r="B1296" s="12"/>
      <c r="C1296" s="12"/>
      <c r="D1296" s="12"/>
      <c r="E1296" s="13"/>
      <c r="F1296" s="13"/>
      <c r="G1296" s="13"/>
      <c r="H1296" s="13"/>
      <c r="I1296" s="13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6"/>
      <c r="W1296" s="13"/>
      <c r="X1296" s="13"/>
      <c r="Y1296" s="13"/>
      <c r="Z1296" s="13"/>
      <c r="AA1296" s="17"/>
      <c r="AB1296" s="17"/>
      <c r="AC1296" s="17"/>
      <c r="AD1296" s="17"/>
      <c r="AE1296" s="17"/>
    </row>
    <row r="1297">
      <c r="A1297" s="72"/>
      <c r="B1297" s="12"/>
      <c r="C1297" s="12"/>
      <c r="D1297" s="12"/>
      <c r="E1297" s="13"/>
      <c r="F1297" s="13"/>
      <c r="G1297" s="13"/>
      <c r="H1297" s="13"/>
      <c r="I1297" s="13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6"/>
      <c r="W1297" s="13"/>
      <c r="X1297" s="13"/>
      <c r="Y1297" s="13"/>
      <c r="Z1297" s="13"/>
      <c r="AA1297" s="17"/>
      <c r="AB1297" s="17"/>
      <c r="AC1297" s="17"/>
      <c r="AD1297" s="17"/>
      <c r="AE1297" s="17"/>
    </row>
    <row r="1298">
      <c r="A1298" s="72"/>
      <c r="B1298" s="12"/>
      <c r="C1298" s="12"/>
      <c r="D1298" s="12"/>
      <c r="E1298" s="13"/>
      <c r="F1298" s="13"/>
      <c r="G1298" s="13"/>
      <c r="H1298" s="13"/>
      <c r="I1298" s="13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6"/>
      <c r="W1298" s="13"/>
      <c r="X1298" s="13"/>
      <c r="Y1298" s="13"/>
      <c r="Z1298" s="13"/>
      <c r="AA1298" s="17"/>
      <c r="AB1298" s="17"/>
      <c r="AC1298" s="17"/>
      <c r="AD1298" s="17"/>
      <c r="AE1298" s="17"/>
    </row>
    <row r="1299">
      <c r="A1299" s="72"/>
      <c r="B1299" s="12"/>
      <c r="C1299" s="12"/>
      <c r="D1299" s="12"/>
      <c r="E1299" s="13"/>
      <c r="F1299" s="13"/>
      <c r="G1299" s="13"/>
      <c r="H1299" s="13"/>
      <c r="I1299" s="13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6"/>
      <c r="W1299" s="13"/>
      <c r="X1299" s="13"/>
      <c r="Y1299" s="13"/>
      <c r="Z1299" s="13"/>
      <c r="AA1299" s="17"/>
      <c r="AB1299" s="17"/>
      <c r="AC1299" s="17"/>
      <c r="AD1299" s="17"/>
      <c r="AE1299" s="17"/>
    </row>
    <row r="1300">
      <c r="A1300" s="72"/>
      <c r="B1300" s="12"/>
      <c r="C1300" s="12"/>
      <c r="D1300" s="12"/>
      <c r="E1300" s="13"/>
      <c r="F1300" s="13"/>
      <c r="G1300" s="13"/>
      <c r="H1300" s="13"/>
      <c r="I1300" s="13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6"/>
      <c r="W1300" s="13"/>
      <c r="X1300" s="13"/>
      <c r="Y1300" s="13"/>
      <c r="Z1300" s="13"/>
      <c r="AA1300" s="17"/>
      <c r="AB1300" s="17"/>
      <c r="AC1300" s="17"/>
      <c r="AD1300" s="17"/>
      <c r="AE1300" s="17"/>
    </row>
    <row r="1301">
      <c r="A1301" s="72"/>
      <c r="B1301" s="12"/>
      <c r="C1301" s="12"/>
      <c r="D1301" s="12"/>
      <c r="E1301" s="13"/>
      <c r="F1301" s="13"/>
      <c r="G1301" s="13"/>
      <c r="H1301" s="13"/>
      <c r="I1301" s="13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6"/>
      <c r="W1301" s="13"/>
      <c r="X1301" s="13"/>
      <c r="Y1301" s="13"/>
      <c r="Z1301" s="13"/>
      <c r="AA1301" s="17"/>
      <c r="AB1301" s="17"/>
      <c r="AC1301" s="17"/>
      <c r="AD1301" s="17"/>
      <c r="AE1301" s="17"/>
    </row>
    <row r="1302">
      <c r="A1302" s="72"/>
      <c r="B1302" s="12"/>
      <c r="C1302" s="12"/>
      <c r="D1302" s="12"/>
      <c r="E1302" s="13"/>
      <c r="F1302" s="13"/>
      <c r="G1302" s="13"/>
      <c r="H1302" s="13"/>
      <c r="I1302" s="13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6"/>
      <c r="W1302" s="13"/>
      <c r="X1302" s="13"/>
      <c r="Y1302" s="13"/>
      <c r="Z1302" s="13"/>
      <c r="AA1302" s="17"/>
      <c r="AB1302" s="17"/>
      <c r="AC1302" s="17"/>
      <c r="AD1302" s="17"/>
      <c r="AE1302" s="17"/>
    </row>
    <row r="1303">
      <c r="A1303" s="72"/>
      <c r="B1303" s="12"/>
      <c r="C1303" s="12"/>
      <c r="D1303" s="12"/>
      <c r="E1303" s="13"/>
      <c r="F1303" s="13"/>
      <c r="G1303" s="13"/>
      <c r="H1303" s="13"/>
      <c r="I1303" s="13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6"/>
      <c r="W1303" s="13"/>
      <c r="X1303" s="13"/>
      <c r="Y1303" s="13"/>
      <c r="Z1303" s="13"/>
      <c r="AA1303" s="17"/>
      <c r="AB1303" s="17"/>
      <c r="AC1303" s="17"/>
      <c r="AD1303" s="17"/>
      <c r="AE1303" s="17"/>
    </row>
    <row r="1304">
      <c r="A1304" s="72"/>
      <c r="B1304" s="12"/>
      <c r="C1304" s="12"/>
      <c r="D1304" s="12"/>
      <c r="E1304" s="13"/>
      <c r="F1304" s="13"/>
      <c r="G1304" s="13"/>
      <c r="H1304" s="13"/>
      <c r="I1304" s="13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6"/>
      <c r="W1304" s="13"/>
      <c r="X1304" s="13"/>
      <c r="Y1304" s="13"/>
      <c r="Z1304" s="13"/>
      <c r="AA1304" s="17"/>
      <c r="AB1304" s="17"/>
      <c r="AC1304" s="17"/>
      <c r="AD1304" s="17"/>
      <c r="AE1304" s="17"/>
    </row>
    <row r="1305">
      <c r="A1305" s="72"/>
      <c r="B1305" s="12"/>
      <c r="C1305" s="12"/>
      <c r="D1305" s="12"/>
      <c r="E1305" s="13"/>
      <c r="F1305" s="13"/>
      <c r="G1305" s="13"/>
      <c r="H1305" s="13"/>
      <c r="I1305" s="13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6"/>
      <c r="W1305" s="13"/>
      <c r="X1305" s="13"/>
      <c r="Y1305" s="13"/>
      <c r="Z1305" s="13"/>
      <c r="AA1305" s="17"/>
      <c r="AB1305" s="17"/>
      <c r="AC1305" s="17"/>
      <c r="AD1305" s="17"/>
      <c r="AE1305" s="17"/>
    </row>
    <row r="1306">
      <c r="A1306" s="72"/>
      <c r="B1306" s="12"/>
      <c r="C1306" s="12"/>
      <c r="D1306" s="12"/>
      <c r="E1306" s="13"/>
      <c r="F1306" s="13"/>
      <c r="G1306" s="13"/>
      <c r="H1306" s="13"/>
      <c r="I1306" s="13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6"/>
      <c r="W1306" s="13"/>
      <c r="X1306" s="13"/>
      <c r="Y1306" s="13"/>
      <c r="Z1306" s="13"/>
      <c r="AA1306" s="17"/>
      <c r="AB1306" s="17"/>
      <c r="AC1306" s="17"/>
      <c r="AD1306" s="17"/>
      <c r="AE1306" s="17"/>
    </row>
    <row r="1307">
      <c r="A1307" s="72"/>
      <c r="B1307" s="12"/>
      <c r="C1307" s="12"/>
      <c r="D1307" s="12"/>
      <c r="E1307" s="13"/>
      <c r="F1307" s="13"/>
      <c r="G1307" s="13"/>
      <c r="H1307" s="13"/>
      <c r="I1307" s="13"/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6"/>
      <c r="W1307" s="13"/>
      <c r="X1307" s="13"/>
      <c r="Y1307" s="13"/>
      <c r="Z1307" s="13"/>
      <c r="AA1307" s="17"/>
      <c r="AB1307" s="17"/>
      <c r="AC1307" s="17"/>
      <c r="AD1307" s="17"/>
      <c r="AE1307" s="17"/>
    </row>
    <row r="1308">
      <c r="A1308" s="72"/>
      <c r="B1308" s="12"/>
      <c r="C1308" s="12"/>
      <c r="D1308" s="12"/>
      <c r="E1308" s="13"/>
      <c r="F1308" s="13"/>
      <c r="G1308" s="13"/>
      <c r="H1308" s="13"/>
      <c r="I1308" s="13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6"/>
      <c r="W1308" s="13"/>
      <c r="X1308" s="13"/>
      <c r="Y1308" s="13"/>
      <c r="Z1308" s="13"/>
      <c r="AA1308" s="17"/>
      <c r="AB1308" s="17"/>
      <c r="AC1308" s="17"/>
      <c r="AD1308" s="17"/>
      <c r="AE1308" s="17"/>
    </row>
    <row r="1309">
      <c r="A1309" s="72"/>
      <c r="B1309" s="12"/>
      <c r="C1309" s="12"/>
      <c r="D1309" s="12"/>
      <c r="E1309" s="13"/>
      <c r="F1309" s="13"/>
      <c r="G1309" s="13"/>
      <c r="H1309" s="13"/>
      <c r="I1309" s="13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6"/>
      <c r="W1309" s="13"/>
      <c r="X1309" s="13"/>
      <c r="Y1309" s="13"/>
      <c r="Z1309" s="13"/>
      <c r="AA1309" s="17"/>
      <c r="AB1309" s="17"/>
      <c r="AC1309" s="17"/>
      <c r="AD1309" s="17"/>
      <c r="AE1309" s="17"/>
    </row>
    <row r="1310">
      <c r="A1310" s="72"/>
      <c r="B1310" s="12"/>
      <c r="C1310" s="12"/>
      <c r="D1310" s="12"/>
      <c r="E1310" s="13"/>
      <c r="F1310" s="13"/>
      <c r="G1310" s="13"/>
      <c r="H1310" s="13"/>
      <c r="I1310" s="13"/>
      <c r="J1310" s="13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6"/>
      <c r="W1310" s="13"/>
      <c r="X1310" s="13"/>
      <c r="Y1310" s="13"/>
      <c r="Z1310" s="13"/>
      <c r="AA1310" s="17"/>
      <c r="AB1310" s="17"/>
      <c r="AC1310" s="17"/>
      <c r="AD1310" s="17"/>
      <c r="AE1310" s="17"/>
    </row>
    <row r="1311">
      <c r="A1311" s="72"/>
      <c r="B1311" s="12"/>
      <c r="C1311" s="12"/>
      <c r="D1311" s="12"/>
      <c r="E1311" s="13"/>
      <c r="F1311" s="13"/>
      <c r="G1311" s="13"/>
      <c r="H1311" s="13"/>
      <c r="I1311" s="13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6"/>
      <c r="W1311" s="13"/>
      <c r="X1311" s="13"/>
      <c r="Y1311" s="13"/>
      <c r="Z1311" s="13"/>
      <c r="AA1311" s="17"/>
      <c r="AB1311" s="17"/>
      <c r="AC1311" s="17"/>
      <c r="AD1311" s="17"/>
      <c r="AE1311" s="17"/>
    </row>
    <row r="1312">
      <c r="A1312" s="72"/>
      <c r="B1312" s="12"/>
      <c r="C1312" s="12"/>
      <c r="D1312" s="12"/>
      <c r="E1312" s="13"/>
      <c r="F1312" s="13"/>
      <c r="G1312" s="13"/>
      <c r="H1312" s="13"/>
      <c r="I1312" s="13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6"/>
      <c r="W1312" s="13"/>
      <c r="X1312" s="13"/>
      <c r="Y1312" s="13"/>
      <c r="Z1312" s="13"/>
      <c r="AA1312" s="17"/>
      <c r="AB1312" s="17"/>
      <c r="AC1312" s="17"/>
      <c r="AD1312" s="17"/>
      <c r="AE1312" s="17"/>
    </row>
    <row r="1313">
      <c r="A1313" s="72"/>
      <c r="B1313" s="12"/>
      <c r="C1313" s="12"/>
      <c r="D1313" s="12"/>
      <c r="E1313" s="13"/>
      <c r="F1313" s="13"/>
      <c r="G1313" s="13"/>
      <c r="H1313" s="13"/>
      <c r="I1313" s="13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6"/>
      <c r="W1313" s="13"/>
      <c r="X1313" s="13"/>
      <c r="Y1313" s="13"/>
      <c r="Z1313" s="13"/>
      <c r="AA1313" s="17"/>
      <c r="AB1313" s="17"/>
      <c r="AC1313" s="17"/>
      <c r="AD1313" s="17"/>
      <c r="AE1313" s="17"/>
    </row>
    <row r="1314">
      <c r="A1314" s="72"/>
      <c r="B1314" s="12"/>
      <c r="C1314" s="12"/>
      <c r="D1314" s="12"/>
      <c r="E1314" s="13"/>
      <c r="F1314" s="13"/>
      <c r="G1314" s="13"/>
      <c r="H1314" s="13"/>
      <c r="I1314" s="13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6"/>
      <c r="W1314" s="13"/>
      <c r="X1314" s="13"/>
      <c r="Y1314" s="13"/>
      <c r="Z1314" s="13"/>
      <c r="AA1314" s="17"/>
      <c r="AB1314" s="17"/>
      <c r="AC1314" s="17"/>
      <c r="AD1314" s="17"/>
      <c r="AE1314" s="17"/>
    </row>
    <row r="1315">
      <c r="A1315" s="72"/>
      <c r="B1315" s="12"/>
      <c r="C1315" s="12"/>
      <c r="D1315" s="12"/>
      <c r="E1315" s="13"/>
      <c r="F1315" s="13"/>
      <c r="G1315" s="13"/>
      <c r="H1315" s="13"/>
      <c r="I1315" s="13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6"/>
      <c r="W1315" s="13"/>
      <c r="X1315" s="13"/>
      <c r="Y1315" s="13"/>
      <c r="Z1315" s="13"/>
      <c r="AA1315" s="17"/>
      <c r="AB1315" s="17"/>
      <c r="AC1315" s="17"/>
      <c r="AD1315" s="17"/>
      <c r="AE1315" s="17"/>
    </row>
    <row r="1316">
      <c r="A1316" s="72"/>
      <c r="B1316" s="12"/>
      <c r="C1316" s="12"/>
      <c r="D1316" s="12"/>
      <c r="E1316" s="13"/>
      <c r="F1316" s="13"/>
      <c r="G1316" s="13"/>
      <c r="H1316" s="13"/>
      <c r="I1316" s="13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6"/>
      <c r="W1316" s="13"/>
      <c r="X1316" s="13"/>
      <c r="Y1316" s="13"/>
      <c r="Z1316" s="13"/>
      <c r="AA1316" s="17"/>
      <c r="AB1316" s="17"/>
      <c r="AC1316" s="17"/>
      <c r="AD1316" s="17"/>
      <c r="AE1316" s="17"/>
    </row>
    <row r="1317">
      <c r="A1317" s="72"/>
      <c r="B1317" s="12"/>
      <c r="C1317" s="12"/>
      <c r="D1317" s="12"/>
      <c r="E1317" s="13"/>
      <c r="F1317" s="13"/>
      <c r="G1317" s="13"/>
      <c r="H1317" s="13"/>
      <c r="I1317" s="13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6"/>
      <c r="W1317" s="13"/>
      <c r="X1317" s="13"/>
      <c r="Y1317" s="13"/>
      <c r="Z1317" s="13"/>
      <c r="AA1317" s="17"/>
      <c r="AB1317" s="17"/>
      <c r="AC1317" s="17"/>
      <c r="AD1317" s="17"/>
      <c r="AE1317" s="17"/>
    </row>
    <row r="1318">
      <c r="A1318" s="72"/>
      <c r="B1318" s="12"/>
      <c r="C1318" s="12"/>
      <c r="D1318" s="12"/>
      <c r="E1318" s="13"/>
      <c r="F1318" s="13"/>
      <c r="G1318" s="13"/>
      <c r="H1318" s="13"/>
      <c r="I1318" s="13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6"/>
      <c r="W1318" s="13"/>
      <c r="X1318" s="13"/>
      <c r="Y1318" s="13"/>
      <c r="Z1318" s="13"/>
      <c r="AA1318" s="17"/>
      <c r="AB1318" s="17"/>
      <c r="AC1318" s="17"/>
      <c r="AD1318" s="17"/>
      <c r="AE1318" s="17"/>
    </row>
    <row r="1319">
      <c r="A1319" s="72"/>
      <c r="B1319" s="12"/>
      <c r="C1319" s="12"/>
      <c r="D1319" s="12"/>
      <c r="E1319" s="13"/>
      <c r="F1319" s="13"/>
      <c r="G1319" s="13"/>
      <c r="H1319" s="13"/>
      <c r="I1319" s="13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6"/>
      <c r="W1319" s="13"/>
      <c r="X1319" s="13"/>
      <c r="Y1319" s="13"/>
      <c r="Z1319" s="13"/>
      <c r="AA1319" s="17"/>
      <c r="AB1319" s="17"/>
      <c r="AC1319" s="17"/>
      <c r="AD1319" s="17"/>
      <c r="AE1319" s="17"/>
    </row>
    <row r="1320">
      <c r="A1320" s="72"/>
      <c r="B1320" s="12"/>
      <c r="C1320" s="12"/>
      <c r="D1320" s="12"/>
      <c r="E1320" s="13"/>
      <c r="F1320" s="13"/>
      <c r="G1320" s="13"/>
      <c r="H1320" s="13"/>
      <c r="I1320" s="13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6"/>
      <c r="W1320" s="13"/>
      <c r="X1320" s="13"/>
      <c r="Y1320" s="13"/>
      <c r="Z1320" s="13"/>
      <c r="AA1320" s="17"/>
      <c r="AB1320" s="17"/>
      <c r="AC1320" s="17"/>
      <c r="AD1320" s="17"/>
      <c r="AE1320" s="17"/>
    </row>
    <row r="1321">
      <c r="A1321" s="72"/>
      <c r="B1321" s="12"/>
      <c r="C1321" s="12"/>
      <c r="D1321" s="12"/>
      <c r="E1321" s="13"/>
      <c r="F1321" s="13"/>
      <c r="G1321" s="13"/>
      <c r="H1321" s="13"/>
      <c r="I1321" s="13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6"/>
      <c r="W1321" s="13"/>
      <c r="X1321" s="13"/>
      <c r="Y1321" s="13"/>
      <c r="Z1321" s="13"/>
      <c r="AA1321" s="17"/>
      <c r="AB1321" s="17"/>
      <c r="AC1321" s="17"/>
      <c r="AD1321" s="17"/>
      <c r="AE1321" s="17"/>
    </row>
    <row r="1322">
      <c r="A1322" s="72"/>
      <c r="B1322" s="12"/>
      <c r="C1322" s="12"/>
      <c r="D1322" s="12"/>
      <c r="E1322" s="13"/>
      <c r="F1322" s="13"/>
      <c r="G1322" s="13"/>
      <c r="H1322" s="13"/>
      <c r="I1322" s="13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6"/>
      <c r="W1322" s="13"/>
      <c r="X1322" s="13"/>
      <c r="Y1322" s="13"/>
      <c r="Z1322" s="13"/>
      <c r="AA1322" s="17"/>
      <c r="AB1322" s="17"/>
      <c r="AC1322" s="17"/>
      <c r="AD1322" s="17"/>
      <c r="AE1322" s="17"/>
    </row>
    <row r="1323">
      <c r="A1323" s="72"/>
      <c r="B1323" s="12"/>
      <c r="C1323" s="12"/>
      <c r="D1323" s="12"/>
      <c r="E1323" s="13"/>
      <c r="F1323" s="13"/>
      <c r="G1323" s="13"/>
      <c r="H1323" s="13"/>
      <c r="I1323" s="13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6"/>
      <c r="W1323" s="13"/>
      <c r="X1323" s="13"/>
      <c r="Y1323" s="13"/>
      <c r="Z1323" s="13"/>
      <c r="AA1323" s="17"/>
      <c r="AB1323" s="17"/>
      <c r="AC1323" s="17"/>
      <c r="AD1323" s="17"/>
      <c r="AE1323" s="17"/>
    </row>
    <row r="1324">
      <c r="A1324" s="72"/>
      <c r="B1324" s="12"/>
      <c r="C1324" s="12"/>
      <c r="D1324" s="12"/>
      <c r="E1324" s="13"/>
      <c r="F1324" s="13"/>
      <c r="G1324" s="13"/>
      <c r="H1324" s="13"/>
      <c r="I1324" s="13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6"/>
      <c r="W1324" s="13"/>
      <c r="X1324" s="13"/>
      <c r="Y1324" s="13"/>
      <c r="Z1324" s="13"/>
      <c r="AA1324" s="17"/>
      <c r="AB1324" s="17"/>
      <c r="AC1324" s="17"/>
      <c r="AD1324" s="17"/>
      <c r="AE1324" s="17"/>
    </row>
    <row r="1325">
      <c r="A1325" s="72"/>
      <c r="B1325" s="12"/>
      <c r="C1325" s="12"/>
      <c r="D1325" s="12"/>
      <c r="E1325" s="13"/>
      <c r="F1325" s="13"/>
      <c r="G1325" s="13"/>
      <c r="H1325" s="13"/>
      <c r="I1325" s="13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6"/>
      <c r="W1325" s="13"/>
      <c r="X1325" s="13"/>
      <c r="Y1325" s="13"/>
      <c r="Z1325" s="13"/>
      <c r="AA1325" s="17"/>
      <c r="AB1325" s="17"/>
      <c r="AC1325" s="17"/>
      <c r="AD1325" s="17"/>
      <c r="AE1325" s="17"/>
    </row>
    <row r="1326">
      <c r="A1326" s="72"/>
      <c r="B1326" s="12"/>
      <c r="C1326" s="12"/>
      <c r="D1326" s="12"/>
      <c r="E1326" s="13"/>
      <c r="F1326" s="13"/>
      <c r="G1326" s="13"/>
      <c r="H1326" s="13"/>
      <c r="I1326" s="13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6"/>
      <c r="W1326" s="13"/>
      <c r="X1326" s="13"/>
      <c r="Y1326" s="13"/>
      <c r="Z1326" s="13"/>
      <c r="AA1326" s="17"/>
      <c r="AB1326" s="17"/>
      <c r="AC1326" s="17"/>
      <c r="AD1326" s="17"/>
      <c r="AE1326" s="17"/>
    </row>
    <row r="1327">
      <c r="A1327" s="72"/>
      <c r="B1327" s="12"/>
      <c r="C1327" s="12"/>
      <c r="D1327" s="12"/>
      <c r="E1327" s="13"/>
      <c r="F1327" s="13"/>
      <c r="G1327" s="13"/>
      <c r="H1327" s="13"/>
      <c r="I1327" s="13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6"/>
      <c r="W1327" s="13"/>
      <c r="X1327" s="13"/>
      <c r="Y1327" s="13"/>
      <c r="Z1327" s="13"/>
      <c r="AA1327" s="17"/>
      <c r="AB1327" s="17"/>
      <c r="AC1327" s="17"/>
      <c r="AD1327" s="17"/>
      <c r="AE1327" s="17"/>
    </row>
    <row r="1328">
      <c r="A1328" s="72"/>
      <c r="B1328" s="12"/>
      <c r="C1328" s="12"/>
      <c r="D1328" s="12"/>
      <c r="E1328" s="13"/>
      <c r="F1328" s="13"/>
      <c r="G1328" s="13"/>
      <c r="H1328" s="13"/>
      <c r="I1328" s="13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6"/>
      <c r="W1328" s="13"/>
      <c r="X1328" s="13"/>
      <c r="Y1328" s="13"/>
      <c r="Z1328" s="13"/>
      <c r="AA1328" s="17"/>
      <c r="AB1328" s="17"/>
      <c r="AC1328" s="17"/>
      <c r="AD1328" s="17"/>
      <c r="AE1328" s="17"/>
    </row>
    <row r="1329">
      <c r="A1329" s="72"/>
      <c r="B1329" s="12"/>
      <c r="C1329" s="12"/>
      <c r="D1329" s="12"/>
      <c r="E1329" s="13"/>
      <c r="F1329" s="13"/>
      <c r="G1329" s="13"/>
      <c r="H1329" s="13"/>
      <c r="I1329" s="13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6"/>
      <c r="W1329" s="13"/>
      <c r="X1329" s="13"/>
      <c r="Y1329" s="13"/>
      <c r="Z1329" s="13"/>
      <c r="AA1329" s="17"/>
      <c r="AB1329" s="17"/>
      <c r="AC1329" s="17"/>
      <c r="AD1329" s="17"/>
      <c r="AE1329" s="17"/>
    </row>
    <row r="1330">
      <c r="A1330" s="72"/>
      <c r="B1330" s="12"/>
      <c r="C1330" s="12"/>
      <c r="D1330" s="12"/>
      <c r="E1330" s="13"/>
      <c r="F1330" s="13"/>
      <c r="G1330" s="13"/>
      <c r="H1330" s="13"/>
      <c r="I1330" s="13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6"/>
      <c r="W1330" s="13"/>
      <c r="X1330" s="13"/>
      <c r="Y1330" s="13"/>
      <c r="Z1330" s="13"/>
      <c r="AA1330" s="17"/>
      <c r="AB1330" s="17"/>
      <c r="AC1330" s="17"/>
      <c r="AD1330" s="17"/>
      <c r="AE1330" s="17"/>
    </row>
    <row r="1331">
      <c r="A1331" s="72"/>
      <c r="B1331" s="12"/>
      <c r="C1331" s="12"/>
      <c r="D1331" s="12"/>
      <c r="E1331" s="13"/>
      <c r="F1331" s="13"/>
      <c r="G1331" s="13"/>
      <c r="H1331" s="13"/>
      <c r="I1331" s="13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6"/>
      <c r="W1331" s="13"/>
      <c r="X1331" s="13"/>
      <c r="Y1331" s="13"/>
      <c r="Z1331" s="13"/>
      <c r="AA1331" s="17"/>
      <c r="AB1331" s="17"/>
      <c r="AC1331" s="17"/>
      <c r="AD1331" s="17"/>
      <c r="AE1331" s="17"/>
    </row>
    <row r="1332">
      <c r="A1332" s="72"/>
      <c r="B1332" s="12"/>
      <c r="C1332" s="12"/>
      <c r="D1332" s="12"/>
      <c r="E1332" s="13"/>
      <c r="F1332" s="13"/>
      <c r="G1332" s="13"/>
      <c r="H1332" s="13"/>
      <c r="I1332" s="13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6"/>
      <c r="W1332" s="13"/>
      <c r="X1332" s="13"/>
      <c r="Y1332" s="13"/>
      <c r="Z1332" s="13"/>
      <c r="AA1332" s="17"/>
      <c r="AB1332" s="17"/>
      <c r="AC1332" s="17"/>
      <c r="AD1332" s="17"/>
      <c r="AE1332" s="17"/>
    </row>
    <row r="1333">
      <c r="A1333" s="72"/>
      <c r="B1333" s="12"/>
      <c r="C1333" s="12"/>
      <c r="D1333" s="12"/>
      <c r="E1333" s="13"/>
      <c r="F1333" s="13"/>
      <c r="G1333" s="13"/>
      <c r="H1333" s="13"/>
      <c r="I1333" s="13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6"/>
      <c r="W1333" s="13"/>
      <c r="X1333" s="13"/>
      <c r="Y1333" s="13"/>
      <c r="Z1333" s="13"/>
      <c r="AA1333" s="17"/>
      <c r="AB1333" s="17"/>
      <c r="AC1333" s="17"/>
      <c r="AD1333" s="17"/>
      <c r="AE1333" s="17"/>
    </row>
    <row r="1334">
      <c r="A1334" s="72"/>
      <c r="B1334" s="12"/>
      <c r="C1334" s="12"/>
      <c r="D1334" s="12"/>
      <c r="E1334" s="13"/>
      <c r="F1334" s="13"/>
      <c r="G1334" s="13"/>
      <c r="H1334" s="13"/>
      <c r="I1334" s="13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6"/>
      <c r="W1334" s="13"/>
      <c r="X1334" s="13"/>
      <c r="Y1334" s="13"/>
      <c r="Z1334" s="13"/>
      <c r="AA1334" s="17"/>
      <c r="AB1334" s="17"/>
      <c r="AC1334" s="17"/>
      <c r="AD1334" s="17"/>
      <c r="AE1334" s="17"/>
    </row>
    <row r="1335">
      <c r="A1335" s="72"/>
      <c r="B1335" s="12"/>
      <c r="C1335" s="12"/>
      <c r="D1335" s="12"/>
      <c r="E1335" s="13"/>
      <c r="F1335" s="13"/>
      <c r="G1335" s="13"/>
      <c r="H1335" s="13"/>
      <c r="I1335" s="13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6"/>
      <c r="W1335" s="13"/>
      <c r="X1335" s="13"/>
      <c r="Y1335" s="13"/>
      <c r="Z1335" s="13"/>
      <c r="AA1335" s="17"/>
      <c r="AB1335" s="17"/>
      <c r="AC1335" s="17"/>
      <c r="AD1335" s="17"/>
      <c r="AE1335" s="17"/>
    </row>
    <row r="1336">
      <c r="A1336" s="72"/>
      <c r="B1336" s="12"/>
      <c r="C1336" s="12"/>
      <c r="D1336" s="12"/>
      <c r="E1336" s="13"/>
      <c r="F1336" s="13"/>
      <c r="G1336" s="13"/>
      <c r="H1336" s="13"/>
      <c r="I1336" s="13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6"/>
      <c r="W1336" s="13"/>
      <c r="X1336" s="13"/>
      <c r="Y1336" s="13"/>
      <c r="Z1336" s="13"/>
      <c r="AA1336" s="17"/>
      <c r="AB1336" s="17"/>
      <c r="AC1336" s="17"/>
      <c r="AD1336" s="17"/>
      <c r="AE1336" s="17"/>
    </row>
    <row r="1337">
      <c r="A1337" s="72"/>
      <c r="B1337" s="12"/>
      <c r="C1337" s="12"/>
      <c r="D1337" s="12"/>
      <c r="E1337" s="13"/>
      <c r="F1337" s="13"/>
      <c r="G1337" s="13"/>
      <c r="H1337" s="13"/>
      <c r="I1337" s="13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6"/>
      <c r="W1337" s="13"/>
      <c r="X1337" s="13"/>
      <c r="Y1337" s="13"/>
      <c r="Z1337" s="13"/>
      <c r="AA1337" s="17"/>
      <c r="AB1337" s="17"/>
      <c r="AC1337" s="17"/>
      <c r="AD1337" s="17"/>
      <c r="AE1337" s="17"/>
    </row>
    <row r="1338">
      <c r="A1338" s="72"/>
      <c r="B1338" s="12"/>
      <c r="C1338" s="12"/>
      <c r="D1338" s="12"/>
      <c r="E1338" s="13"/>
      <c r="F1338" s="13"/>
      <c r="G1338" s="13"/>
      <c r="H1338" s="13"/>
      <c r="I1338" s="13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6"/>
      <c r="W1338" s="13"/>
      <c r="X1338" s="13"/>
      <c r="Y1338" s="13"/>
      <c r="Z1338" s="13"/>
      <c r="AA1338" s="17"/>
      <c r="AB1338" s="17"/>
      <c r="AC1338" s="17"/>
      <c r="AD1338" s="17"/>
      <c r="AE1338" s="17"/>
    </row>
    <row r="1339">
      <c r="A1339" s="72"/>
      <c r="B1339" s="12"/>
      <c r="C1339" s="12"/>
      <c r="D1339" s="12"/>
      <c r="E1339" s="13"/>
      <c r="F1339" s="13"/>
      <c r="G1339" s="13"/>
      <c r="H1339" s="13"/>
      <c r="I1339" s="13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6"/>
      <c r="W1339" s="13"/>
      <c r="X1339" s="13"/>
      <c r="Y1339" s="13"/>
      <c r="Z1339" s="13"/>
      <c r="AA1339" s="17"/>
      <c r="AB1339" s="17"/>
      <c r="AC1339" s="17"/>
      <c r="AD1339" s="17"/>
      <c r="AE1339" s="17"/>
    </row>
    <row r="1340">
      <c r="A1340" s="72"/>
      <c r="B1340" s="12"/>
      <c r="C1340" s="12"/>
      <c r="D1340" s="12"/>
      <c r="E1340" s="13"/>
      <c r="F1340" s="13"/>
      <c r="G1340" s="13"/>
      <c r="H1340" s="13"/>
      <c r="I1340" s="13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6"/>
      <c r="W1340" s="13"/>
      <c r="X1340" s="13"/>
      <c r="Y1340" s="13"/>
      <c r="Z1340" s="13"/>
      <c r="AA1340" s="17"/>
      <c r="AB1340" s="17"/>
      <c r="AC1340" s="17"/>
      <c r="AD1340" s="17"/>
      <c r="AE1340" s="17"/>
    </row>
    <row r="1341">
      <c r="A1341" s="72"/>
      <c r="B1341" s="12"/>
      <c r="C1341" s="12"/>
      <c r="D1341" s="12"/>
      <c r="E1341" s="13"/>
      <c r="F1341" s="13"/>
      <c r="G1341" s="13"/>
      <c r="H1341" s="13"/>
      <c r="I1341" s="13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6"/>
      <c r="W1341" s="13"/>
      <c r="X1341" s="13"/>
      <c r="Y1341" s="13"/>
      <c r="Z1341" s="13"/>
      <c r="AA1341" s="17"/>
      <c r="AB1341" s="17"/>
      <c r="AC1341" s="17"/>
      <c r="AD1341" s="17"/>
      <c r="AE1341" s="17"/>
    </row>
    <row r="1342">
      <c r="A1342" s="72"/>
      <c r="B1342" s="12"/>
      <c r="C1342" s="12"/>
      <c r="D1342" s="12"/>
      <c r="E1342" s="13"/>
      <c r="F1342" s="13"/>
      <c r="G1342" s="13"/>
      <c r="H1342" s="13"/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6"/>
      <c r="W1342" s="13"/>
      <c r="X1342" s="13"/>
      <c r="Y1342" s="13"/>
      <c r="Z1342" s="13"/>
      <c r="AA1342" s="17"/>
      <c r="AB1342" s="17"/>
      <c r="AC1342" s="17"/>
      <c r="AD1342" s="17"/>
      <c r="AE1342" s="17"/>
    </row>
    <row r="1343">
      <c r="A1343" s="72"/>
      <c r="B1343" s="12"/>
      <c r="C1343" s="12"/>
      <c r="D1343" s="12"/>
      <c r="E1343" s="13"/>
      <c r="F1343" s="13"/>
      <c r="G1343" s="13"/>
      <c r="H1343" s="13"/>
      <c r="I1343" s="13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6"/>
      <c r="W1343" s="13"/>
      <c r="X1343" s="13"/>
      <c r="Y1343" s="13"/>
      <c r="Z1343" s="13"/>
      <c r="AA1343" s="17"/>
      <c r="AB1343" s="17"/>
      <c r="AC1343" s="17"/>
      <c r="AD1343" s="17"/>
      <c r="AE1343" s="17"/>
    </row>
    <row r="1344">
      <c r="A1344" s="72"/>
      <c r="B1344" s="12"/>
      <c r="C1344" s="12"/>
      <c r="D1344" s="12"/>
      <c r="E1344" s="13"/>
      <c r="F1344" s="13"/>
      <c r="G1344" s="13"/>
      <c r="H1344" s="13"/>
      <c r="I1344" s="13"/>
      <c r="J1344" s="13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6"/>
      <c r="W1344" s="13"/>
      <c r="X1344" s="13"/>
      <c r="Y1344" s="13"/>
      <c r="Z1344" s="13"/>
      <c r="AA1344" s="17"/>
      <c r="AB1344" s="17"/>
      <c r="AC1344" s="17"/>
      <c r="AD1344" s="17"/>
      <c r="AE1344" s="17"/>
    </row>
    <row r="1345">
      <c r="A1345" s="72"/>
      <c r="B1345" s="12"/>
      <c r="C1345" s="12"/>
      <c r="D1345" s="12"/>
      <c r="E1345" s="13"/>
      <c r="F1345" s="13"/>
      <c r="G1345" s="13"/>
      <c r="H1345" s="13"/>
      <c r="I1345" s="13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6"/>
      <c r="W1345" s="13"/>
      <c r="X1345" s="13"/>
      <c r="Y1345" s="13"/>
      <c r="Z1345" s="13"/>
      <c r="AA1345" s="17"/>
      <c r="AB1345" s="17"/>
      <c r="AC1345" s="17"/>
      <c r="AD1345" s="17"/>
      <c r="AE1345" s="17"/>
    </row>
    <row r="1346">
      <c r="A1346" s="72"/>
      <c r="B1346" s="12"/>
      <c r="C1346" s="12"/>
      <c r="D1346" s="12"/>
      <c r="E1346" s="13"/>
      <c r="F1346" s="13"/>
      <c r="G1346" s="13"/>
      <c r="H1346" s="13"/>
      <c r="I1346" s="13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6"/>
      <c r="W1346" s="13"/>
      <c r="X1346" s="13"/>
      <c r="Y1346" s="13"/>
      <c r="Z1346" s="13"/>
      <c r="AA1346" s="17"/>
      <c r="AB1346" s="17"/>
      <c r="AC1346" s="17"/>
      <c r="AD1346" s="17"/>
      <c r="AE1346" s="17"/>
    </row>
    <row r="1347">
      <c r="A1347" s="72"/>
      <c r="B1347" s="12"/>
      <c r="C1347" s="12"/>
      <c r="D1347" s="12"/>
      <c r="E1347" s="13"/>
      <c r="F1347" s="13"/>
      <c r="G1347" s="13"/>
      <c r="H1347" s="13"/>
      <c r="I1347" s="13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6"/>
      <c r="W1347" s="13"/>
      <c r="X1347" s="13"/>
      <c r="Y1347" s="13"/>
      <c r="Z1347" s="13"/>
      <c r="AA1347" s="17"/>
      <c r="AB1347" s="17"/>
      <c r="AC1347" s="17"/>
      <c r="AD1347" s="17"/>
      <c r="AE1347" s="17"/>
    </row>
    <row r="1348">
      <c r="A1348" s="72"/>
      <c r="B1348" s="12"/>
      <c r="C1348" s="12"/>
      <c r="D1348" s="12"/>
      <c r="E1348" s="13"/>
      <c r="F1348" s="13"/>
      <c r="G1348" s="13"/>
      <c r="H1348" s="13"/>
      <c r="I1348" s="13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6"/>
      <c r="W1348" s="13"/>
      <c r="X1348" s="13"/>
      <c r="Y1348" s="13"/>
      <c r="Z1348" s="13"/>
      <c r="AA1348" s="17"/>
      <c r="AB1348" s="17"/>
      <c r="AC1348" s="17"/>
      <c r="AD1348" s="17"/>
      <c r="AE1348" s="17"/>
    </row>
    <row r="1349">
      <c r="A1349" s="72"/>
      <c r="B1349" s="12"/>
      <c r="C1349" s="12"/>
      <c r="D1349" s="12"/>
      <c r="E1349" s="13"/>
      <c r="F1349" s="13"/>
      <c r="G1349" s="13"/>
      <c r="H1349" s="13"/>
      <c r="I1349" s="13"/>
      <c r="J1349" s="13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6"/>
      <c r="W1349" s="13"/>
      <c r="X1349" s="13"/>
      <c r="Y1349" s="13"/>
      <c r="Z1349" s="13"/>
      <c r="AA1349" s="17"/>
      <c r="AB1349" s="17"/>
      <c r="AC1349" s="17"/>
      <c r="AD1349" s="17"/>
      <c r="AE1349" s="17"/>
    </row>
    <row r="1350">
      <c r="A1350" s="72"/>
      <c r="B1350" s="12"/>
      <c r="C1350" s="12"/>
      <c r="D1350" s="12"/>
      <c r="E1350" s="13"/>
      <c r="F1350" s="13"/>
      <c r="G1350" s="13"/>
      <c r="H1350" s="13"/>
      <c r="I1350" s="13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6"/>
      <c r="W1350" s="13"/>
      <c r="X1350" s="13"/>
      <c r="Y1350" s="13"/>
      <c r="Z1350" s="13"/>
      <c r="AA1350" s="17"/>
      <c r="AB1350" s="17"/>
      <c r="AC1350" s="17"/>
      <c r="AD1350" s="17"/>
      <c r="AE1350" s="17"/>
    </row>
    <row r="1351">
      <c r="A1351" s="72"/>
      <c r="B1351" s="12"/>
      <c r="C1351" s="12"/>
      <c r="D1351" s="12"/>
      <c r="E1351" s="13"/>
      <c r="F1351" s="13"/>
      <c r="G1351" s="13"/>
      <c r="H1351" s="13"/>
      <c r="I1351" s="13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6"/>
      <c r="W1351" s="13"/>
      <c r="X1351" s="13"/>
      <c r="Y1351" s="13"/>
      <c r="Z1351" s="13"/>
      <c r="AA1351" s="17"/>
      <c r="AB1351" s="17"/>
      <c r="AC1351" s="17"/>
      <c r="AD1351" s="17"/>
      <c r="AE1351" s="17"/>
    </row>
    <row r="1352">
      <c r="A1352" s="72"/>
      <c r="B1352" s="12"/>
      <c r="C1352" s="12"/>
      <c r="D1352" s="12"/>
      <c r="E1352" s="13"/>
      <c r="F1352" s="13"/>
      <c r="G1352" s="13"/>
      <c r="H1352" s="13"/>
      <c r="I1352" s="13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6"/>
      <c r="W1352" s="13"/>
      <c r="X1352" s="13"/>
      <c r="Y1352" s="13"/>
      <c r="Z1352" s="13"/>
      <c r="AA1352" s="17"/>
      <c r="AB1352" s="17"/>
      <c r="AC1352" s="17"/>
      <c r="AD1352" s="17"/>
      <c r="AE1352" s="17"/>
    </row>
    <row r="1353">
      <c r="A1353" s="72"/>
      <c r="B1353" s="12"/>
      <c r="C1353" s="12"/>
      <c r="D1353" s="12"/>
      <c r="E1353" s="13"/>
      <c r="F1353" s="13"/>
      <c r="G1353" s="13"/>
      <c r="H1353" s="13"/>
      <c r="I1353" s="13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6"/>
      <c r="W1353" s="13"/>
      <c r="X1353" s="13"/>
      <c r="Y1353" s="13"/>
      <c r="Z1353" s="13"/>
      <c r="AA1353" s="17"/>
      <c r="AB1353" s="17"/>
      <c r="AC1353" s="17"/>
      <c r="AD1353" s="17"/>
      <c r="AE1353" s="17"/>
    </row>
    <row r="1354">
      <c r="A1354" s="72"/>
      <c r="B1354" s="12"/>
      <c r="C1354" s="12"/>
      <c r="D1354" s="12"/>
      <c r="E1354" s="13"/>
      <c r="F1354" s="13"/>
      <c r="G1354" s="13"/>
      <c r="H1354" s="13"/>
      <c r="I1354" s="13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6"/>
      <c r="W1354" s="13"/>
      <c r="X1354" s="13"/>
      <c r="Y1354" s="13"/>
      <c r="Z1354" s="13"/>
      <c r="AA1354" s="17"/>
      <c r="AB1354" s="17"/>
      <c r="AC1354" s="17"/>
      <c r="AD1354" s="17"/>
      <c r="AE1354" s="17"/>
    </row>
    <row r="1355">
      <c r="A1355" s="72"/>
      <c r="B1355" s="12"/>
      <c r="C1355" s="12"/>
      <c r="D1355" s="12"/>
      <c r="E1355" s="13"/>
      <c r="F1355" s="13"/>
      <c r="G1355" s="13"/>
      <c r="H1355" s="13"/>
      <c r="I1355" s="13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6"/>
      <c r="W1355" s="13"/>
      <c r="X1355" s="13"/>
      <c r="Y1355" s="13"/>
      <c r="Z1355" s="13"/>
      <c r="AA1355" s="17"/>
      <c r="AB1355" s="17"/>
      <c r="AC1355" s="17"/>
      <c r="AD1355" s="17"/>
      <c r="AE1355" s="17"/>
    </row>
    <row r="1356">
      <c r="A1356" s="72"/>
      <c r="B1356" s="12"/>
      <c r="C1356" s="12"/>
      <c r="D1356" s="12"/>
      <c r="E1356" s="13"/>
      <c r="F1356" s="13"/>
      <c r="G1356" s="13"/>
      <c r="H1356" s="13"/>
      <c r="I1356" s="13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6"/>
      <c r="W1356" s="13"/>
      <c r="X1356" s="13"/>
      <c r="Y1356" s="13"/>
      <c r="Z1356" s="13"/>
      <c r="AA1356" s="17"/>
      <c r="AB1356" s="17"/>
      <c r="AC1356" s="17"/>
      <c r="AD1356" s="17"/>
      <c r="AE1356" s="17"/>
    </row>
    <row r="1357">
      <c r="A1357" s="72"/>
      <c r="B1357" s="12"/>
      <c r="C1357" s="12"/>
      <c r="D1357" s="12"/>
      <c r="E1357" s="13"/>
      <c r="F1357" s="13"/>
      <c r="G1357" s="13"/>
      <c r="H1357" s="13"/>
      <c r="I1357" s="13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6"/>
      <c r="W1357" s="13"/>
      <c r="X1357" s="13"/>
      <c r="Y1357" s="13"/>
      <c r="Z1357" s="13"/>
      <c r="AA1357" s="17"/>
      <c r="AB1357" s="17"/>
      <c r="AC1357" s="17"/>
      <c r="AD1357" s="17"/>
      <c r="AE1357" s="17"/>
    </row>
    <row r="1358">
      <c r="A1358" s="72"/>
      <c r="B1358" s="12"/>
      <c r="C1358" s="12"/>
      <c r="D1358" s="12"/>
      <c r="E1358" s="13"/>
      <c r="F1358" s="13"/>
      <c r="G1358" s="13"/>
      <c r="H1358" s="13"/>
      <c r="I1358" s="13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6"/>
      <c r="W1358" s="13"/>
      <c r="X1358" s="13"/>
      <c r="Y1358" s="13"/>
      <c r="Z1358" s="13"/>
      <c r="AA1358" s="17"/>
      <c r="AB1358" s="17"/>
      <c r="AC1358" s="17"/>
      <c r="AD1358" s="17"/>
      <c r="AE1358" s="17"/>
    </row>
    <row r="1359">
      <c r="A1359" s="72"/>
      <c r="B1359" s="12"/>
      <c r="C1359" s="12"/>
      <c r="D1359" s="12"/>
      <c r="E1359" s="13"/>
      <c r="F1359" s="13"/>
      <c r="G1359" s="13"/>
      <c r="H1359" s="13"/>
      <c r="I1359" s="13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6"/>
      <c r="W1359" s="13"/>
      <c r="X1359" s="13"/>
      <c r="Y1359" s="13"/>
      <c r="Z1359" s="13"/>
      <c r="AA1359" s="17"/>
      <c r="AB1359" s="17"/>
      <c r="AC1359" s="17"/>
      <c r="AD1359" s="17"/>
      <c r="AE1359" s="17"/>
    </row>
    <row r="1360">
      <c r="A1360" s="72"/>
      <c r="B1360" s="12"/>
      <c r="C1360" s="12"/>
      <c r="D1360" s="12"/>
      <c r="E1360" s="13"/>
      <c r="F1360" s="13"/>
      <c r="G1360" s="13"/>
      <c r="H1360" s="13"/>
      <c r="I1360" s="13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6"/>
      <c r="W1360" s="13"/>
      <c r="X1360" s="13"/>
      <c r="Y1360" s="13"/>
      <c r="Z1360" s="13"/>
      <c r="AA1360" s="17"/>
      <c r="AB1360" s="17"/>
      <c r="AC1360" s="17"/>
      <c r="AD1360" s="17"/>
      <c r="AE1360" s="17"/>
    </row>
    <row r="1361">
      <c r="A1361" s="72"/>
      <c r="B1361" s="12"/>
      <c r="C1361" s="12"/>
      <c r="D1361" s="12"/>
      <c r="E1361" s="13"/>
      <c r="F1361" s="13"/>
      <c r="G1361" s="13"/>
      <c r="H1361" s="13"/>
      <c r="I1361" s="13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6"/>
      <c r="W1361" s="13"/>
      <c r="X1361" s="13"/>
      <c r="Y1361" s="13"/>
      <c r="Z1361" s="13"/>
      <c r="AA1361" s="17"/>
      <c r="AB1361" s="17"/>
      <c r="AC1361" s="17"/>
      <c r="AD1361" s="17"/>
      <c r="AE1361" s="17"/>
    </row>
    <row r="1362">
      <c r="A1362" s="72"/>
      <c r="B1362" s="12"/>
      <c r="C1362" s="12"/>
      <c r="D1362" s="12"/>
      <c r="E1362" s="13"/>
      <c r="F1362" s="13"/>
      <c r="G1362" s="13"/>
      <c r="H1362" s="13"/>
      <c r="I1362" s="13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6"/>
      <c r="W1362" s="13"/>
      <c r="X1362" s="13"/>
      <c r="Y1362" s="13"/>
      <c r="Z1362" s="13"/>
      <c r="AA1362" s="17"/>
      <c r="AB1362" s="17"/>
      <c r="AC1362" s="17"/>
      <c r="AD1362" s="17"/>
      <c r="AE1362" s="17"/>
    </row>
    <row r="1363">
      <c r="A1363" s="72"/>
      <c r="B1363" s="12"/>
      <c r="C1363" s="12"/>
      <c r="D1363" s="12"/>
      <c r="E1363" s="13"/>
      <c r="F1363" s="13"/>
      <c r="G1363" s="13"/>
      <c r="H1363" s="13"/>
      <c r="I1363" s="13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6"/>
      <c r="W1363" s="13"/>
      <c r="X1363" s="13"/>
      <c r="Y1363" s="13"/>
      <c r="Z1363" s="13"/>
      <c r="AA1363" s="17"/>
      <c r="AB1363" s="17"/>
      <c r="AC1363" s="17"/>
      <c r="AD1363" s="17"/>
      <c r="AE1363" s="17"/>
    </row>
    <row r="1364">
      <c r="A1364" s="72"/>
      <c r="B1364" s="12"/>
      <c r="C1364" s="12"/>
      <c r="D1364" s="12"/>
      <c r="E1364" s="13"/>
      <c r="F1364" s="13"/>
      <c r="G1364" s="13"/>
      <c r="H1364" s="13"/>
      <c r="I1364" s="13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6"/>
      <c r="W1364" s="13"/>
      <c r="X1364" s="13"/>
      <c r="Y1364" s="13"/>
      <c r="Z1364" s="13"/>
      <c r="AA1364" s="17"/>
      <c r="AB1364" s="17"/>
      <c r="AC1364" s="17"/>
      <c r="AD1364" s="17"/>
      <c r="AE1364" s="17"/>
    </row>
    <row r="1365">
      <c r="A1365" s="72"/>
      <c r="B1365" s="12"/>
      <c r="C1365" s="12"/>
      <c r="D1365" s="12"/>
      <c r="E1365" s="13"/>
      <c r="F1365" s="13"/>
      <c r="G1365" s="13"/>
      <c r="H1365" s="13"/>
      <c r="I1365" s="13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6"/>
      <c r="W1365" s="13"/>
      <c r="X1365" s="13"/>
      <c r="Y1365" s="13"/>
      <c r="Z1365" s="13"/>
      <c r="AA1365" s="17"/>
      <c r="AB1365" s="17"/>
      <c r="AC1365" s="17"/>
      <c r="AD1365" s="17"/>
      <c r="AE1365" s="17"/>
    </row>
    <row r="1366">
      <c r="A1366" s="72"/>
      <c r="B1366" s="12"/>
      <c r="C1366" s="12"/>
      <c r="D1366" s="12"/>
      <c r="E1366" s="13"/>
      <c r="F1366" s="13"/>
      <c r="G1366" s="13"/>
      <c r="H1366" s="13"/>
      <c r="I1366" s="13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6"/>
      <c r="W1366" s="13"/>
      <c r="X1366" s="13"/>
      <c r="Y1366" s="13"/>
      <c r="Z1366" s="13"/>
      <c r="AA1366" s="17"/>
      <c r="AB1366" s="17"/>
      <c r="AC1366" s="17"/>
      <c r="AD1366" s="17"/>
      <c r="AE1366" s="17"/>
    </row>
    <row r="1367">
      <c r="A1367" s="72"/>
      <c r="B1367" s="12"/>
      <c r="C1367" s="12"/>
      <c r="D1367" s="12"/>
      <c r="E1367" s="13"/>
      <c r="F1367" s="13"/>
      <c r="G1367" s="13"/>
      <c r="H1367" s="13"/>
      <c r="I1367" s="13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6"/>
      <c r="W1367" s="13"/>
      <c r="X1367" s="13"/>
      <c r="Y1367" s="13"/>
      <c r="Z1367" s="13"/>
      <c r="AA1367" s="17"/>
      <c r="AB1367" s="17"/>
      <c r="AC1367" s="17"/>
      <c r="AD1367" s="17"/>
      <c r="AE1367" s="17"/>
    </row>
    <row r="1368">
      <c r="A1368" s="72"/>
      <c r="B1368" s="12"/>
      <c r="C1368" s="12"/>
      <c r="D1368" s="12"/>
      <c r="E1368" s="13"/>
      <c r="F1368" s="13"/>
      <c r="G1368" s="13"/>
      <c r="H1368" s="13"/>
      <c r="I1368" s="13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6"/>
      <c r="W1368" s="13"/>
      <c r="X1368" s="13"/>
      <c r="Y1368" s="13"/>
      <c r="Z1368" s="13"/>
      <c r="AA1368" s="17"/>
      <c r="AB1368" s="17"/>
      <c r="AC1368" s="17"/>
      <c r="AD1368" s="17"/>
      <c r="AE1368" s="17"/>
    </row>
    <row r="1369">
      <c r="A1369" s="72"/>
      <c r="B1369" s="12"/>
      <c r="C1369" s="12"/>
      <c r="D1369" s="12"/>
      <c r="E1369" s="13"/>
      <c r="F1369" s="13"/>
      <c r="G1369" s="13"/>
      <c r="H1369" s="13"/>
      <c r="I1369" s="13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6"/>
      <c r="W1369" s="13"/>
      <c r="X1369" s="13"/>
      <c r="Y1369" s="13"/>
      <c r="Z1369" s="13"/>
      <c r="AA1369" s="17"/>
      <c r="AB1369" s="17"/>
      <c r="AC1369" s="17"/>
      <c r="AD1369" s="17"/>
      <c r="AE1369" s="17"/>
    </row>
    <row r="1370">
      <c r="A1370" s="72"/>
      <c r="B1370" s="12"/>
      <c r="C1370" s="12"/>
      <c r="D1370" s="12"/>
      <c r="E1370" s="13"/>
      <c r="F1370" s="13"/>
      <c r="G1370" s="13"/>
      <c r="H1370" s="13"/>
      <c r="I1370" s="13"/>
      <c r="J1370" s="13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6"/>
      <c r="W1370" s="13"/>
      <c r="X1370" s="13"/>
      <c r="Y1370" s="13"/>
      <c r="Z1370" s="13"/>
      <c r="AA1370" s="17"/>
      <c r="AB1370" s="17"/>
      <c r="AC1370" s="17"/>
      <c r="AD1370" s="17"/>
      <c r="AE1370" s="17"/>
    </row>
    <row r="1371">
      <c r="A1371" s="72"/>
      <c r="B1371" s="12"/>
      <c r="C1371" s="12"/>
      <c r="D1371" s="12"/>
      <c r="E1371" s="13"/>
      <c r="F1371" s="13"/>
      <c r="G1371" s="13"/>
      <c r="H1371" s="13"/>
      <c r="I1371" s="13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6"/>
      <c r="W1371" s="13"/>
      <c r="X1371" s="13"/>
      <c r="Y1371" s="13"/>
      <c r="Z1371" s="13"/>
      <c r="AA1371" s="17"/>
      <c r="AB1371" s="17"/>
      <c r="AC1371" s="17"/>
      <c r="AD1371" s="17"/>
      <c r="AE1371" s="17"/>
    </row>
    <row r="1372">
      <c r="A1372" s="72"/>
      <c r="B1372" s="12"/>
      <c r="C1372" s="12"/>
      <c r="D1372" s="12"/>
      <c r="E1372" s="13"/>
      <c r="F1372" s="13"/>
      <c r="G1372" s="13"/>
      <c r="H1372" s="13"/>
      <c r="I1372" s="13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6"/>
      <c r="W1372" s="13"/>
      <c r="X1372" s="13"/>
      <c r="Y1372" s="13"/>
      <c r="Z1372" s="13"/>
      <c r="AA1372" s="17"/>
      <c r="AB1372" s="17"/>
      <c r="AC1372" s="17"/>
      <c r="AD1372" s="17"/>
      <c r="AE1372" s="17"/>
    </row>
    <row r="1373">
      <c r="A1373" s="72"/>
      <c r="B1373" s="12"/>
      <c r="C1373" s="12"/>
      <c r="D1373" s="12"/>
      <c r="E1373" s="13"/>
      <c r="F1373" s="13"/>
      <c r="G1373" s="13"/>
      <c r="H1373" s="13"/>
      <c r="I1373" s="13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6"/>
      <c r="W1373" s="13"/>
      <c r="X1373" s="13"/>
      <c r="Y1373" s="13"/>
      <c r="Z1373" s="13"/>
      <c r="AA1373" s="17"/>
      <c r="AB1373" s="17"/>
      <c r="AC1373" s="17"/>
      <c r="AD1373" s="17"/>
      <c r="AE1373" s="17"/>
    </row>
    <row r="1374">
      <c r="A1374" s="72"/>
      <c r="B1374" s="12"/>
      <c r="C1374" s="12"/>
      <c r="D1374" s="12"/>
      <c r="E1374" s="13"/>
      <c r="F1374" s="13"/>
      <c r="G1374" s="13"/>
      <c r="H1374" s="13"/>
      <c r="I1374" s="13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6"/>
      <c r="W1374" s="13"/>
      <c r="X1374" s="13"/>
      <c r="Y1374" s="13"/>
      <c r="Z1374" s="13"/>
      <c r="AA1374" s="17"/>
      <c r="AB1374" s="17"/>
      <c r="AC1374" s="17"/>
      <c r="AD1374" s="17"/>
      <c r="AE1374" s="17"/>
    </row>
    <row r="1375">
      <c r="A1375" s="72"/>
      <c r="B1375" s="12"/>
      <c r="C1375" s="12"/>
      <c r="D1375" s="12"/>
      <c r="E1375" s="13"/>
      <c r="F1375" s="13"/>
      <c r="G1375" s="13"/>
      <c r="H1375" s="13"/>
      <c r="I1375" s="13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6"/>
      <c r="W1375" s="13"/>
      <c r="X1375" s="13"/>
      <c r="Y1375" s="13"/>
      <c r="Z1375" s="13"/>
      <c r="AA1375" s="17"/>
      <c r="AB1375" s="17"/>
      <c r="AC1375" s="17"/>
      <c r="AD1375" s="17"/>
      <c r="AE1375" s="17"/>
    </row>
    <row r="1376">
      <c r="A1376" s="72"/>
      <c r="B1376" s="12"/>
      <c r="C1376" s="12"/>
      <c r="D1376" s="12"/>
      <c r="E1376" s="13"/>
      <c r="F1376" s="13"/>
      <c r="G1376" s="13"/>
      <c r="H1376" s="13"/>
      <c r="I1376" s="13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6"/>
      <c r="W1376" s="13"/>
      <c r="X1376" s="13"/>
      <c r="Y1376" s="13"/>
      <c r="Z1376" s="13"/>
      <c r="AA1376" s="17"/>
      <c r="AB1376" s="17"/>
      <c r="AC1376" s="17"/>
      <c r="AD1376" s="17"/>
      <c r="AE1376" s="17"/>
    </row>
    <row r="1377">
      <c r="A1377" s="72"/>
      <c r="B1377" s="12"/>
      <c r="C1377" s="12"/>
      <c r="D1377" s="12"/>
      <c r="E1377" s="13"/>
      <c r="F1377" s="13"/>
      <c r="G1377" s="13"/>
      <c r="H1377" s="13"/>
      <c r="I1377" s="13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6"/>
      <c r="W1377" s="13"/>
      <c r="X1377" s="13"/>
      <c r="Y1377" s="13"/>
      <c r="Z1377" s="13"/>
      <c r="AA1377" s="17"/>
      <c r="AB1377" s="17"/>
      <c r="AC1377" s="17"/>
      <c r="AD1377" s="17"/>
      <c r="AE1377" s="17"/>
    </row>
    <row r="1378">
      <c r="A1378" s="72"/>
      <c r="B1378" s="12"/>
      <c r="C1378" s="12"/>
      <c r="D1378" s="12"/>
      <c r="E1378" s="13"/>
      <c r="F1378" s="13"/>
      <c r="G1378" s="13"/>
      <c r="H1378" s="13"/>
      <c r="I1378" s="13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6"/>
      <c r="W1378" s="13"/>
      <c r="X1378" s="13"/>
      <c r="Y1378" s="13"/>
      <c r="Z1378" s="13"/>
      <c r="AA1378" s="17"/>
      <c r="AB1378" s="17"/>
      <c r="AC1378" s="17"/>
      <c r="AD1378" s="17"/>
      <c r="AE1378" s="17"/>
    </row>
    <row r="1379">
      <c r="A1379" s="72"/>
      <c r="B1379" s="12"/>
      <c r="C1379" s="12"/>
      <c r="D1379" s="12"/>
      <c r="E1379" s="13"/>
      <c r="F1379" s="13"/>
      <c r="G1379" s="13"/>
      <c r="H1379" s="13"/>
      <c r="I1379" s="13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6"/>
      <c r="W1379" s="13"/>
      <c r="X1379" s="13"/>
      <c r="Y1379" s="13"/>
      <c r="Z1379" s="13"/>
      <c r="AA1379" s="17"/>
      <c r="AB1379" s="17"/>
      <c r="AC1379" s="17"/>
      <c r="AD1379" s="17"/>
      <c r="AE1379" s="17"/>
    </row>
    <row r="1380">
      <c r="A1380" s="72"/>
      <c r="B1380" s="12"/>
      <c r="C1380" s="12"/>
      <c r="D1380" s="12"/>
      <c r="E1380" s="13"/>
      <c r="F1380" s="13"/>
      <c r="G1380" s="13"/>
      <c r="H1380" s="13"/>
      <c r="I1380" s="13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6"/>
      <c r="W1380" s="13"/>
      <c r="X1380" s="13"/>
      <c r="Y1380" s="13"/>
      <c r="Z1380" s="13"/>
      <c r="AA1380" s="17"/>
      <c r="AB1380" s="17"/>
      <c r="AC1380" s="17"/>
      <c r="AD1380" s="17"/>
      <c r="AE1380" s="17"/>
    </row>
    <row r="1381">
      <c r="A1381" s="72"/>
      <c r="B1381" s="12"/>
      <c r="C1381" s="12"/>
      <c r="D1381" s="12"/>
      <c r="E1381" s="13"/>
      <c r="F1381" s="13"/>
      <c r="G1381" s="13"/>
      <c r="H1381" s="13"/>
      <c r="I1381" s="13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6"/>
      <c r="W1381" s="13"/>
      <c r="X1381" s="13"/>
      <c r="Y1381" s="13"/>
      <c r="Z1381" s="13"/>
      <c r="AA1381" s="17"/>
      <c r="AB1381" s="17"/>
      <c r="AC1381" s="17"/>
      <c r="AD1381" s="17"/>
      <c r="AE1381" s="17"/>
    </row>
    <row r="1382">
      <c r="A1382" s="72"/>
      <c r="B1382" s="12"/>
      <c r="C1382" s="12"/>
      <c r="D1382" s="12"/>
      <c r="E1382" s="13"/>
      <c r="F1382" s="13"/>
      <c r="G1382" s="13"/>
      <c r="H1382" s="13"/>
      <c r="I1382" s="13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6"/>
      <c r="W1382" s="13"/>
      <c r="X1382" s="13"/>
      <c r="Y1382" s="13"/>
      <c r="Z1382" s="13"/>
      <c r="AA1382" s="17"/>
      <c r="AB1382" s="17"/>
      <c r="AC1382" s="17"/>
      <c r="AD1382" s="17"/>
      <c r="AE1382" s="17"/>
    </row>
    <row r="1383">
      <c r="A1383" s="72"/>
      <c r="B1383" s="12"/>
      <c r="C1383" s="12"/>
      <c r="D1383" s="12"/>
      <c r="E1383" s="13"/>
      <c r="F1383" s="13"/>
      <c r="G1383" s="13"/>
      <c r="H1383" s="13"/>
      <c r="I1383" s="13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6"/>
      <c r="W1383" s="13"/>
      <c r="X1383" s="13"/>
      <c r="Y1383" s="13"/>
      <c r="Z1383" s="13"/>
      <c r="AA1383" s="17"/>
      <c r="AB1383" s="17"/>
      <c r="AC1383" s="17"/>
      <c r="AD1383" s="17"/>
      <c r="AE1383" s="17"/>
    </row>
    <row r="1384">
      <c r="A1384" s="72"/>
      <c r="B1384" s="12"/>
      <c r="C1384" s="12"/>
      <c r="D1384" s="12"/>
      <c r="E1384" s="13"/>
      <c r="F1384" s="13"/>
      <c r="G1384" s="13"/>
      <c r="H1384" s="13"/>
      <c r="I1384" s="1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6"/>
      <c r="W1384" s="13"/>
      <c r="X1384" s="13"/>
      <c r="Y1384" s="13"/>
      <c r="Z1384" s="13"/>
      <c r="AA1384" s="17"/>
      <c r="AB1384" s="17"/>
      <c r="AC1384" s="17"/>
      <c r="AD1384" s="17"/>
      <c r="AE1384" s="17"/>
    </row>
    <row r="1385">
      <c r="A1385" s="72"/>
      <c r="B1385" s="12"/>
      <c r="C1385" s="12"/>
      <c r="D1385" s="12"/>
      <c r="E1385" s="13"/>
      <c r="F1385" s="13"/>
      <c r="G1385" s="13"/>
      <c r="H1385" s="13"/>
      <c r="I1385" s="13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6"/>
      <c r="W1385" s="13"/>
      <c r="X1385" s="13"/>
      <c r="Y1385" s="13"/>
      <c r="Z1385" s="13"/>
      <c r="AA1385" s="17"/>
      <c r="AB1385" s="17"/>
      <c r="AC1385" s="17"/>
      <c r="AD1385" s="17"/>
      <c r="AE1385" s="17"/>
    </row>
    <row r="1386">
      <c r="A1386" s="72"/>
      <c r="B1386" s="12"/>
      <c r="C1386" s="12"/>
      <c r="D1386" s="12"/>
      <c r="E1386" s="13"/>
      <c r="F1386" s="13"/>
      <c r="G1386" s="13"/>
      <c r="H1386" s="13"/>
      <c r="I1386" s="13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6"/>
      <c r="W1386" s="13"/>
      <c r="X1386" s="13"/>
      <c r="Y1386" s="13"/>
      <c r="Z1386" s="13"/>
      <c r="AA1386" s="17"/>
      <c r="AB1386" s="17"/>
      <c r="AC1386" s="17"/>
      <c r="AD1386" s="17"/>
      <c r="AE1386" s="17"/>
    </row>
    <row r="1387">
      <c r="A1387" s="72"/>
      <c r="B1387" s="12"/>
      <c r="C1387" s="12"/>
      <c r="D1387" s="12"/>
      <c r="E1387" s="13"/>
      <c r="F1387" s="13"/>
      <c r="G1387" s="13"/>
      <c r="H1387" s="13"/>
      <c r="I1387" s="13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6"/>
      <c r="W1387" s="13"/>
      <c r="X1387" s="13"/>
      <c r="Y1387" s="13"/>
      <c r="Z1387" s="13"/>
      <c r="AA1387" s="17"/>
      <c r="AB1387" s="17"/>
      <c r="AC1387" s="17"/>
      <c r="AD1387" s="17"/>
      <c r="AE1387" s="17"/>
    </row>
    <row r="1388">
      <c r="A1388" s="72"/>
      <c r="B1388" s="12"/>
      <c r="C1388" s="12"/>
      <c r="D1388" s="12"/>
      <c r="E1388" s="13"/>
      <c r="F1388" s="13"/>
      <c r="G1388" s="13"/>
      <c r="H1388" s="13"/>
      <c r="I1388" s="13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6"/>
      <c r="W1388" s="13"/>
      <c r="X1388" s="13"/>
      <c r="Y1388" s="13"/>
      <c r="Z1388" s="13"/>
      <c r="AA1388" s="17"/>
      <c r="AB1388" s="17"/>
      <c r="AC1388" s="17"/>
      <c r="AD1388" s="17"/>
      <c r="AE1388" s="17"/>
    </row>
    <row r="1389">
      <c r="A1389" s="72"/>
      <c r="B1389" s="12"/>
      <c r="C1389" s="12"/>
      <c r="D1389" s="12"/>
      <c r="E1389" s="13"/>
      <c r="F1389" s="13"/>
      <c r="G1389" s="13"/>
      <c r="H1389" s="13"/>
      <c r="I1389" s="13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6"/>
      <c r="W1389" s="13"/>
      <c r="X1389" s="13"/>
      <c r="Y1389" s="13"/>
      <c r="Z1389" s="13"/>
      <c r="AA1389" s="17"/>
      <c r="AB1389" s="17"/>
      <c r="AC1389" s="17"/>
      <c r="AD1389" s="17"/>
      <c r="AE1389" s="17"/>
    </row>
    <row r="1390">
      <c r="A1390" s="72"/>
      <c r="B1390" s="12"/>
      <c r="C1390" s="12"/>
      <c r="D1390" s="12"/>
      <c r="E1390" s="13"/>
      <c r="F1390" s="13"/>
      <c r="G1390" s="13"/>
      <c r="H1390" s="13"/>
      <c r="I1390" s="13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6"/>
      <c r="W1390" s="13"/>
      <c r="X1390" s="13"/>
      <c r="Y1390" s="13"/>
      <c r="Z1390" s="13"/>
      <c r="AA1390" s="17"/>
      <c r="AB1390" s="17"/>
      <c r="AC1390" s="17"/>
      <c r="AD1390" s="17"/>
      <c r="AE1390" s="17"/>
    </row>
    <row r="1391">
      <c r="A1391" s="72"/>
      <c r="B1391" s="12"/>
      <c r="C1391" s="12"/>
      <c r="D1391" s="12"/>
      <c r="E1391" s="13"/>
      <c r="F1391" s="13"/>
      <c r="G1391" s="13"/>
      <c r="H1391" s="13"/>
      <c r="I1391" s="13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6"/>
      <c r="W1391" s="13"/>
      <c r="X1391" s="13"/>
      <c r="Y1391" s="13"/>
      <c r="Z1391" s="13"/>
      <c r="AA1391" s="17"/>
      <c r="AB1391" s="17"/>
      <c r="AC1391" s="17"/>
      <c r="AD1391" s="17"/>
      <c r="AE1391" s="17"/>
    </row>
    <row r="1392">
      <c r="A1392" s="72"/>
      <c r="B1392" s="12"/>
      <c r="C1392" s="12"/>
      <c r="D1392" s="12"/>
      <c r="E1392" s="13"/>
      <c r="F1392" s="13"/>
      <c r="G1392" s="13"/>
      <c r="H1392" s="13"/>
      <c r="I1392" s="13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6"/>
      <c r="W1392" s="13"/>
      <c r="X1392" s="13"/>
      <c r="Y1392" s="13"/>
      <c r="Z1392" s="13"/>
      <c r="AA1392" s="17"/>
      <c r="AB1392" s="17"/>
      <c r="AC1392" s="17"/>
      <c r="AD1392" s="17"/>
      <c r="AE1392" s="17"/>
    </row>
    <row r="1393">
      <c r="A1393" s="72"/>
      <c r="B1393" s="12"/>
      <c r="C1393" s="12"/>
      <c r="D1393" s="12"/>
      <c r="E1393" s="13"/>
      <c r="F1393" s="13"/>
      <c r="G1393" s="13"/>
      <c r="H1393" s="13"/>
      <c r="I1393" s="13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6"/>
      <c r="W1393" s="13"/>
      <c r="X1393" s="13"/>
      <c r="Y1393" s="13"/>
      <c r="Z1393" s="13"/>
      <c r="AA1393" s="17"/>
      <c r="AB1393" s="17"/>
      <c r="AC1393" s="17"/>
      <c r="AD1393" s="17"/>
      <c r="AE1393" s="17"/>
    </row>
    <row r="1394">
      <c r="A1394" s="72"/>
      <c r="B1394" s="12"/>
      <c r="C1394" s="12"/>
      <c r="D1394" s="12"/>
      <c r="E1394" s="13"/>
      <c r="F1394" s="13"/>
      <c r="G1394" s="13"/>
      <c r="H1394" s="13"/>
      <c r="I1394" s="13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6"/>
      <c r="W1394" s="13"/>
      <c r="X1394" s="13"/>
      <c r="Y1394" s="13"/>
      <c r="Z1394" s="13"/>
      <c r="AA1394" s="17"/>
      <c r="AB1394" s="17"/>
      <c r="AC1394" s="17"/>
      <c r="AD1394" s="17"/>
      <c r="AE1394" s="17"/>
    </row>
    <row r="1395">
      <c r="A1395" s="72"/>
      <c r="B1395" s="12"/>
      <c r="C1395" s="12"/>
      <c r="D1395" s="12"/>
      <c r="E1395" s="13"/>
      <c r="F1395" s="13"/>
      <c r="G1395" s="13"/>
      <c r="H1395" s="13"/>
      <c r="I1395" s="13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6"/>
      <c r="W1395" s="13"/>
      <c r="X1395" s="13"/>
      <c r="Y1395" s="13"/>
      <c r="Z1395" s="13"/>
      <c r="AA1395" s="17"/>
      <c r="AB1395" s="17"/>
      <c r="AC1395" s="17"/>
      <c r="AD1395" s="17"/>
      <c r="AE1395" s="17"/>
    </row>
    <row r="1396">
      <c r="A1396" s="72"/>
      <c r="B1396" s="12"/>
      <c r="C1396" s="12"/>
      <c r="D1396" s="12"/>
      <c r="E1396" s="13"/>
      <c r="F1396" s="13"/>
      <c r="G1396" s="13"/>
      <c r="H1396" s="13"/>
      <c r="I1396" s="13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6"/>
      <c r="W1396" s="13"/>
      <c r="X1396" s="13"/>
      <c r="Y1396" s="13"/>
      <c r="Z1396" s="13"/>
      <c r="AA1396" s="17"/>
      <c r="AB1396" s="17"/>
      <c r="AC1396" s="17"/>
      <c r="AD1396" s="17"/>
      <c r="AE1396" s="17"/>
    </row>
    <row r="1397">
      <c r="A1397" s="72"/>
      <c r="B1397" s="12"/>
      <c r="C1397" s="12"/>
      <c r="D1397" s="12"/>
      <c r="E1397" s="13"/>
      <c r="F1397" s="13"/>
      <c r="G1397" s="13"/>
      <c r="H1397" s="13"/>
      <c r="I1397" s="13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6"/>
      <c r="W1397" s="13"/>
      <c r="X1397" s="13"/>
      <c r="Y1397" s="13"/>
      <c r="Z1397" s="13"/>
      <c r="AA1397" s="17"/>
      <c r="AB1397" s="17"/>
      <c r="AC1397" s="17"/>
      <c r="AD1397" s="17"/>
      <c r="AE1397" s="17"/>
    </row>
    <row r="1398">
      <c r="A1398" s="72"/>
      <c r="B1398" s="12"/>
      <c r="C1398" s="12"/>
      <c r="D1398" s="12"/>
      <c r="E1398" s="13"/>
      <c r="F1398" s="13"/>
      <c r="G1398" s="13"/>
      <c r="H1398" s="13"/>
      <c r="I1398" s="13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6"/>
      <c r="W1398" s="13"/>
      <c r="X1398" s="13"/>
      <c r="Y1398" s="13"/>
      <c r="Z1398" s="13"/>
      <c r="AA1398" s="17"/>
      <c r="AB1398" s="17"/>
      <c r="AC1398" s="17"/>
      <c r="AD1398" s="17"/>
      <c r="AE1398" s="17"/>
    </row>
    <row r="1399">
      <c r="A1399" s="72"/>
      <c r="B1399" s="12"/>
      <c r="C1399" s="12"/>
      <c r="D1399" s="12"/>
      <c r="E1399" s="13"/>
      <c r="F1399" s="13"/>
      <c r="G1399" s="13"/>
      <c r="H1399" s="13"/>
      <c r="I1399" s="13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6"/>
      <c r="W1399" s="13"/>
      <c r="X1399" s="13"/>
      <c r="Y1399" s="13"/>
      <c r="Z1399" s="13"/>
      <c r="AA1399" s="17"/>
      <c r="AB1399" s="17"/>
      <c r="AC1399" s="17"/>
      <c r="AD1399" s="17"/>
      <c r="AE1399" s="17"/>
    </row>
    <row r="1400">
      <c r="A1400" s="72"/>
      <c r="B1400" s="12"/>
      <c r="C1400" s="12"/>
      <c r="D1400" s="12"/>
      <c r="E1400" s="13"/>
      <c r="F1400" s="13"/>
      <c r="G1400" s="13"/>
      <c r="H1400" s="13"/>
      <c r="I1400" s="13"/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6"/>
      <c r="W1400" s="13"/>
      <c r="X1400" s="13"/>
      <c r="Y1400" s="13"/>
      <c r="Z1400" s="13"/>
      <c r="AA1400" s="17"/>
      <c r="AB1400" s="17"/>
      <c r="AC1400" s="17"/>
      <c r="AD1400" s="17"/>
      <c r="AE1400" s="17"/>
    </row>
    <row r="1401">
      <c r="A1401" s="72"/>
      <c r="B1401" s="12"/>
      <c r="C1401" s="12"/>
      <c r="D1401" s="12"/>
      <c r="E1401" s="13"/>
      <c r="F1401" s="13"/>
      <c r="G1401" s="13"/>
      <c r="H1401" s="13"/>
      <c r="I1401" s="13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6"/>
      <c r="W1401" s="13"/>
      <c r="X1401" s="13"/>
      <c r="Y1401" s="13"/>
      <c r="Z1401" s="13"/>
      <c r="AA1401" s="17"/>
      <c r="AB1401" s="17"/>
      <c r="AC1401" s="17"/>
      <c r="AD1401" s="17"/>
      <c r="AE1401" s="17"/>
    </row>
    <row r="1402">
      <c r="A1402" s="72"/>
      <c r="B1402" s="12"/>
      <c r="C1402" s="12"/>
      <c r="D1402" s="12"/>
      <c r="E1402" s="13"/>
      <c r="F1402" s="13"/>
      <c r="G1402" s="13"/>
      <c r="H1402" s="13"/>
      <c r="I1402" s="13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6"/>
      <c r="W1402" s="13"/>
      <c r="X1402" s="13"/>
      <c r="Y1402" s="13"/>
      <c r="Z1402" s="13"/>
      <c r="AA1402" s="17"/>
      <c r="AB1402" s="17"/>
      <c r="AC1402" s="17"/>
      <c r="AD1402" s="17"/>
      <c r="AE1402" s="17"/>
    </row>
    <row r="1403">
      <c r="A1403" s="72"/>
      <c r="B1403" s="12"/>
      <c r="C1403" s="12"/>
      <c r="D1403" s="12"/>
      <c r="E1403" s="13"/>
      <c r="F1403" s="13"/>
      <c r="G1403" s="13"/>
      <c r="H1403" s="13"/>
      <c r="I1403" s="13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6"/>
      <c r="W1403" s="13"/>
      <c r="X1403" s="13"/>
      <c r="Y1403" s="13"/>
      <c r="Z1403" s="13"/>
      <c r="AA1403" s="17"/>
      <c r="AB1403" s="17"/>
      <c r="AC1403" s="17"/>
      <c r="AD1403" s="17"/>
      <c r="AE1403" s="17"/>
    </row>
    <row r="1404">
      <c r="A1404" s="72"/>
      <c r="B1404" s="12"/>
      <c r="C1404" s="12"/>
      <c r="D1404" s="12"/>
      <c r="E1404" s="13"/>
      <c r="F1404" s="13"/>
      <c r="G1404" s="13"/>
      <c r="H1404" s="13"/>
      <c r="I1404" s="13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6"/>
      <c r="W1404" s="13"/>
      <c r="X1404" s="13"/>
      <c r="Y1404" s="13"/>
      <c r="Z1404" s="13"/>
      <c r="AA1404" s="17"/>
      <c r="AB1404" s="17"/>
      <c r="AC1404" s="17"/>
      <c r="AD1404" s="17"/>
      <c r="AE1404" s="17"/>
    </row>
    <row r="1405">
      <c r="A1405" s="72"/>
      <c r="B1405" s="12"/>
      <c r="C1405" s="12"/>
      <c r="D1405" s="12"/>
      <c r="E1405" s="13"/>
      <c r="F1405" s="13"/>
      <c r="G1405" s="13"/>
      <c r="H1405" s="13"/>
      <c r="I1405" s="13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6"/>
      <c r="W1405" s="13"/>
      <c r="X1405" s="13"/>
      <c r="Y1405" s="13"/>
      <c r="Z1405" s="13"/>
      <c r="AA1405" s="17"/>
      <c r="AB1405" s="17"/>
      <c r="AC1405" s="17"/>
      <c r="AD1405" s="17"/>
      <c r="AE1405" s="17"/>
    </row>
    <row r="1406">
      <c r="A1406" s="72"/>
      <c r="B1406" s="12"/>
      <c r="C1406" s="12"/>
      <c r="D1406" s="12"/>
      <c r="E1406" s="13"/>
      <c r="F1406" s="13"/>
      <c r="G1406" s="13"/>
      <c r="H1406" s="13"/>
      <c r="I1406" s="13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6"/>
      <c r="W1406" s="13"/>
      <c r="X1406" s="13"/>
      <c r="Y1406" s="13"/>
      <c r="Z1406" s="13"/>
      <c r="AA1406" s="17"/>
      <c r="AB1406" s="17"/>
      <c r="AC1406" s="17"/>
      <c r="AD1406" s="17"/>
      <c r="AE1406" s="17"/>
    </row>
    <row r="1407">
      <c r="A1407" s="72"/>
      <c r="B1407" s="12"/>
      <c r="C1407" s="12"/>
      <c r="D1407" s="12"/>
      <c r="E1407" s="13"/>
      <c r="F1407" s="13"/>
      <c r="G1407" s="13"/>
      <c r="H1407" s="13"/>
      <c r="I1407" s="13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6"/>
      <c r="W1407" s="13"/>
      <c r="X1407" s="13"/>
      <c r="Y1407" s="13"/>
      <c r="Z1407" s="13"/>
      <c r="AA1407" s="17"/>
      <c r="AB1407" s="17"/>
      <c r="AC1407" s="17"/>
      <c r="AD1407" s="17"/>
      <c r="AE1407" s="17"/>
    </row>
    <row r="1408">
      <c r="A1408" s="72"/>
      <c r="B1408" s="12"/>
      <c r="C1408" s="12"/>
      <c r="D1408" s="12"/>
      <c r="E1408" s="13"/>
      <c r="F1408" s="13"/>
      <c r="G1408" s="13"/>
      <c r="H1408" s="13"/>
      <c r="I1408" s="13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6"/>
      <c r="W1408" s="13"/>
      <c r="X1408" s="13"/>
      <c r="Y1408" s="13"/>
      <c r="Z1408" s="13"/>
      <c r="AA1408" s="17"/>
      <c r="AB1408" s="17"/>
      <c r="AC1408" s="17"/>
      <c r="AD1408" s="17"/>
      <c r="AE1408" s="17"/>
    </row>
    <row r="1409">
      <c r="A1409" s="72"/>
      <c r="B1409" s="12"/>
      <c r="C1409" s="12"/>
      <c r="D1409" s="12"/>
      <c r="E1409" s="13"/>
      <c r="F1409" s="13"/>
      <c r="G1409" s="13"/>
      <c r="H1409" s="13"/>
      <c r="I1409" s="13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6"/>
      <c r="W1409" s="13"/>
      <c r="X1409" s="13"/>
      <c r="Y1409" s="13"/>
      <c r="Z1409" s="13"/>
      <c r="AA1409" s="17"/>
      <c r="AB1409" s="17"/>
      <c r="AC1409" s="17"/>
      <c r="AD1409" s="17"/>
      <c r="AE1409" s="17"/>
    </row>
    <row r="1410">
      <c r="A1410" s="72"/>
      <c r="B1410" s="12"/>
      <c r="C1410" s="12"/>
      <c r="D1410" s="12"/>
      <c r="E1410" s="13"/>
      <c r="F1410" s="13"/>
      <c r="G1410" s="13"/>
      <c r="H1410" s="13"/>
      <c r="I1410" s="13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6"/>
      <c r="W1410" s="13"/>
      <c r="X1410" s="13"/>
      <c r="Y1410" s="13"/>
      <c r="Z1410" s="13"/>
      <c r="AA1410" s="17"/>
      <c r="AB1410" s="17"/>
      <c r="AC1410" s="17"/>
      <c r="AD1410" s="17"/>
      <c r="AE1410" s="17"/>
    </row>
    <row r="1411">
      <c r="A1411" s="72"/>
      <c r="B1411" s="12"/>
      <c r="C1411" s="12"/>
      <c r="D1411" s="12"/>
      <c r="E1411" s="13"/>
      <c r="F1411" s="13"/>
      <c r="G1411" s="13"/>
      <c r="H1411" s="13"/>
      <c r="I1411" s="13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6"/>
      <c r="W1411" s="13"/>
      <c r="X1411" s="13"/>
      <c r="Y1411" s="13"/>
      <c r="Z1411" s="13"/>
      <c r="AA1411" s="17"/>
      <c r="AB1411" s="17"/>
      <c r="AC1411" s="17"/>
      <c r="AD1411" s="17"/>
      <c r="AE1411" s="17"/>
    </row>
    <row r="1412">
      <c r="A1412" s="72"/>
      <c r="B1412" s="12"/>
      <c r="C1412" s="12"/>
      <c r="D1412" s="12"/>
      <c r="E1412" s="13"/>
      <c r="F1412" s="13"/>
      <c r="G1412" s="13"/>
      <c r="H1412" s="13"/>
      <c r="I1412" s="13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6"/>
      <c r="W1412" s="13"/>
      <c r="X1412" s="13"/>
      <c r="Y1412" s="13"/>
      <c r="Z1412" s="13"/>
      <c r="AA1412" s="17"/>
      <c r="AB1412" s="17"/>
      <c r="AC1412" s="17"/>
      <c r="AD1412" s="17"/>
      <c r="AE1412" s="17"/>
    </row>
    <row r="1413">
      <c r="A1413" s="72"/>
      <c r="B1413" s="12"/>
      <c r="C1413" s="12"/>
      <c r="D1413" s="12"/>
      <c r="E1413" s="13"/>
      <c r="F1413" s="13"/>
      <c r="G1413" s="13"/>
      <c r="H1413" s="13"/>
      <c r="I1413" s="13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6"/>
      <c r="W1413" s="13"/>
      <c r="X1413" s="13"/>
      <c r="Y1413" s="13"/>
      <c r="Z1413" s="13"/>
      <c r="AA1413" s="17"/>
      <c r="AB1413" s="17"/>
      <c r="AC1413" s="17"/>
      <c r="AD1413" s="17"/>
      <c r="AE1413" s="17"/>
    </row>
    <row r="1414">
      <c r="A1414" s="72"/>
      <c r="B1414" s="12"/>
      <c r="C1414" s="12"/>
      <c r="D1414" s="12"/>
      <c r="E1414" s="13"/>
      <c r="F1414" s="13"/>
      <c r="G1414" s="13"/>
      <c r="H1414" s="13"/>
      <c r="I1414" s="13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6"/>
      <c r="W1414" s="13"/>
      <c r="X1414" s="13"/>
      <c r="Y1414" s="13"/>
      <c r="Z1414" s="13"/>
      <c r="AA1414" s="17"/>
      <c r="AB1414" s="17"/>
      <c r="AC1414" s="17"/>
      <c r="AD1414" s="17"/>
      <c r="AE1414" s="17"/>
    </row>
    <row r="1415">
      <c r="A1415" s="72"/>
      <c r="B1415" s="12"/>
      <c r="C1415" s="12"/>
      <c r="D1415" s="12"/>
      <c r="E1415" s="13"/>
      <c r="F1415" s="13"/>
      <c r="G1415" s="13"/>
      <c r="H1415" s="13"/>
      <c r="I1415" s="13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6"/>
      <c r="W1415" s="13"/>
      <c r="X1415" s="13"/>
      <c r="Y1415" s="13"/>
      <c r="Z1415" s="13"/>
      <c r="AA1415" s="17"/>
      <c r="AB1415" s="17"/>
      <c r="AC1415" s="17"/>
      <c r="AD1415" s="17"/>
      <c r="AE1415" s="17"/>
    </row>
    <row r="1416">
      <c r="A1416" s="72"/>
      <c r="B1416" s="12"/>
      <c r="C1416" s="12"/>
      <c r="D1416" s="12"/>
      <c r="E1416" s="13"/>
      <c r="F1416" s="13"/>
      <c r="G1416" s="13"/>
      <c r="H1416" s="13"/>
      <c r="I1416" s="13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6"/>
      <c r="W1416" s="13"/>
      <c r="X1416" s="13"/>
      <c r="Y1416" s="13"/>
      <c r="Z1416" s="13"/>
      <c r="AA1416" s="17"/>
      <c r="AB1416" s="17"/>
      <c r="AC1416" s="17"/>
      <c r="AD1416" s="17"/>
      <c r="AE1416" s="17"/>
    </row>
    <row r="1417">
      <c r="A1417" s="72"/>
      <c r="B1417" s="12"/>
      <c r="C1417" s="12"/>
      <c r="D1417" s="12"/>
      <c r="E1417" s="13"/>
      <c r="F1417" s="13"/>
      <c r="G1417" s="13"/>
      <c r="H1417" s="13"/>
      <c r="I1417" s="13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6"/>
      <c r="W1417" s="13"/>
      <c r="X1417" s="13"/>
      <c r="Y1417" s="13"/>
      <c r="Z1417" s="13"/>
      <c r="AA1417" s="17"/>
      <c r="AB1417" s="17"/>
      <c r="AC1417" s="17"/>
      <c r="AD1417" s="17"/>
      <c r="AE1417" s="17"/>
    </row>
    <row r="1418">
      <c r="A1418" s="72"/>
      <c r="B1418" s="12"/>
      <c r="C1418" s="12"/>
      <c r="D1418" s="12"/>
      <c r="E1418" s="13"/>
      <c r="F1418" s="13"/>
      <c r="G1418" s="13"/>
      <c r="H1418" s="13"/>
      <c r="I1418" s="13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6"/>
      <c r="W1418" s="13"/>
      <c r="X1418" s="13"/>
      <c r="Y1418" s="13"/>
      <c r="Z1418" s="13"/>
      <c r="AA1418" s="17"/>
      <c r="AB1418" s="17"/>
      <c r="AC1418" s="17"/>
      <c r="AD1418" s="17"/>
      <c r="AE1418" s="17"/>
    </row>
    <row r="1419">
      <c r="A1419" s="72"/>
      <c r="B1419" s="12"/>
      <c r="C1419" s="12"/>
      <c r="D1419" s="12"/>
      <c r="E1419" s="13"/>
      <c r="F1419" s="13"/>
      <c r="G1419" s="13"/>
      <c r="H1419" s="13"/>
      <c r="I1419" s="13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6"/>
      <c r="W1419" s="13"/>
      <c r="X1419" s="13"/>
      <c r="Y1419" s="13"/>
      <c r="Z1419" s="13"/>
      <c r="AA1419" s="17"/>
      <c r="AB1419" s="17"/>
      <c r="AC1419" s="17"/>
      <c r="AD1419" s="17"/>
      <c r="AE1419" s="17"/>
    </row>
    <row r="1420">
      <c r="A1420" s="72"/>
      <c r="B1420" s="12"/>
      <c r="C1420" s="12"/>
      <c r="D1420" s="12"/>
      <c r="E1420" s="13"/>
      <c r="F1420" s="13"/>
      <c r="G1420" s="13"/>
      <c r="H1420" s="13"/>
      <c r="I1420" s="13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6"/>
      <c r="W1420" s="13"/>
      <c r="X1420" s="13"/>
      <c r="Y1420" s="13"/>
      <c r="Z1420" s="13"/>
      <c r="AA1420" s="17"/>
      <c r="AB1420" s="17"/>
      <c r="AC1420" s="17"/>
      <c r="AD1420" s="17"/>
      <c r="AE1420" s="17"/>
    </row>
    <row r="1421">
      <c r="A1421" s="72"/>
      <c r="B1421" s="12"/>
      <c r="C1421" s="12"/>
      <c r="D1421" s="12"/>
      <c r="E1421" s="13"/>
      <c r="F1421" s="13"/>
      <c r="G1421" s="13"/>
      <c r="H1421" s="13"/>
      <c r="I1421" s="13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6"/>
      <c r="W1421" s="13"/>
      <c r="X1421" s="13"/>
      <c r="Y1421" s="13"/>
      <c r="Z1421" s="13"/>
      <c r="AA1421" s="17"/>
      <c r="AB1421" s="17"/>
      <c r="AC1421" s="17"/>
      <c r="AD1421" s="17"/>
      <c r="AE1421" s="17"/>
    </row>
    <row r="1422">
      <c r="A1422" s="72"/>
      <c r="B1422" s="12"/>
      <c r="C1422" s="12"/>
      <c r="D1422" s="12"/>
      <c r="E1422" s="13"/>
      <c r="F1422" s="13"/>
      <c r="G1422" s="13"/>
      <c r="H1422" s="13"/>
      <c r="I1422" s="13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6"/>
      <c r="W1422" s="13"/>
      <c r="X1422" s="13"/>
      <c r="Y1422" s="13"/>
      <c r="Z1422" s="13"/>
      <c r="AA1422" s="17"/>
      <c r="AB1422" s="17"/>
      <c r="AC1422" s="17"/>
      <c r="AD1422" s="17"/>
      <c r="AE1422" s="17"/>
    </row>
    <row r="1423">
      <c r="A1423" s="72"/>
      <c r="B1423" s="12"/>
      <c r="C1423" s="12"/>
      <c r="D1423" s="12"/>
      <c r="E1423" s="13"/>
      <c r="F1423" s="13"/>
      <c r="G1423" s="13"/>
      <c r="H1423" s="13"/>
      <c r="I1423" s="13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6"/>
      <c r="W1423" s="13"/>
      <c r="X1423" s="13"/>
      <c r="Y1423" s="13"/>
      <c r="Z1423" s="13"/>
      <c r="AA1423" s="17"/>
      <c r="AB1423" s="17"/>
      <c r="AC1423" s="17"/>
      <c r="AD1423" s="17"/>
      <c r="AE1423" s="17"/>
    </row>
    <row r="1424">
      <c r="A1424" s="72"/>
      <c r="B1424" s="12"/>
      <c r="C1424" s="12"/>
      <c r="D1424" s="12"/>
      <c r="E1424" s="13"/>
      <c r="F1424" s="13"/>
      <c r="G1424" s="13"/>
      <c r="H1424" s="13"/>
      <c r="I1424" s="13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6"/>
      <c r="W1424" s="13"/>
      <c r="X1424" s="13"/>
      <c r="Y1424" s="13"/>
      <c r="Z1424" s="13"/>
      <c r="AA1424" s="17"/>
      <c r="AB1424" s="17"/>
      <c r="AC1424" s="17"/>
      <c r="AD1424" s="17"/>
      <c r="AE1424" s="17"/>
    </row>
    <row r="1425">
      <c r="A1425" s="72"/>
      <c r="B1425" s="12"/>
      <c r="C1425" s="12"/>
      <c r="D1425" s="12"/>
      <c r="E1425" s="13"/>
      <c r="F1425" s="13"/>
      <c r="G1425" s="13"/>
      <c r="H1425" s="13"/>
      <c r="I1425" s="13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6"/>
      <c r="W1425" s="13"/>
      <c r="X1425" s="13"/>
      <c r="Y1425" s="13"/>
      <c r="Z1425" s="13"/>
      <c r="AA1425" s="17"/>
      <c r="AB1425" s="17"/>
      <c r="AC1425" s="17"/>
      <c r="AD1425" s="17"/>
      <c r="AE1425" s="17"/>
    </row>
    <row r="1426">
      <c r="A1426" s="72"/>
      <c r="B1426" s="12"/>
      <c r="C1426" s="12"/>
      <c r="D1426" s="12"/>
      <c r="E1426" s="13"/>
      <c r="F1426" s="13"/>
      <c r="G1426" s="13"/>
      <c r="H1426" s="13"/>
      <c r="I1426" s="13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6"/>
      <c r="W1426" s="13"/>
      <c r="X1426" s="13"/>
      <c r="Y1426" s="13"/>
      <c r="Z1426" s="13"/>
      <c r="AA1426" s="17"/>
      <c r="AB1426" s="17"/>
      <c r="AC1426" s="17"/>
      <c r="AD1426" s="17"/>
      <c r="AE1426" s="17"/>
    </row>
    <row r="1427">
      <c r="A1427" s="72"/>
      <c r="B1427" s="12"/>
      <c r="C1427" s="12"/>
      <c r="D1427" s="12"/>
      <c r="E1427" s="13"/>
      <c r="F1427" s="13"/>
      <c r="G1427" s="13"/>
      <c r="H1427" s="13"/>
      <c r="I1427" s="13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6"/>
      <c r="W1427" s="13"/>
      <c r="X1427" s="13"/>
      <c r="Y1427" s="13"/>
      <c r="Z1427" s="13"/>
      <c r="AA1427" s="17"/>
      <c r="AB1427" s="17"/>
      <c r="AC1427" s="17"/>
      <c r="AD1427" s="17"/>
      <c r="AE1427" s="17"/>
    </row>
    <row r="1428">
      <c r="A1428" s="72"/>
      <c r="B1428" s="12"/>
      <c r="C1428" s="12"/>
      <c r="D1428" s="12"/>
      <c r="E1428" s="13"/>
      <c r="F1428" s="13"/>
      <c r="G1428" s="13"/>
      <c r="H1428" s="13"/>
      <c r="I1428" s="13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6"/>
      <c r="W1428" s="13"/>
      <c r="X1428" s="13"/>
      <c r="Y1428" s="13"/>
      <c r="Z1428" s="13"/>
      <c r="AA1428" s="17"/>
      <c r="AB1428" s="17"/>
      <c r="AC1428" s="17"/>
      <c r="AD1428" s="17"/>
      <c r="AE1428" s="17"/>
    </row>
    <row r="1429">
      <c r="A1429" s="72"/>
      <c r="B1429" s="12"/>
      <c r="C1429" s="12"/>
      <c r="D1429" s="12"/>
      <c r="E1429" s="13"/>
      <c r="F1429" s="13"/>
      <c r="G1429" s="13"/>
      <c r="H1429" s="13"/>
      <c r="I1429" s="13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6"/>
      <c r="W1429" s="13"/>
      <c r="X1429" s="13"/>
      <c r="Y1429" s="13"/>
      <c r="Z1429" s="13"/>
      <c r="AA1429" s="17"/>
      <c r="AB1429" s="17"/>
      <c r="AC1429" s="17"/>
      <c r="AD1429" s="17"/>
      <c r="AE1429" s="17"/>
    </row>
    <row r="1430">
      <c r="A1430" s="72"/>
      <c r="B1430" s="12"/>
      <c r="C1430" s="12"/>
      <c r="D1430" s="12"/>
      <c r="E1430" s="13"/>
      <c r="F1430" s="13"/>
      <c r="G1430" s="13"/>
      <c r="H1430" s="13"/>
      <c r="I1430" s="13"/>
      <c r="J1430" s="13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6"/>
      <c r="W1430" s="13"/>
      <c r="X1430" s="13"/>
      <c r="Y1430" s="13"/>
      <c r="Z1430" s="13"/>
      <c r="AA1430" s="17"/>
      <c r="AB1430" s="17"/>
      <c r="AC1430" s="17"/>
      <c r="AD1430" s="17"/>
      <c r="AE1430" s="17"/>
    </row>
    <row r="1431">
      <c r="A1431" s="72"/>
      <c r="B1431" s="12"/>
      <c r="C1431" s="12"/>
      <c r="D1431" s="12"/>
      <c r="E1431" s="13"/>
      <c r="F1431" s="13"/>
      <c r="G1431" s="13"/>
      <c r="H1431" s="13"/>
      <c r="I1431" s="13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6"/>
      <c r="W1431" s="13"/>
      <c r="X1431" s="13"/>
      <c r="Y1431" s="13"/>
      <c r="Z1431" s="13"/>
      <c r="AA1431" s="17"/>
      <c r="AB1431" s="17"/>
      <c r="AC1431" s="17"/>
      <c r="AD1431" s="17"/>
      <c r="AE1431" s="17"/>
    </row>
    <row r="1432">
      <c r="A1432" s="72"/>
      <c r="B1432" s="12"/>
      <c r="C1432" s="12"/>
      <c r="D1432" s="12"/>
      <c r="E1432" s="13"/>
      <c r="F1432" s="13"/>
      <c r="G1432" s="13"/>
      <c r="H1432" s="13"/>
      <c r="I1432" s="13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6"/>
      <c r="W1432" s="13"/>
      <c r="X1432" s="13"/>
      <c r="Y1432" s="13"/>
      <c r="Z1432" s="13"/>
      <c r="AA1432" s="17"/>
      <c r="AB1432" s="17"/>
      <c r="AC1432" s="17"/>
      <c r="AD1432" s="17"/>
      <c r="AE1432" s="17"/>
    </row>
    <row r="1433">
      <c r="A1433" s="72"/>
      <c r="B1433" s="12"/>
      <c r="C1433" s="12"/>
      <c r="D1433" s="12"/>
      <c r="E1433" s="13"/>
      <c r="F1433" s="13"/>
      <c r="G1433" s="13"/>
      <c r="H1433" s="13"/>
      <c r="I1433" s="13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6"/>
      <c r="W1433" s="13"/>
      <c r="X1433" s="13"/>
      <c r="Y1433" s="13"/>
      <c r="Z1433" s="13"/>
      <c r="AA1433" s="17"/>
      <c r="AB1433" s="17"/>
      <c r="AC1433" s="17"/>
      <c r="AD1433" s="17"/>
      <c r="AE1433" s="17"/>
    </row>
    <row r="1434">
      <c r="A1434" s="72"/>
      <c r="B1434" s="12"/>
      <c r="C1434" s="12"/>
      <c r="D1434" s="12"/>
      <c r="E1434" s="13"/>
      <c r="F1434" s="13"/>
      <c r="G1434" s="13"/>
      <c r="H1434" s="13"/>
      <c r="I1434" s="13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6"/>
      <c r="W1434" s="13"/>
      <c r="X1434" s="13"/>
      <c r="Y1434" s="13"/>
      <c r="Z1434" s="13"/>
      <c r="AA1434" s="17"/>
      <c r="AB1434" s="17"/>
      <c r="AC1434" s="17"/>
      <c r="AD1434" s="17"/>
      <c r="AE1434" s="17"/>
    </row>
    <row r="1435">
      <c r="A1435" s="72"/>
      <c r="B1435" s="12"/>
      <c r="C1435" s="12"/>
      <c r="D1435" s="12"/>
      <c r="E1435" s="13"/>
      <c r="F1435" s="13"/>
      <c r="G1435" s="13"/>
      <c r="H1435" s="13"/>
      <c r="I1435" s="13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6"/>
      <c r="W1435" s="13"/>
      <c r="X1435" s="13"/>
      <c r="Y1435" s="13"/>
      <c r="Z1435" s="13"/>
      <c r="AA1435" s="17"/>
      <c r="AB1435" s="17"/>
      <c r="AC1435" s="17"/>
      <c r="AD1435" s="17"/>
      <c r="AE1435" s="17"/>
    </row>
    <row r="1436">
      <c r="A1436" s="72"/>
      <c r="B1436" s="12"/>
      <c r="C1436" s="12"/>
      <c r="D1436" s="12"/>
      <c r="E1436" s="13"/>
      <c r="F1436" s="13"/>
      <c r="G1436" s="13"/>
      <c r="H1436" s="13"/>
      <c r="I1436" s="13"/>
      <c r="J1436" s="13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6"/>
      <c r="W1436" s="13"/>
      <c r="X1436" s="13"/>
      <c r="Y1436" s="13"/>
      <c r="Z1436" s="13"/>
      <c r="AA1436" s="17"/>
      <c r="AB1436" s="17"/>
      <c r="AC1436" s="17"/>
      <c r="AD1436" s="17"/>
      <c r="AE1436" s="17"/>
    </row>
    <row r="1437">
      <c r="A1437" s="72"/>
      <c r="B1437" s="12"/>
      <c r="C1437" s="12"/>
      <c r="D1437" s="12"/>
      <c r="E1437" s="13"/>
      <c r="F1437" s="13"/>
      <c r="G1437" s="13"/>
      <c r="H1437" s="13"/>
      <c r="I1437" s="13"/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6"/>
      <c r="W1437" s="13"/>
      <c r="X1437" s="13"/>
      <c r="Y1437" s="13"/>
      <c r="Z1437" s="13"/>
      <c r="AA1437" s="17"/>
      <c r="AB1437" s="17"/>
      <c r="AC1437" s="17"/>
      <c r="AD1437" s="17"/>
      <c r="AE1437" s="17"/>
    </row>
    <row r="1438">
      <c r="A1438" s="72"/>
      <c r="B1438" s="12"/>
      <c r="C1438" s="12"/>
      <c r="D1438" s="12"/>
      <c r="E1438" s="13"/>
      <c r="F1438" s="13"/>
      <c r="G1438" s="13"/>
      <c r="H1438" s="13"/>
      <c r="I1438" s="13"/>
      <c r="J1438" s="13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6"/>
      <c r="W1438" s="13"/>
      <c r="X1438" s="13"/>
      <c r="Y1438" s="13"/>
      <c r="Z1438" s="13"/>
      <c r="AA1438" s="17"/>
      <c r="AB1438" s="17"/>
      <c r="AC1438" s="17"/>
      <c r="AD1438" s="17"/>
      <c r="AE1438" s="17"/>
    </row>
    <row r="1439">
      <c r="A1439" s="72"/>
      <c r="B1439" s="12"/>
      <c r="C1439" s="12"/>
      <c r="D1439" s="12"/>
      <c r="E1439" s="13"/>
      <c r="F1439" s="13"/>
      <c r="G1439" s="13"/>
      <c r="H1439" s="13"/>
      <c r="I1439" s="13"/>
      <c r="J1439" s="13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6"/>
      <c r="W1439" s="13"/>
      <c r="X1439" s="13"/>
      <c r="Y1439" s="13"/>
      <c r="Z1439" s="13"/>
      <c r="AA1439" s="17"/>
      <c r="AB1439" s="17"/>
      <c r="AC1439" s="17"/>
      <c r="AD1439" s="17"/>
      <c r="AE1439" s="17"/>
    </row>
    <row r="1440">
      <c r="A1440" s="72"/>
      <c r="B1440" s="12"/>
      <c r="C1440" s="12"/>
      <c r="D1440" s="12"/>
      <c r="E1440" s="13"/>
      <c r="F1440" s="13"/>
      <c r="G1440" s="13"/>
      <c r="H1440" s="13"/>
      <c r="I1440" s="13"/>
      <c r="J1440" s="13"/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16"/>
      <c r="W1440" s="13"/>
      <c r="X1440" s="13"/>
      <c r="Y1440" s="13"/>
      <c r="Z1440" s="13"/>
      <c r="AA1440" s="17"/>
      <c r="AB1440" s="17"/>
      <c r="AC1440" s="17"/>
      <c r="AD1440" s="17"/>
      <c r="AE1440" s="17"/>
    </row>
    <row r="1441">
      <c r="A1441" s="72"/>
      <c r="B1441" s="12"/>
      <c r="C1441" s="12"/>
      <c r="D1441" s="12"/>
      <c r="E1441" s="13"/>
      <c r="F1441" s="13"/>
      <c r="G1441" s="13"/>
      <c r="H1441" s="13"/>
      <c r="I1441" s="13"/>
      <c r="J1441" s="13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6"/>
      <c r="W1441" s="13"/>
      <c r="X1441" s="13"/>
      <c r="Y1441" s="13"/>
      <c r="Z1441" s="13"/>
      <c r="AA1441" s="17"/>
      <c r="AB1441" s="17"/>
      <c r="AC1441" s="17"/>
      <c r="AD1441" s="17"/>
      <c r="AE1441" s="17"/>
    </row>
    <row r="1442">
      <c r="A1442" s="72"/>
      <c r="B1442" s="12"/>
      <c r="C1442" s="12"/>
      <c r="D1442" s="12"/>
      <c r="E1442" s="13"/>
      <c r="F1442" s="13"/>
      <c r="G1442" s="13"/>
      <c r="H1442" s="13"/>
      <c r="I1442" s="13"/>
      <c r="J1442" s="13"/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6"/>
      <c r="W1442" s="13"/>
      <c r="X1442" s="13"/>
      <c r="Y1442" s="13"/>
      <c r="Z1442" s="13"/>
      <c r="AA1442" s="17"/>
      <c r="AB1442" s="17"/>
      <c r="AC1442" s="17"/>
      <c r="AD1442" s="17"/>
      <c r="AE1442" s="17"/>
    </row>
    <row r="1443">
      <c r="A1443" s="72"/>
      <c r="B1443" s="12"/>
      <c r="C1443" s="12"/>
      <c r="D1443" s="12"/>
      <c r="E1443" s="13"/>
      <c r="F1443" s="13"/>
      <c r="G1443" s="13"/>
      <c r="H1443" s="13"/>
      <c r="I1443" s="13"/>
      <c r="J1443" s="13"/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16"/>
      <c r="W1443" s="13"/>
      <c r="X1443" s="13"/>
      <c r="Y1443" s="13"/>
      <c r="Z1443" s="13"/>
      <c r="AA1443" s="17"/>
      <c r="AB1443" s="17"/>
      <c r="AC1443" s="17"/>
      <c r="AD1443" s="17"/>
      <c r="AE1443" s="17"/>
    </row>
    <row r="1444">
      <c r="A1444" s="72"/>
      <c r="B1444" s="12"/>
      <c r="C1444" s="12"/>
      <c r="D1444" s="12"/>
      <c r="E1444" s="13"/>
      <c r="F1444" s="13"/>
      <c r="G1444" s="13"/>
      <c r="H1444" s="13"/>
      <c r="I1444" s="13"/>
      <c r="J1444" s="13"/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6"/>
      <c r="W1444" s="13"/>
      <c r="X1444" s="13"/>
      <c r="Y1444" s="13"/>
      <c r="Z1444" s="13"/>
      <c r="AA1444" s="17"/>
      <c r="AB1444" s="17"/>
      <c r="AC1444" s="17"/>
      <c r="AD1444" s="17"/>
      <c r="AE1444" s="17"/>
    </row>
    <row r="1445">
      <c r="A1445" s="72"/>
      <c r="B1445" s="12"/>
      <c r="C1445" s="12"/>
      <c r="D1445" s="12"/>
      <c r="E1445" s="13"/>
      <c r="F1445" s="13"/>
      <c r="G1445" s="13"/>
      <c r="H1445" s="13"/>
      <c r="I1445" s="13"/>
      <c r="J1445" s="13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6"/>
      <c r="W1445" s="13"/>
      <c r="X1445" s="13"/>
      <c r="Y1445" s="13"/>
      <c r="Z1445" s="13"/>
      <c r="AA1445" s="17"/>
      <c r="AB1445" s="17"/>
      <c r="AC1445" s="17"/>
      <c r="AD1445" s="17"/>
      <c r="AE1445" s="17"/>
    </row>
    <row r="1446">
      <c r="A1446" s="72"/>
      <c r="B1446" s="12"/>
      <c r="C1446" s="12"/>
      <c r="D1446" s="12"/>
      <c r="E1446" s="13"/>
      <c r="F1446" s="13"/>
      <c r="G1446" s="13"/>
      <c r="H1446" s="13"/>
      <c r="I1446" s="13"/>
      <c r="J1446" s="13"/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16"/>
      <c r="W1446" s="13"/>
      <c r="X1446" s="13"/>
      <c r="Y1446" s="13"/>
      <c r="Z1446" s="13"/>
      <c r="AA1446" s="17"/>
      <c r="AB1446" s="17"/>
      <c r="AC1446" s="17"/>
      <c r="AD1446" s="17"/>
      <c r="AE1446" s="17"/>
    </row>
    <row r="1447">
      <c r="A1447" s="72"/>
      <c r="B1447" s="12"/>
      <c r="C1447" s="12"/>
      <c r="D1447" s="12"/>
      <c r="E1447" s="13"/>
      <c r="F1447" s="13"/>
      <c r="G1447" s="13"/>
      <c r="H1447" s="13"/>
      <c r="I1447" s="13"/>
      <c r="J1447" s="13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6"/>
      <c r="W1447" s="13"/>
      <c r="X1447" s="13"/>
      <c r="Y1447" s="13"/>
      <c r="Z1447" s="13"/>
      <c r="AA1447" s="17"/>
      <c r="AB1447" s="17"/>
      <c r="AC1447" s="17"/>
      <c r="AD1447" s="17"/>
      <c r="AE1447" s="17"/>
    </row>
    <row r="1448">
      <c r="A1448" s="72"/>
      <c r="B1448" s="12"/>
      <c r="C1448" s="12"/>
      <c r="D1448" s="12"/>
      <c r="E1448" s="13"/>
      <c r="F1448" s="13"/>
      <c r="G1448" s="13"/>
      <c r="H1448" s="13"/>
      <c r="I1448" s="13"/>
      <c r="J1448" s="13"/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16"/>
      <c r="W1448" s="13"/>
      <c r="X1448" s="13"/>
      <c r="Y1448" s="13"/>
      <c r="Z1448" s="13"/>
      <c r="AA1448" s="17"/>
      <c r="AB1448" s="17"/>
      <c r="AC1448" s="17"/>
      <c r="AD1448" s="17"/>
      <c r="AE1448" s="17"/>
    </row>
    <row r="1449">
      <c r="A1449" s="72"/>
      <c r="B1449" s="12"/>
      <c r="C1449" s="12"/>
      <c r="D1449" s="12"/>
      <c r="E1449" s="13"/>
      <c r="F1449" s="13"/>
      <c r="G1449" s="13"/>
      <c r="H1449" s="13"/>
      <c r="I1449" s="13"/>
      <c r="J1449" s="13"/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16"/>
      <c r="W1449" s="13"/>
      <c r="X1449" s="13"/>
      <c r="Y1449" s="13"/>
      <c r="Z1449" s="13"/>
      <c r="AA1449" s="17"/>
      <c r="AB1449" s="17"/>
      <c r="AC1449" s="17"/>
      <c r="AD1449" s="17"/>
      <c r="AE1449" s="17"/>
    </row>
    <row r="1450">
      <c r="A1450" s="72"/>
      <c r="B1450" s="12"/>
      <c r="C1450" s="12"/>
      <c r="D1450" s="12"/>
      <c r="E1450" s="13"/>
      <c r="F1450" s="13"/>
      <c r="G1450" s="13"/>
      <c r="H1450" s="13"/>
      <c r="I1450" s="13"/>
      <c r="J1450" s="13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6"/>
      <c r="W1450" s="13"/>
      <c r="X1450" s="13"/>
      <c r="Y1450" s="13"/>
      <c r="Z1450" s="13"/>
      <c r="AA1450" s="17"/>
      <c r="AB1450" s="17"/>
      <c r="AC1450" s="17"/>
      <c r="AD1450" s="17"/>
      <c r="AE1450" s="17"/>
    </row>
    <row r="1451">
      <c r="A1451" s="72"/>
      <c r="B1451" s="12"/>
      <c r="C1451" s="12"/>
      <c r="D1451" s="12"/>
      <c r="E1451" s="13"/>
      <c r="F1451" s="13"/>
      <c r="G1451" s="13"/>
      <c r="H1451" s="13"/>
      <c r="I1451" s="13"/>
      <c r="J1451" s="13"/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6"/>
      <c r="W1451" s="13"/>
      <c r="X1451" s="13"/>
      <c r="Y1451" s="13"/>
      <c r="Z1451" s="13"/>
      <c r="AA1451" s="17"/>
      <c r="AB1451" s="17"/>
      <c r="AC1451" s="17"/>
      <c r="AD1451" s="17"/>
      <c r="AE1451" s="17"/>
    </row>
    <row r="1452">
      <c r="A1452" s="72"/>
      <c r="B1452" s="12"/>
      <c r="C1452" s="12"/>
      <c r="D1452" s="12"/>
      <c r="E1452" s="13"/>
      <c r="F1452" s="13"/>
      <c r="G1452" s="13"/>
      <c r="H1452" s="13"/>
      <c r="I1452" s="13"/>
      <c r="J1452" s="13"/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6"/>
      <c r="W1452" s="13"/>
      <c r="X1452" s="13"/>
      <c r="Y1452" s="13"/>
      <c r="Z1452" s="13"/>
      <c r="AA1452" s="17"/>
      <c r="AB1452" s="17"/>
      <c r="AC1452" s="17"/>
      <c r="AD1452" s="17"/>
      <c r="AE1452" s="17"/>
    </row>
    <row r="1453">
      <c r="A1453" s="72"/>
      <c r="B1453" s="12"/>
      <c r="C1453" s="12"/>
      <c r="D1453" s="12"/>
      <c r="E1453" s="13"/>
      <c r="F1453" s="13"/>
      <c r="G1453" s="13"/>
      <c r="H1453" s="13"/>
      <c r="I1453" s="13"/>
      <c r="J1453" s="13"/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6"/>
      <c r="W1453" s="13"/>
      <c r="X1453" s="13"/>
      <c r="Y1453" s="13"/>
      <c r="Z1453" s="13"/>
      <c r="AA1453" s="17"/>
      <c r="AB1453" s="17"/>
      <c r="AC1453" s="17"/>
      <c r="AD1453" s="17"/>
      <c r="AE1453" s="17"/>
    </row>
    <row r="1454">
      <c r="A1454" s="72"/>
      <c r="B1454" s="12"/>
      <c r="C1454" s="12"/>
      <c r="D1454" s="12"/>
      <c r="E1454" s="13"/>
      <c r="F1454" s="13"/>
      <c r="G1454" s="13"/>
      <c r="H1454" s="13"/>
      <c r="I1454" s="13"/>
      <c r="J1454" s="13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6"/>
      <c r="W1454" s="13"/>
      <c r="X1454" s="13"/>
      <c r="Y1454" s="13"/>
      <c r="Z1454" s="13"/>
      <c r="AA1454" s="17"/>
      <c r="AB1454" s="17"/>
      <c r="AC1454" s="17"/>
      <c r="AD1454" s="17"/>
      <c r="AE1454" s="17"/>
    </row>
    <row r="1455">
      <c r="A1455" s="72"/>
      <c r="B1455" s="12"/>
      <c r="C1455" s="12"/>
      <c r="D1455" s="12"/>
      <c r="E1455" s="13"/>
      <c r="F1455" s="13"/>
      <c r="G1455" s="13"/>
      <c r="H1455" s="13"/>
      <c r="I1455" s="13"/>
      <c r="J1455" s="13"/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6"/>
      <c r="W1455" s="13"/>
      <c r="X1455" s="13"/>
      <c r="Y1455" s="13"/>
      <c r="Z1455" s="13"/>
      <c r="AA1455" s="17"/>
      <c r="AB1455" s="17"/>
      <c r="AC1455" s="17"/>
      <c r="AD1455" s="17"/>
      <c r="AE1455" s="17"/>
    </row>
    <row r="1456">
      <c r="A1456" s="72"/>
      <c r="B1456" s="12"/>
      <c r="C1456" s="12"/>
      <c r="D1456" s="12"/>
      <c r="E1456" s="13"/>
      <c r="F1456" s="13"/>
      <c r="G1456" s="13"/>
      <c r="H1456" s="13"/>
      <c r="I1456" s="13"/>
      <c r="J1456" s="13"/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6"/>
      <c r="W1456" s="13"/>
      <c r="X1456" s="13"/>
      <c r="Y1456" s="13"/>
      <c r="Z1456" s="13"/>
      <c r="AA1456" s="17"/>
      <c r="AB1456" s="17"/>
      <c r="AC1456" s="17"/>
      <c r="AD1456" s="17"/>
      <c r="AE1456" s="17"/>
    </row>
    <row r="1457">
      <c r="A1457" s="72"/>
      <c r="B1457" s="12"/>
      <c r="C1457" s="12"/>
      <c r="D1457" s="12"/>
      <c r="E1457" s="13"/>
      <c r="F1457" s="13"/>
      <c r="G1457" s="13"/>
      <c r="H1457" s="13"/>
      <c r="I1457" s="13"/>
      <c r="J1457" s="13"/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6"/>
      <c r="W1457" s="13"/>
      <c r="X1457" s="13"/>
      <c r="Y1457" s="13"/>
      <c r="Z1457" s="13"/>
      <c r="AA1457" s="17"/>
      <c r="AB1457" s="17"/>
      <c r="AC1457" s="17"/>
      <c r="AD1457" s="17"/>
      <c r="AE1457" s="17"/>
    </row>
    <row r="1458">
      <c r="A1458" s="72"/>
      <c r="B1458" s="12"/>
      <c r="C1458" s="12"/>
      <c r="D1458" s="12"/>
      <c r="E1458" s="13"/>
      <c r="F1458" s="13"/>
      <c r="G1458" s="13"/>
      <c r="H1458" s="13"/>
      <c r="I1458" s="13"/>
      <c r="J1458" s="13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6"/>
      <c r="W1458" s="13"/>
      <c r="X1458" s="13"/>
      <c r="Y1458" s="13"/>
      <c r="Z1458" s="13"/>
      <c r="AA1458" s="17"/>
      <c r="AB1458" s="17"/>
      <c r="AC1458" s="17"/>
      <c r="AD1458" s="17"/>
      <c r="AE1458" s="17"/>
    </row>
    <row r="1459">
      <c r="A1459" s="72"/>
      <c r="B1459" s="12"/>
      <c r="C1459" s="12"/>
      <c r="D1459" s="12"/>
      <c r="E1459" s="13"/>
      <c r="F1459" s="13"/>
      <c r="G1459" s="13"/>
      <c r="H1459" s="13"/>
      <c r="I1459" s="13"/>
      <c r="J1459" s="13"/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6"/>
      <c r="W1459" s="13"/>
      <c r="X1459" s="13"/>
      <c r="Y1459" s="13"/>
      <c r="Z1459" s="13"/>
      <c r="AA1459" s="17"/>
      <c r="AB1459" s="17"/>
      <c r="AC1459" s="17"/>
      <c r="AD1459" s="17"/>
      <c r="AE1459" s="17"/>
    </row>
    <row r="1460">
      <c r="A1460" s="72"/>
      <c r="B1460" s="12"/>
      <c r="C1460" s="12"/>
      <c r="D1460" s="12"/>
      <c r="E1460" s="13"/>
      <c r="F1460" s="13"/>
      <c r="G1460" s="13"/>
      <c r="H1460" s="13"/>
      <c r="I1460" s="13"/>
      <c r="J1460" s="13"/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6"/>
      <c r="W1460" s="13"/>
      <c r="X1460" s="13"/>
      <c r="Y1460" s="13"/>
      <c r="Z1460" s="13"/>
      <c r="AA1460" s="17"/>
      <c r="AB1460" s="17"/>
      <c r="AC1460" s="17"/>
      <c r="AD1460" s="17"/>
      <c r="AE1460" s="17"/>
    </row>
    <row r="1461">
      <c r="A1461" s="72"/>
      <c r="B1461" s="12"/>
      <c r="C1461" s="12"/>
      <c r="D1461" s="12"/>
      <c r="E1461" s="13"/>
      <c r="F1461" s="13"/>
      <c r="G1461" s="13"/>
      <c r="H1461" s="13"/>
      <c r="I1461" s="13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6"/>
      <c r="W1461" s="13"/>
      <c r="X1461" s="13"/>
      <c r="Y1461" s="13"/>
      <c r="Z1461" s="13"/>
      <c r="AA1461" s="17"/>
      <c r="AB1461" s="17"/>
      <c r="AC1461" s="17"/>
      <c r="AD1461" s="17"/>
      <c r="AE1461" s="17"/>
    </row>
    <row r="1462">
      <c r="A1462" s="72"/>
      <c r="B1462" s="12"/>
      <c r="C1462" s="12"/>
      <c r="D1462" s="12"/>
      <c r="E1462" s="13"/>
      <c r="F1462" s="13"/>
      <c r="G1462" s="13"/>
      <c r="H1462" s="13"/>
      <c r="I1462" s="13"/>
      <c r="J1462" s="13"/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6"/>
      <c r="W1462" s="13"/>
      <c r="X1462" s="13"/>
      <c r="Y1462" s="13"/>
      <c r="Z1462" s="13"/>
      <c r="AA1462" s="17"/>
      <c r="AB1462" s="17"/>
      <c r="AC1462" s="17"/>
      <c r="AD1462" s="17"/>
      <c r="AE1462" s="17"/>
    </row>
    <row r="1463">
      <c r="A1463" s="72"/>
      <c r="B1463" s="12"/>
      <c r="C1463" s="12"/>
      <c r="D1463" s="12"/>
      <c r="E1463" s="13"/>
      <c r="F1463" s="13"/>
      <c r="G1463" s="13"/>
      <c r="H1463" s="13"/>
      <c r="I1463" s="13"/>
      <c r="J1463" s="13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6"/>
      <c r="W1463" s="13"/>
      <c r="X1463" s="13"/>
      <c r="Y1463" s="13"/>
      <c r="Z1463" s="13"/>
      <c r="AA1463" s="17"/>
      <c r="AB1463" s="17"/>
      <c r="AC1463" s="17"/>
      <c r="AD1463" s="17"/>
      <c r="AE1463" s="17"/>
    </row>
    <row r="1464">
      <c r="A1464" s="72"/>
      <c r="B1464" s="12"/>
      <c r="C1464" s="12"/>
      <c r="D1464" s="12"/>
      <c r="E1464" s="13"/>
      <c r="F1464" s="13"/>
      <c r="G1464" s="13"/>
      <c r="H1464" s="13"/>
      <c r="I1464" s="13"/>
      <c r="J1464" s="13"/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6"/>
      <c r="W1464" s="13"/>
      <c r="X1464" s="13"/>
      <c r="Y1464" s="13"/>
      <c r="Z1464" s="13"/>
      <c r="AA1464" s="17"/>
      <c r="AB1464" s="17"/>
      <c r="AC1464" s="17"/>
      <c r="AD1464" s="17"/>
      <c r="AE1464" s="17"/>
    </row>
    <row r="1465">
      <c r="A1465" s="72"/>
      <c r="B1465" s="12"/>
      <c r="C1465" s="12"/>
      <c r="D1465" s="12"/>
      <c r="E1465" s="13"/>
      <c r="F1465" s="13"/>
      <c r="G1465" s="13"/>
      <c r="H1465" s="13"/>
      <c r="I1465" s="13"/>
      <c r="J1465" s="13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6"/>
      <c r="W1465" s="13"/>
      <c r="X1465" s="13"/>
      <c r="Y1465" s="13"/>
      <c r="Z1465" s="13"/>
      <c r="AA1465" s="17"/>
      <c r="AB1465" s="17"/>
      <c r="AC1465" s="17"/>
      <c r="AD1465" s="17"/>
      <c r="AE1465" s="17"/>
    </row>
    <row r="1466">
      <c r="A1466" s="72"/>
      <c r="B1466" s="12"/>
      <c r="C1466" s="12"/>
      <c r="D1466" s="12"/>
      <c r="E1466" s="13"/>
      <c r="F1466" s="13"/>
      <c r="G1466" s="13"/>
      <c r="H1466" s="13"/>
      <c r="I1466" s="13"/>
      <c r="J1466" s="13"/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6"/>
      <c r="W1466" s="13"/>
      <c r="X1466" s="13"/>
      <c r="Y1466" s="13"/>
      <c r="Z1466" s="13"/>
      <c r="AA1466" s="17"/>
      <c r="AB1466" s="17"/>
      <c r="AC1466" s="17"/>
      <c r="AD1466" s="17"/>
      <c r="AE1466" s="17"/>
    </row>
    <row r="1467">
      <c r="A1467" s="72"/>
      <c r="B1467" s="12"/>
      <c r="C1467" s="12"/>
      <c r="D1467" s="12"/>
      <c r="E1467" s="13"/>
      <c r="F1467" s="13"/>
      <c r="G1467" s="13"/>
      <c r="H1467" s="13"/>
      <c r="I1467" s="13"/>
      <c r="J1467" s="13"/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6"/>
      <c r="W1467" s="13"/>
      <c r="X1467" s="13"/>
      <c r="Y1467" s="13"/>
      <c r="Z1467" s="13"/>
      <c r="AA1467" s="17"/>
      <c r="AB1467" s="17"/>
      <c r="AC1467" s="17"/>
      <c r="AD1467" s="17"/>
      <c r="AE1467" s="17"/>
    </row>
    <row r="1468">
      <c r="A1468" s="72"/>
      <c r="B1468" s="12"/>
      <c r="C1468" s="12"/>
      <c r="D1468" s="12"/>
      <c r="E1468" s="13"/>
      <c r="F1468" s="13"/>
      <c r="G1468" s="13"/>
      <c r="H1468" s="13"/>
      <c r="I1468" s="13"/>
      <c r="J1468" s="13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6"/>
      <c r="W1468" s="13"/>
      <c r="X1468" s="13"/>
      <c r="Y1468" s="13"/>
      <c r="Z1468" s="13"/>
      <c r="AA1468" s="17"/>
      <c r="AB1468" s="17"/>
      <c r="AC1468" s="17"/>
      <c r="AD1468" s="17"/>
      <c r="AE1468" s="17"/>
    </row>
    <row r="1469">
      <c r="A1469" s="72"/>
      <c r="B1469" s="12"/>
      <c r="C1469" s="12"/>
      <c r="D1469" s="12"/>
      <c r="E1469" s="13"/>
      <c r="F1469" s="13"/>
      <c r="G1469" s="13"/>
      <c r="H1469" s="13"/>
      <c r="I1469" s="13"/>
      <c r="J1469" s="13"/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6"/>
      <c r="W1469" s="13"/>
      <c r="X1469" s="13"/>
      <c r="Y1469" s="13"/>
      <c r="Z1469" s="13"/>
      <c r="AA1469" s="17"/>
      <c r="AB1469" s="17"/>
      <c r="AC1469" s="17"/>
      <c r="AD1469" s="17"/>
      <c r="AE1469" s="17"/>
    </row>
    <row r="1470">
      <c r="A1470" s="72"/>
      <c r="B1470" s="12"/>
      <c r="C1470" s="12"/>
      <c r="D1470" s="12"/>
      <c r="E1470" s="13"/>
      <c r="F1470" s="13"/>
      <c r="G1470" s="13"/>
      <c r="H1470" s="13"/>
      <c r="I1470" s="13"/>
      <c r="J1470" s="13"/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6"/>
      <c r="W1470" s="13"/>
      <c r="X1470" s="13"/>
      <c r="Y1470" s="13"/>
      <c r="Z1470" s="13"/>
      <c r="AA1470" s="17"/>
      <c r="AB1470" s="17"/>
      <c r="AC1470" s="17"/>
      <c r="AD1470" s="17"/>
      <c r="AE1470" s="17"/>
    </row>
    <row r="1471">
      <c r="A1471" s="72"/>
      <c r="B1471" s="12"/>
      <c r="C1471" s="12"/>
      <c r="D1471" s="12"/>
      <c r="E1471" s="13"/>
      <c r="F1471" s="13"/>
      <c r="G1471" s="13"/>
      <c r="H1471" s="13"/>
      <c r="I1471" s="13"/>
      <c r="J1471" s="13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6"/>
      <c r="W1471" s="13"/>
      <c r="X1471" s="13"/>
      <c r="Y1471" s="13"/>
      <c r="Z1471" s="13"/>
      <c r="AA1471" s="17"/>
      <c r="AB1471" s="17"/>
      <c r="AC1471" s="17"/>
      <c r="AD1471" s="17"/>
      <c r="AE1471" s="17"/>
    </row>
    <row r="1472">
      <c r="A1472" s="72"/>
      <c r="B1472" s="12"/>
      <c r="C1472" s="12"/>
      <c r="D1472" s="12"/>
      <c r="E1472" s="13"/>
      <c r="F1472" s="13"/>
      <c r="G1472" s="13"/>
      <c r="H1472" s="13"/>
      <c r="I1472" s="13"/>
      <c r="J1472" s="13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6"/>
      <c r="W1472" s="13"/>
      <c r="X1472" s="13"/>
      <c r="Y1472" s="13"/>
      <c r="Z1472" s="13"/>
      <c r="AA1472" s="17"/>
      <c r="AB1472" s="17"/>
      <c r="AC1472" s="17"/>
      <c r="AD1472" s="17"/>
      <c r="AE1472" s="17"/>
    </row>
    <row r="1473">
      <c r="A1473" s="72"/>
      <c r="B1473" s="12"/>
      <c r="C1473" s="12"/>
      <c r="D1473" s="12"/>
      <c r="E1473" s="13"/>
      <c r="F1473" s="13"/>
      <c r="G1473" s="13"/>
      <c r="H1473" s="13"/>
      <c r="I1473" s="13"/>
      <c r="J1473" s="13"/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6"/>
      <c r="W1473" s="13"/>
      <c r="X1473" s="13"/>
      <c r="Y1473" s="13"/>
      <c r="Z1473" s="13"/>
      <c r="AA1473" s="17"/>
      <c r="AB1473" s="17"/>
      <c r="AC1473" s="17"/>
      <c r="AD1473" s="17"/>
      <c r="AE1473" s="17"/>
    </row>
    <row r="1474">
      <c r="A1474" s="72"/>
      <c r="B1474" s="12"/>
      <c r="C1474" s="12"/>
      <c r="D1474" s="12"/>
      <c r="E1474" s="13"/>
      <c r="F1474" s="13"/>
      <c r="G1474" s="13"/>
      <c r="H1474" s="13"/>
      <c r="I1474" s="13"/>
      <c r="J1474" s="13"/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6"/>
      <c r="W1474" s="13"/>
      <c r="X1474" s="13"/>
      <c r="Y1474" s="13"/>
      <c r="Z1474" s="13"/>
      <c r="AA1474" s="17"/>
      <c r="AB1474" s="17"/>
      <c r="AC1474" s="17"/>
      <c r="AD1474" s="17"/>
      <c r="AE1474" s="17"/>
    </row>
    <row r="1475">
      <c r="A1475" s="72"/>
      <c r="B1475" s="12"/>
      <c r="C1475" s="12"/>
      <c r="D1475" s="12"/>
      <c r="E1475" s="13"/>
      <c r="F1475" s="13"/>
      <c r="G1475" s="13"/>
      <c r="H1475" s="13"/>
      <c r="I1475" s="13"/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6"/>
      <c r="W1475" s="13"/>
      <c r="X1475" s="13"/>
      <c r="Y1475" s="13"/>
      <c r="Z1475" s="13"/>
      <c r="AA1475" s="17"/>
      <c r="AB1475" s="17"/>
      <c r="AC1475" s="17"/>
      <c r="AD1475" s="17"/>
      <c r="AE1475" s="17"/>
    </row>
    <row r="1476">
      <c r="A1476" s="72"/>
      <c r="B1476" s="12"/>
      <c r="C1476" s="12"/>
      <c r="D1476" s="12"/>
      <c r="E1476" s="13"/>
      <c r="F1476" s="13"/>
      <c r="G1476" s="13"/>
      <c r="H1476" s="13"/>
      <c r="I1476" s="13"/>
      <c r="J1476" s="13"/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6"/>
      <c r="W1476" s="13"/>
      <c r="X1476" s="13"/>
      <c r="Y1476" s="13"/>
      <c r="Z1476" s="13"/>
      <c r="AA1476" s="17"/>
      <c r="AB1476" s="17"/>
      <c r="AC1476" s="17"/>
      <c r="AD1476" s="17"/>
      <c r="AE1476" s="17"/>
    </row>
    <row r="1477">
      <c r="A1477" s="72"/>
      <c r="B1477" s="12"/>
      <c r="C1477" s="12"/>
      <c r="D1477" s="12"/>
      <c r="E1477" s="13"/>
      <c r="F1477" s="13"/>
      <c r="G1477" s="13"/>
      <c r="H1477" s="13"/>
      <c r="I1477" s="13"/>
      <c r="J1477" s="13"/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6"/>
      <c r="W1477" s="13"/>
      <c r="X1477" s="13"/>
      <c r="Y1477" s="13"/>
      <c r="Z1477" s="13"/>
      <c r="AA1477" s="17"/>
      <c r="AB1477" s="17"/>
      <c r="AC1477" s="17"/>
      <c r="AD1477" s="17"/>
      <c r="AE1477" s="17"/>
    </row>
    <row r="1478">
      <c r="A1478" s="72"/>
      <c r="B1478" s="12"/>
      <c r="C1478" s="12"/>
      <c r="D1478" s="12"/>
      <c r="E1478" s="13"/>
      <c r="F1478" s="13"/>
      <c r="G1478" s="13"/>
      <c r="H1478" s="13"/>
      <c r="I1478" s="13"/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6"/>
      <c r="W1478" s="13"/>
      <c r="X1478" s="13"/>
      <c r="Y1478" s="13"/>
      <c r="Z1478" s="13"/>
      <c r="AA1478" s="17"/>
      <c r="AB1478" s="17"/>
      <c r="AC1478" s="17"/>
      <c r="AD1478" s="17"/>
      <c r="AE1478" s="17"/>
    </row>
    <row r="1479">
      <c r="A1479" s="72"/>
      <c r="B1479" s="12"/>
      <c r="C1479" s="12"/>
      <c r="D1479" s="12"/>
      <c r="E1479" s="13"/>
      <c r="F1479" s="13"/>
      <c r="G1479" s="13"/>
      <c r="H1479" s="13"/>
      <c r="I1479" s="13"/>
      <c r="J1479" s="13"/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6"/>
      <c r="W1479" s="13"/>
      <c r="X1479" s="13"/>
      <c r="Y1479" s="13"/>
      <c r="Z1479" s="13"/>
      <c r="AA1479" s="17"/>
      <c r="AB1479" s="17"/>
      <c r="AC1479" s="17"/>
      <c r="AD1479" s="17"/>
      <c r="AE1479" s="17"/>
    </row>
    <row r="1480">
      <c r="A1480" s="72"/>
      <c r="B1480" s="12"/>
      <c r="C1480" s="12"/>
      <c r="D1480" s="12"/>
      <c r="E1480" s="13"/>
      <c r="F1480" s="13"/>
      <c r="G1480" s="13"/>
      <c r="H1480" s="13"/>
      <c r="I1480" s="13"/>
      <c r="J1480" s="13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6"/>
      <c r="W1480" s="13"/>
      <c r="X1480" s="13"/>
      <c r="Y1480" s="13"/>
      <c r="Z1480" s="13"/>
      <c r="AA1480" s="17"/>
      <c r="AB1480" s="17"/>
      <c r="AC1480" s="17"/>
      <c r="AD1480" s="17"/>
      <c r="AE1480" s="17"/>
    </row>
    <row r="1481">
      <c r="A1481" s="72"/>
      <c r="B1481" s="12"/>
      <c r="C1481" s="12"/>
      <c r="D1481" s="12"/>
      <c r="E1481" s="13"/>
      <c r="F1481" s="13"/>
      <c r="G1481" s="13"/>
      <c r="H1481" s="13"/>
      <c r="I1481" s="13"/>
      <c r="J1481" s="13"/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6"/>
      <c r="W1481" s="13"/>
      <c r="X1481" s="13"/>
      <c r="Y1481" s="13"/>
      <c r="Z1481" s="13"/>
      <c r="AA1481" s="17"/>
      <c r="AB1481" s="17"/>
      <c r="AC1481" s="17"/>
      <c r="AD1481" s="17"/>
      <c r="AE1481" s="17"/>
    </row>
    <row r="1482">
      <c r="A1482" s="72"/>
      <c r="B1482" s="12"/>
      <c r="C1482" s="12"/>
      <c r="D1482" s="12"/>
      <c r="E1482" s="13"/>
      <c r="F1482" s="13"/>
      <c r="G1482" s="13"/>
      <c r="H1482" s="13"/>
      <c r="I1482" s="13"/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6"/>
      <c r="W1482" s="13"/>
      <c r="X1482" s="13"/>
      <c r="Y1482" s="13"/>
      <c r="Z1482" s="13"/>
      <c r="AA1482" s="17"/>
      <c r="AB1482" s="17"/>
      <c r="AC1482" s="17"/>
      <c r="AD1482" s="17"/>
      <c r="AE1482" s="17"/>
    </row>
    <row r="1483">
      <c r="A1483" s="72"/>
      <c r="B1483" s="12"/>
      <c r="C1483" s="12"/>
      <c r="D1483" s="12"/>
      <c r="E1483" s="13"/>
      <c r="F1483" s="13"/>
      <c r="G1483" s="13"/>
      <c r="H1483" s="13"/>
      <c r="I1483" s="13"/>
      <c r="J1483" s="13"/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6"/>
      <c r="W1483" s="13"/>
      <c r="X1483" s="13"/>
      <c r="Y1483" s="13"/>
      <c r="Z1483" s="13"/>
      <c r="AA1483" s="17"/>
      <c r="AB1483" s="17"/>
      <c r="AC1483" s="17"/>
      <c r="AD1483" s="17"/>
      <c r="AE1483" s="17"/>
    </row>
    <row r="1484">
      <c r="A1484" s="72"/>
      <c r="B1484" s="12"/>
      <c r="C1484" s="12"/>
      <c r="D1484" s="12"/>
      <c r="E1484" s="13"/>
      <c r="F1484" s="13"/>
      <c r="G1484" s="13"/>
      <c r="H1484" s="13"/>
      <c r="I1484" s="13"/>
      <c r="J1484" s="13"/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6"/>
      <c r="W1484" s="13"/>
      <c r="X1484" s="13"/>
      <c r="Y1484" s="13"/>
      <c r="Z1484" s="13"/>
      <c r="AA1484" s="17"/>
      <c r="AB1484" s="17"/>
      <c r="AC1484" s="17"/>
      <c r="AD1484" s="17"/>
      <c r="AE1484" s="17"/>
    </row>
    <row r="1485">
      <c r="A1485" s="72"/>
      <c r="B1485" s="12"/>
      <c r="C1485" s="12"/>
      <c r="D1485" s="12"/>
      <c r="E1485" s="13"/>
      <c r="F1485" s="13"/>
      <c r="G1485" s="13"/>
      <c r="H1485" s="13"/>
      <c r="I1485" s="13"/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6"/>
      <c r="W1485" s="13"/>
      <c r="X1485" s="13"/>
      <c r="Y1485" s="13"/>
      <c r="Z1485" s="13"/>
      <c r="AA1485" s="17"/>
      <c r="AB1485" s="17"/>
      <c r="AC1485" s="17"/>
      <c r="AD1485" s="17"/>
      <c r="AE1485" s="17"/>
    </row>
    <row r="1486">
      <c r="A1486" s="72"/>
      <c r="B1486" s="12"/>
      <c r="C1486" s="12"/>
      <c r="D1486" s="12"/>
      <c r="E1486" s="13"/>
      <c r="F1486" s="13"/>
      <c r="G1486" s="13"/>
      <c r="H1486" s="13"/>
      <c r="I1486" s="13"/>
      <c r="J1486" s="13"/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6"/>
      <c r="W1486" s="13"/>
      <c r="X1486" s="13"/>
      <c r="Y1486" s="13"/>
      <c r="Z1486" s="13"/>
      <c r="AA1486" s="17"/>
      <c r="AB1486" s="17"/>
      <c r="AC1486" s="17"/>
      <c r="AD1486" s="17"/>
      <c r="AE1486" s="17"/>
    </row>
    <row r="1487">
      <c r="A1487" s="72"/>
      <c r="B1487" s="12"/>
      <c r="C1487" s="12"/>
      <c r="D1487" s="12"/>
      <c r="E1487" s="13"/>
      <c r="F1487" s="13"/>
      <c r="G1487" s="13"/>
      <c r="H1487" s="13"/>
      <c r="I1487" s="13"/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6"/>
      <c r="W1487" s="13"/>
      <c r="X1487" s="13"/>
      <c r="Y1487" s="13"/>
      <c r="Z1487" s="13"/>
      <c r="AA1487" s="17"/>
      <c r="AB1487" s="17"/>
      <c r="AC1487" s="17"/>
      <c r="AD1487" s="17"/>
      <c r="AE1487" s="17"/>
    </row>
    <row r="1488">
      <c r="A1488" s="72"/>
      <c r="B1488" s="12"/>
      <c r="C1488" s="12"/>
      <c r="D1488" s="12"/>
      <c r="E1488" s="13"/>
      <c r="F1488" s="13"/>
      <c r="G1488" s="13"/>
      <c r="H1488" s="13"/>
      <c r="I1488" s="13"/>
      <c r="J1488" s="13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6"/>
      <c r="W1488" s="13"/>
      <c r="X1488" s="13"/>
      <c r="Y1488" s="13"/>
      <c r="Z1488" s="13"/>
      <c r="AA1488" s="17"/>
      <c r="AB1488" s="17"/>
      <c r="AC1488" s="17"/>
      <c r="AD1488" s="17"/>
      <c r="AE1488" s="17"/>
    </row>
    <row r="1489">
      <c r="A1489" s="72"/>
      <c r="B1489" s="12"/>
      <c r="C1489" s="12"/>
      <c r="D1489" s="12"/>
      <c r="E1489" s="13"/>
      <c r="F1489" s="13"/>
      <c r="G1489" s="13"/>
      <c r="H1489" s="13"/>
      <c r="I1489" s="13"/>
      <c r="J1489" s="13"/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6"/>
      <c r="W1489" s="13"/>
      <c r="X1489" s="13"/>
      <c r="Y1489" s="13"/>
      <c r="Z1489" s="13"/>
      <c r="AA1489" s="17"/>
      <c r="AB1489" s="17"/>
      <c r="AC1489" s="17"/>
      <c r="AD1489" s="17"/>
      <c r="AE1489" s="17"/>
    </row>
    <row r="1490">
      <c r="A1490" s="72"/>
      <c r="B1490" s="12"/>
      <c r="C1490" s="12"/>
      <c r="D1490" s="12"/>
      <c r="E1490" s="13"/>
      <c r="F1490" s="13"/>
      <c r="G1490" s="13"/>
      <c r="H1490" s="13"/>
      <c r="I1490" s="13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6"/>
      <c r="W1490" s="13"/>
      <c r="X1490" s="13"/>
      <c r="Y1490" s="13"/>
      <c r="Z1490" s="13"/>
      <c r="AA1490" s="17"/>
      <c r="AB1490" s="17"/>
      <c r="AC1490" s="17"/>
      <c r="AD1490" s="17"/>
      <c r="AE1490" s="17"/>
    </row>
    <row r="1491">
      <c r="A1491" s="72"/>
      <c r="B1491" s="12"/>
      <c r="C1491" s="12"/>
      <c r="D1491" s="12"/>
      <c r="E1491" s="13"/>
      <c r="F1491" s="13"/>
      <c r="G1491" s="13"/>
      <c r="H1491" s="13"/>
      <c r="I1491" s="13"/>
      <c r="J1491" s="13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6"/>
      <c r="W1491" s="13"/>
      <c r="X1491" s="13"/>
      <c r="Y1491" s="13"/>
      <c r="Z1491" s="13"/>
      <c r="AA1491" s="17"/>
      <c r="AB1491" s="17"/>
      <c r="AC1491" s="17"/>
      <c r="AD1491" s="17"/>
      <c r="AE1491" s="17"/>
    </row>
    <row r="1492">
      <c r="A1492" s="72"/>
      <c r="B1492" s="12"/>
      <c r="C1492" s="12"/>
      <c r="D1492" s="12"/>
      <c r="E1492" s="13"/>
      <c r="F1492" s="13"/>
      <c r="G1492" s="13"/>
      <c r="H1492" s="13"/>
      <c r="I1492" s="13"/>
      <c r="J1492" s="13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6"/>
      <c r="W1492" s="13"/>
      <c r="X1492" s="13"/>
      <c r="Y1492" s="13"/>
      <c r="Z1492" s="13"/>
      <c r="AA1492" s="17"/>
      <c r="AB1492" s="17"/>
      <c r="AC1492" s="17"/>
      <c r="AD1492" s="17"/>
      <c r="AE1492" s="17"/>
    </row>
    <row r="1493">
      <c r="A1493" s="72"/>
      <c r="B1493" s="12"/>
      <c r="C1493" s="12"/>
      <c r="D1493" s="12"/>
      <c r="E1493" s="13"/>
      <c r="F1493" s="13"/>
      <c r="G1493" s="13"/>
      <c r="H1493" s="13"/>
      <c r="I1493" s="13"/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6"/>
      <c r="W1493" s="13"/>
      <c r="X1493" s="13"/>
      <c r="Y1493" s="13"/>
      <c r="Z1493" s="13"/>
      <c r="AA1493" s="17"/>
      <c r="AB1493" s="17"/>
      <c r="AC1493" s="17"/>
      <c r="AD1493" s="17"/>
      <c r="AE1493" s="17"/>
    </row>
    <row r="1494">
      <c r="A1494" s="72"/>
      <c r="B1494" s="12"/>
      <c r="C1494" s="12"/>
      <c r="D1494" s="12"/>
      <c r="E1494" s="13"/>
      <c r="F1494" s="13"/>
      <c r="G1494" s="13"/>
      <c r="H1494" s="13"/>
      <c r="I1494" s="13"/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6"/>
      <c r="W1494" s="13"/>
      <c r="X1494" s="13"/>
      <c r="Y1494" s="13"/>
      <c r="Z1494" s="13"/>
      <c r="AA1494" s="17"/>
      <c r="AB1494" s="17"/>
      <c r="AC1494" s="17"/>
      <c r="AD1494" s="17"/>
      <c r="AE1494" s="17"/>
    </row>
    <row r="1495">
      <c r="A1495" s="72"/>
      <c r="B1495" s="12"/>
      <c r="C1495" s="12"/>
      <c r="D1495" s="12"/>
      <c r="E1495" s="13"/>
      <c r="F1495" s="13"/>
      <c r="G1495" s="13"/>
      <c r="H1495" s="13"/>
      <c r="I1495" s="13"/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6"/>
      <c r="W1495" s="13"/>
      <c r="X1495" s="13"/>
      <c r="Y1495" s="13"/>
      <c r="Z1495" s="13"/>
      <c r="AA1495" s="17"/>
      <c r="AB1495" s="17"/>
      <c r="AC1495" s="17"/>
      <c r="AD1495" s="17"/>
      <c r="AE1495" s="17"/>
    </row>
    <row r="1496">
      <c r="A1496" s="72"/>
      <c r="B1496" s="12"/>
      <c r="C1496" s="12"/>
      <c r="D1496" s="12"/>
      <c r="E1496" s="13"/>
      <c r="F1496" s="13"/>
      <c r="G1496" s="13"/>
      <c r="H1496" s="13"/>
      <c r="I1496" s="13"/>
      <c r="J1496" s="13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6"/>
      <c r="W1496" s="13"/>
      <c r="X1496" s="13"/>
      <c r="Y1496" s="13"/>
      <c r="Z1496" s="13"/>
      <c r="AA1496" s="17"/>
      <c r="AB1496" s="17"/>
      <c r="AC1496" s="17"/>
      <c r="AD1496" s="17"/>
      <c r="AE1496" s="17"/>
    </row>
    <row r="1497">
      <c r="A1497" s="72"/>
      <c r="B1497" s="12"/>
      <c r="C1497" s="12"/>
      <c r="D1497" s="12"/>
      <c r="E1497" s="13"/>
      <c r="F1497" s="13"/>
      <c r="G1497" s="13"/>
      <c r="H1497" s="13"/>
      <c r="I1497" s="13"/>
      <c r="J1497" s="13"/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6"/>
      <c r="W1497" s="13"/>
      <c r="X1497" s="13"/>
      <c r="Y1497" s="13"/>
      <c r="Z1497" s="13"/>
      <c r="AA1497" s="17"/>
      <c r="AB1497" s="17"/>
      <c r="AC1497" s="17"/>
      <c r="AD1497" s="17"/>
      <c r="AE1497" s="17"/>
    </row>
    <row r="1498">
      <c r="A1498" s="72"/>
      <c r="B1498" s="12"/>
      <c r="C1498" s="12"/>
      <c r="D1498" s="12"/>
      <c r="E1498" s="13"/>
      <c r="F1498" s="13"/>
      <c r="G1498" s="13"/>
      <c r="H1498" s="13"/>
      <c r="I1498" s="13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6"/>
      <c r="W1498" s="13"/>
      <c r="X1498" s="13"/>
      <c r="Y1498" s="13"/>
      <c r="Z1498" s="13"/>
      <c r="AA1498" s="17"/>
      <c r="AB1498" s="17"/>
      <c r="AC1498" s="17"/>
      <c r="AD1498" s="17"/>
      <c r="AE1498" s="17"/>
    </row>
    <row r="1499">
      <c r="A1499" s="72"/>
      <c r="B1499" s="12"/>
      <c r="C1499" s="12"/>
      <c r="D1499" s="12"/>
      <c r="E1499" s="13"/>
      <c r="F1499" s="13"/>
      <c r="G1499" s="13"/>
      <c r="H1499" s="13"/>
      <c r="I1499" s="13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6"/>
      <c r="W1499" s="13"/>
      <c r="X1499" s="13"/>
      <c r="Y1499" s="13"/>
      <c r="Z1499" s="13"/>
      <c r="AA1499" s="17"/>
      <c r="AB1499" s="17"/>
      <c r="AC1499" s="17"/>
      <c r="AD1499" s="17"/>
      <c r="AE1499" s="17"/>
    </row>
    <row r="1500">
      <c r="A1500" s="72"/>
      <c r="B1500" s="12"/>
      <c r="C1500" s="12"/>
      <c r="D1500" s="12"/>
      <c r="E1500" s="13"/>
      <c r="F1500" s="13"/>
      <c r="G1500" s="13"/>
      <c r="H1500" s="13"/>
      <c r="I1500" s="13"/>
      <c r="J1500" s="13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6"/>
      <c r="W1500" s="13"/>
      <c r="X1500" s="13"/>
      <c r="Y1500" s="13"/>
      <c r="Z1500" s="13"/>
      <c r="AA1500" s="17"/>
      <c r="AB1500" s="17"/>
      <c r="AC1500" s="17"/>
      <c r="AD1500" s="17"/>
      <c r="AE1500" s="17"/>
    </row>
    <row r="1501">
      <c r="A1501" s="72"/>
      <c r="B1501" s="12"/>
      <c r="C1501" s="12"/>
      <c r="D1501" s="12"/>
      <c r="E1501" s="13"/>
      <c r="F1501" s="13"/>
      <c r="G1501" s="13"/>
      <c r="H1501" s="13"/>
      <c r="I1501" s="13"/>
      <c r="J1501" s="13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6"/>
      <c r="W1501" s="13"/>
      <c r="X1501" s="13"/>
      <c r="Y1501" s="13"/>
      <c r="Z1501" s="13"/>
      <c r="AA1501" s="17"/>
      <c r="AB1501" s="17"/>
      <c r="AC1501" s="17"/>
      <c r="AD1501" s="17"/>
      <c r="AE1501" s="17"/>
    </row>
    <row r="1502">
      <c r="A1502" s="72"/>
      <c r="B1502" s="12"/>
      <c r="C1502" s="12"/>
      <c r="D1502" s="12"/>
      <c r="E1502" s="13"/>
      <c r="F1502" s="13"/>
      <c r="G1502" s="13"/>
      <c r="H1502" s="13"/>
      <c r="I1502" s="13"/>
      <c r="J1502" s="13"/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6"/>
      <c r="W1502" s="13"/>
      <c r="X1502" s="13"/>
      <c r="Y1502" s="13"/>
      <c r="Z1502" s="13"/>
      <c r="AA1502" s="17"/>
      <c r="AB1502" s="17"/>
      <c r="AC1502" s="17"/>
      <c r="AD1502" s="17"/>
      <c r="AE1502" s="17"/>
    </row>
    <row r="1503">
      <c r="A1503" s="72"/>
      <c r="B1503" s="12"/>
      <c r="C1503" s="12"/>
      <c r="D1503" s="12"/>
      <c r="E1503" s="13"/>
      <c r="F1503" s="13"/>
      <c r="G1503" s="13"/>
      <c r="H1503" s="13"/>
      <c r="I1503" s="13"/>
      <c r="J1503" s="13"/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6"/>
      <c r="W1503" s="13"/>
      <c r="X1503" s="13"/>
      <c r="Y1503" s="13"/>
      <c r="Z1503" s="13"/>
      <c r="AA1503" s="17"/>
      <c r="AB1503" s="17"/>
      <c r="AC1503" s="17"/>
      <c r="AD1503" s="17"/>
      <c r="AE1503" s="17"/>
    </row>
    <row r="1504">
      <c r="A1504" s="72"/>
      <c r="B1504" s="12"/>
      <c r="C1504" s="12"/>
      <c r="D1504" s="12"/>
      <c r="E1504" s="13"/>
      <c r="F1504" s="13"/>
      <c r="G1504" s="13"/>
      <c r="H1504" s="13"/>
      <c r="I1504" s="13"/>
      <c r="J1504" s="13"/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6"/>
      <c r="W1504" s="13"/>
      <c r="X1504" s="13"/>
      <c r="Y1504" s="13"/>
      <c r="Z1504" s="13"/>
      <c r="AA1504" s="17"/>
      <c r="AB1504" s="17"/>
      <c r="AC1504" s="17"/>
      <c r="AD1504" s="17"/>
      <c r="AE1504" s="17"/>
    </row>
    <row r="1505">
      <c r="A1505" s="72"/>
      <c r="B1505" s="12"/>
      <c r="C1505" s="12"/>
      <c r="D1505" s="12"/>
      <c r="E1505" s="13"/>
      <c r="F1505" s="13"/>
      <c r="G1505" s="13"/>
      <c r="H1505" s="13"/>
      <c r="I1505" s="13"/>
      <c r="J1505" s="13"/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6"/>
      <c r="W1505" s="13"/>
      <c r="X1505" s="13"/>
      <c r="Y1505" s="13"/>
      <c r="Z1505" s="13"/>
      <c r="AA1505" s="17"/>
      <c r="AB1505" s="17"/>
      <c r="AC1505" s="17"/>
      <c r="AD1505" s="17"/>
      <c r="AE1505" s="17"/>
    </row>
    <row r="1506">
      <c r="A1506" s="72"/>
      <c r="B1506" s="12"/>
      <c r="C1506" s="12"/>
      <c r="D1506" s="12"/>
      <c r="E1506" s="13"/>
      <c r="F1506" s="13"/>
      <c r="G1506" s="13"/>
      <c r="H1506" s="13"/>
      <c r="I1506" s="13"/>
      <c r="J1506" s="13"/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6"/>
      <c r="W1506" s="13"/>
      <c r="X1506" s="13"/>
      <c r="Y1506" s="13"/>
      <c r="Z1506" s="13"/>
      <c r="AA1506" s="17"/>
      <c r="AB1506" s="17"/>
      <c r="AC1506" s="17"/>
      <c r="AD1506" s="17"/>
      <c r="AE1506" s="17"/>
    </row>
    <row r="1507">
      <c r="A1507" s="72"/>
      <c r="B1507" s="12"/>
      <c r="C1507" s="12"/>
      <c r="D1507" s="12"/>
      <c r="E1507" s="13"/>
      <c r="F1507" s="13"/>
      <c r="G1507" s="13"/>
      <c r="H1507" s="13"/>
      <c r="I1507" s="13"/>
      <c r="J1507" s="13"/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6"/>
      <c r="W1507" s="13"/>
      <c r="X1507" s="13"/>
      <c r="Y1507" s="13"/>
      <c r="Z1507" s="13"/>
      <c r="AA1507" s="17"/>
      <c r="AB1507" s="17"/>
      <c r="AC1507" s="17"/>
      <c r="AD1507" s="17"/>
      <c r="AE1507" s="17"/>
    </row>
    <row r="1508">
      <c r="A1508" s="72"/>
      <c r="B1508" s="12"/>
      <c r="C1508" s="12"/>
      <c r="D1508" s="12"/>
      <c r="E1508" s="13"/>
      <c r="F1508" s="13"/>
      <c r="G1508" s="13"/>
      <c r="H1508" s="13"/>
      <c r="I1508" s="13"/>
      <c r="J1508" s="13"/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6"/>
      <c r="W1508" s="13"/>
      <c r="X1508" s="13"/>
      <c r="Y1508" s="13"/>
      <c r="Z1508" s="13"/>
      <c r="AA1508" s="17"/>
      <c r="AB1508" s="17"/>
      <c r="AC1508" s="17"/>
      <c r="AD1508" s="17"/>
      <c r="AE1508" s="17"/>
    </row>
    <row r="1509">
      <c r="A1509" s="72"/>
      <c r="B1509" s="12"/>
      <c r="C1509" s="12"/>
      <c r="D1509" s="12"/>
      <c r="E1509" s="13"/>
      <c r="F1509" s="13"/>
      <c r="G1509" s="13"/>
      <c r="H1509" s="13"/>
      <c r="I1509" s="13"/>
      <c r="J1509" s="13"/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6"/>
      <c r="W1509" s="13"/>
      <c r="X1509" s="13"/>
      <c r="Y1509" s="13"/>
      <c r="Z1509" s="13"/>
      <c r="AA1509" s="17"/>
      <c r="AB1509" s="17"/>
      <c r="AC1509" s="17"/>
      <c r="AD1509" s="17"/>
      <c r="AE1509" s="17"/>
    </row>
    <row r="1510">
      <c r="A1510" s="72"/>
      <c r="B1510" s="12"/>
      <c r="C1510" s="12"/>
      <c r="D1510" s="12"/>
      <c r="E1510" s="13"/>
      <c r="F1510" s="13"/>
      <c r="G1510" s="13"/>
      <c r="H1510" s="13"/>
      <c r="I1510" s="13"/>
      <c r="J1510" s="13"/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6"/>
      <c r="W1510" s="13"/>
      <c r="X1510" s="13"/>
      <c r="Y1510" s="13"/>
      <c r="Z1510" s="13"/>
      <c r="AA1510" s="17"/>
      <c r="AB1510" s="17"/>
      <c r="AC1510" s="17"/>
      <c r="AD1510" s="17"/>
      <c r="AE1510" s="17"/>
    </row>
    <row r="1511">
      <c r="A1511" s="72"/>
      <c r="B1511" s="12"/>
      <c r="C1511" s="12"/>
      <c r="D1511" s="12"/>
      <c r="E1511" s="13"/>
      <c r="F1511" s="13"/>
      <c r="G1511" s="13"/>
      <c r="H1511" s="13"/>
      <c r="I1511" s="13"/>
      <c r="J1511" s="13"/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6"/>
      <c r="W1511" s="13"/>
      <c r="X1511" s="13"/>
      <c r="Y1511" s="13"/>
      <c r="Z1511" s="13"/>
      <c r="AA1511" s="17"/>
      <c r="AB1511" s="17"/>
      <c r="AC1511" s="17"/>
      <c r="AD1511" s="17"/>
      <c r="AE1511" s="17"/>
    </row>
    <row r="1512">
      <c r="A1512" s="72"/>
      <c r="B1512" s="12"/>
      <c r="C1512" s="12"/>
      <c r="D1512" s="12"/>
      <c r="E1512" s="13"/>
      <c r="F1512" s="13"/>
      <c r="G1512" s="13"/>
      <c r="H1512" s="13"/>
      <c r="I1512" s="13"/>
      <c r="J1512" s="13"/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6"/>
      <c r="W1512" s="13"/>
      <c r="X1512" s="13"/>
      <c r="Y1512" s="13"/>
      <c r="Z1512" s="13"/>
      <c r="AA1512" s="17"/>
      <c r="AB1512" s="17"/>
      <c r="AC1512" s="17"/>
      <c r="AD1512" s="17"/>
      <c r="AE1512" s="17"/>
    </row>
    <row r="1513">
      <c r="A1513" s="72"/>
      <c r="B1513" s="12"/>
      <c r="C1513" s="12"/>
      <c r="D1513" s="12"/>
      <c r="E1513" s="13"/>
      <c r="F1513" s="13"/>
      <c r="G1513" s="13"/>
      <c r="H1513" s="13"/>
      <c r="I1513" s="13"/>
      <c r="J1513" s="13"/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6"/>
      <c r="W1513" s="13"/>
      <c r="X1513" s="13"/>
      <c r="Y1513" s="13"/>
      <c r="Z1513" s="13"/>
      <c r="AA1513" s="17"/>
      <c r="AB1513" s="17"/>
      <c r="AC1513" s="17"/>
      <c r="AD1513" s="17"/>
      <c r="AE1513" s="17"/>
    </row>
    <row r="1514">
      <c r="A1514" s="72"/>
      <c r="B1514" s="12"/>
      <c r="C1514" s="12"/>
      <c r="D1514" s="12"/>
      <c r="E1514" s="13"/>
      <c r="F1514" s="13"/>
      <c r="G1514" s="13"/>
      <c r="H1514" s="13"/>
      <c r="I1514" s="13"/>
      <c r="J1514" s="13"/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6"/>
      <c r="W1514" s="13"/>
      <c r="X1514" s="13"/>
      <c r="Y1514" s="13"/>
      <c r="Z1514" s="13"/>
      <c r="AA1514" s="17"/>
      <c r="AB1514" s="17"/>
      <c r="AC1514" s="17"/>
      <c r="AD1514" s="17"/>
      <c r="AE1514" s="17"/>
    </row>
    <row r="1515">
      <c r="A1515" s="72"/>
      <c r="B1515" s="12"/>
      <c r="C1515" s="12"/>
      <c r="D1515" s="12"/>
      <c r="E1515" s="13"/>
      <c r="F1515" s="13"/>
      <c r="G1515" s="13"/>
      <c r="H1515" s="13"/>
      <c r="I1515" s="13"/>
      <c r="J1515" s="13"/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6"/>
      <c r="W1515" s="13"/>
      <c r="X1515" s="13"/>
      <c r="Y1515" s="13"/>
      <c r="Z1515" s="13"/>
      <c r="AA1515" s="17"/>
      <c r="AB1515" s="17"/>
      <c r="AC1515" s="17"/>
      <c r="AD1515" s="17"/>
      <c r="AE1515" s="17"/>
    </row>
    <row r="1516">
      <c r="A1516" s="72"/>
      <c r="B1516" s="12"/>
      <c r="C1516" s="12"/>
      <c r="D1516" s="12"/>
      <c r="E1516" s="13"/>
      <c r="F1516" s="13"/>
      <c r="G1516" s="13"/>
      <c r="H1516" s="13"/>
      <c r="I1516" s="13"/>
      <c r="J1516" s="13"/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6"/>
      <c r="W1516" s="13"/>
      <c r="X1516" s="13"/>
      <c r="Y1516" s="13"/>
      <c r="Z1516" s="13"/>
      <c r="AA1516" s="17"/>
      <c r="AB1516" s="17"/>
      <c r="AC1516" s="17"/>
      <c r="AD1516" s="17"/>
      <c r="AE1516" s="17"/>
    </row>
    <row r="1517">
      <c r="A1517" s="72"/>
      <c r="B1517" s="12"/>
      <c r="C1517" s="12"/>
      <c r="D1517" s="12"/>
      <c r="E1517" s="13"/>
      <c r="F1517" s="13"/>
      <c r="G1517" s="13"/>
      <c r="H1517" s="13"/>
      <c r="I1517" s="13"/>
      <c r="J1517" s="13"/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6"/>
      <c r="W1517" s="13"/>
      <c r="X1517" s="13"/>
      <c r="Y1517" s="13"/>
      <c r="Z1517" s="13"/>
      <c r="AA1517" s="17"/>
      <c r="AB1517" s="17"/>
      <c r="AC1517" s="17"/>
      <c r="AD1517" s="17"/>
      <c r="AE1517" s="17"/>
    </row>
    <row r="1518">
      <c r="A1518" s="72"/>
      <c r="B1518" s="12"/>
      <c r="C1518" s="12"/>
      <c r="D1518" s="12"/>
      <c r="E1518" s="13"/>
      <c r="F1518" s="13"/>
      <c r="G1518" s="13"/>
      <c r="H1518" s="13"/>
      <c r="I1518" s="13"/>
      <c r="J1518" s="13"/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6"/>
      <c r="W1518" s="13"/>
      <c r="X1518" s="13"/>
      <c r="Y1518" s="13"/>
      <c r="Z1518" s="13"/>
      <c r="AA1518" s="17"/>
      <c r="AB1518" s="17"/>
      <c r="AC1518" s="17"/>
      <c r="AD1518" s="17"/>
      <c r="AE1518" s="17"/>
    </row>
    <row r="1519">
      <c r="A1519" s="72"/>
      <c r="B1519" s="12"/>
      <c r="C1519" s="12"/>
      <c r="D1519" s="12"/>
      <c r="E1519" s="13"/>
      <c r="F1519" s="13"/>
      <c r="G1519" s="13"/>
      <c r="H1519" s="13"/>
      <c r="I1519" s="13"/>
      <c r="J1519" s="13"/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6"/>
      <c r="W1519" s="13"/>
      <c r="X1519" s="13"/>
      <c r="Y1519" s="13"/>
      <c r="Z1519" s="13"/>
      <c r="AA1519" s="17"/>
      <c r="AB1519" s="17"/>
      <c r="AC1519" s="17"/>
      <c r="AD1519" s="17"/>
      <c r="AE1519" s="17"/>
    </row>
    <row r="1520">
      <c r="A1520" s="72"/>
      <c r="B1520" s="12"/>
      <c r="C1520" s="12"/>
      <c r="D1520" s="12"/>
      <c r="E1520" s="13"/>
      <c r="F1520" s="13"/>
      <c r="G1520" s="13"/>
      <c r="H1520" s="13"/>
      <c r="I1520" s="13"/>
      <c r="J1520" s="13"/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6"/>
      <c r="W1520" s="13"/>
      <c r="X1520" s="13"/>
      <c r="Y1520" s="13"/>
      <c r="Z1520" s="13"/>
      <c r="AA1520" s="17"/>
      <c r="AB1520" s="17"/>
      <c r="AC1520" s="17"/>
      <c r="AD1520" s="17"/>
      <c r="AE1520" s="17"/>
    </row>
    <row r="1521">
      <c r="A1521" s="72"/>
      <c r="B1521" s="12"/>
      <c r="C1521" s="12"/>
      <c r="D1521" s="12"/>
      <c r="E1521" s="13"/>
      <c r="F1521" s="13"/>
      <c r="G1521" s="13"/>
      <c r="H1521" s="13"/>
      <c r="I1521" s="13"/>
      <c r="J1521" s="13"/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6"/>
      <c r="W1521" s="13"/>
      <c r="X1521" s="13"/>
      <c r="Y1521" s="13"/>
      <c r="Z1521" s="13"/>
      <c r="AA1521" s="17"/>
      <c r="AB1521" s="17"/>
      <c r="AC1521" s="17"/>
      <c r="AD1521" s="17"/>
      <c r="AE1521" s="17"/>
    </row>
    <row r="1522">
      <c r="A1522" s="72"/>
      <c r="B1522" s="12"/>
      <c r="C1522" s="12"/>
      <c r="D1522" s="12"/>
      <c r="E1522" s="13"/>
      <c r="F1522" s="13"/>
      <c r="G1522" s="13"/>
      <c r="H1522" s="13"/>
      <c r="I1522" s="13"/>
      <c r="J1522" s="13"/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6"/>
      <c r="W1522" s="13"/>
      <c r="X1522" s="13"/>
      <c r="Y1522" s="13"/>
      <c r="Z1522" s="13"/>
      <c r="AA1522" s="17"/>
      <c r="AB1522" s="17"/>
      <c r="AC1522" s="17"/>
      <c r="AD1522" s="17"/>
      <c r="AE1522" s="17"/>
    </row>
    <row r="1523">
      <c r="A1523" s="72"/>
      <c r="B1523" s="12"/>
      <c r="C1523" s="12"/>
      <c r="D1523" s="12"/>
      <c r="E1523" s="13"/>
      <c r="F1523" s="13"/>
      <c r="G1523" s="13"/>
      <c r="H1523" s="13"/>
      <c r="I1523" s="13"/>
      <c r="J1523" s="13"/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6"/>
      <c r="W1523" s="13"/>
      <c r="X1523" s="13"/>
      <c r="Y1523" s="13"/>
      <c r="Z1523" s="13"/>
      <c r="AA1523" s="17"/>
      <c r="AB1523" s="17"/>
      <c r="AC1523" s="17"/>
      <c r="AD1523" s="17"/>
      <c r="AE1523" s="17"/>
    </row>
    <row r="1524">
      <c r="A1524" s="72"/>
      <c r="B1524" s="12"/>
      <c r="C1524" s="12"/>
      <c r="D1524" s="12"/>
      <c r="E1524" s="13"/>
      <c r="F1524" s="13"/>
      <c r="G1524" s="13"/>
      <c r="H1524" s="13"/>
      <c r="I1524" s="13"/>
      <c r="J1524" s="13"/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6"/>
      <c r="W1524" s="13"/>
      <c r="X1524" s="13"/>
      <c r="Y1524" s="13"/>
      <c r="Z1524" s="13"/>
      <c r="AA1524" s="17"/>
      <c r="AB1524" s="17"/>
      <c r="AC1524" s="17"/>
      <c r="AD1524" s="17"/>
      <c r="AE1524" s="17"/>
    </row>
    <row r="1525">
      <c r="A1525" s="72"/>
      <c r="B1525" s="12"/>
      <c r="C1525" s="12"/>
      <c r="D1525" s="12"/>
      <c r="E1525" s="13"/>
      <c r="F1525" s="13"/>
      <c r="G1525" s="13"/>
      <c r="H1525" s="13"/>
      <c r="I1525" s="13"/>
      <c r="J1525" s="13"/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6"/>
      <c r="W1525" s="13"/>
      <c r="X1525" s="13"/>
      <c r="Y1525" s="13"/>
      <c r="Z1525" s="13"/>
      <c r="AA1525" s="17"/>
      <c r="AB1525" s="17"/>
      <c r="AC1525" s="17"/>
      <c r="AD1525" s="17"/>
      <c r="AE1525" s="17"/>
    </row>
    <row r="1526">
      <c r="A1526" s="72"/>
      <c r="B1526" s="12"/>
      <c r="C1526" s="12"/>
      <c r="D1526" s="12"/>
      <c r="E1526" s="13"/>
      <c r="F1526" s="13"/>
      <c r="G1526" s="13"/>
      <c r="H1526" s="13"/>
      <c r="I1526" s="13"/>
      <c r="J1526" s="13"/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6"/>
      <c r="W1526" s="13"/>
      <c r="X1526" s="13"/>
      <c r="Y1526" s="13"/>
      <c r="Z1526" s="13"/>
      <c r="AA1526" s="17"/>
      <c r="AB1526" s="17"/>
      <c r="AC1526" s="17"/>
      <c r="AD1526" s="17"/>
      <c r="AE1526" s="17"/>
    </row>
    <row r="1527">
      <c r="A1527" s="72"/>
      <c r="B1527" s="12"/>
      <c r="C1527" s="12"/>
      <c r="D1527" s="12"/>
      <c r="E1527" s="13"/>
      <c r="F1527" s="13"/>
      <c r="G1527" s="13"/>
      <c r="H1527" s="13"/>
      <c r="I1527" s="13"/>
      <c r="J1527" s="13"/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6"/>
      <c r="W1527" s="13"/>
      <c r="X1527" s="13"/>
      <c r="Y1527" s="13"/>
      <c r="Z1527" s="13"/>
      <c r="AA1527" s="17"/>
      <c r="AB1527" s="17"/>
      <c r="AC1527" s="17"/>
      <c r="AD1527" s="17"/>
      <c r="AE1527" s="17"/>
    </row>
    <row r="1528">
      <c r="A1528" s="72"/>
      <c r="B1528" s="12"/>
      <c r="C1528" s="12"/>
      <c r="D1528" s="12"/>
      <c r="E1528" s="13"/>
      <c r="F1528" s="13"/>
      <c r="G1528" s="13"/>
      <c r="H1528" s="13"/>
      <c r="I1528" s="13"/>
      <c r="J1528" s="13"/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6"/>
      <c r="W1528" s="13"/>
      <c r="X1528" s="13"/>
      <c r="Y1528" s="13"/>
      <c r="Z1528" s="13"/>
      <c r="AA1528" s="17"/>
      <c r="AB1528" s="17"/>
      <c r="AC1528" s="17"/>
      <c r="AD1528" s="17"/>
      <c r="AE1528" s="17"/>
    </row>
    <row r="1529">
      <c r="A1529" s="72"/>
      <c r="B1529" s="12"/>
      <c r="C1529" s="12"/>
      <c r="D1529" s="12"/>
      <c r="E1529" s="13"/>
      <c r="F1529" s="13"/>
      <c r="G1529" s="13"/>
      <c r="H1529" s="13"/>
      <c r="I1529" s="13"/>
      <c r="J1529" s="13"/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6"/>
      <c r="W1529" s="13"/>
      <c r="X1529" s="13"/>
      <c r="Y1529" s="13"/>
      <c r="Z1529" s="13"/>
      <c r="AA1529" s="17"/>
      <c r="AB1529" s="17"/>
      <c r="AC1529" s="17"/>
      <c r="AD1529" s="17"/>
      <c r="AE1529" s="17"/>
    </row>
    <row r="1530">
      <c r="A1530" s="72"/>
      <c r="B1530" s="12"/>
      <c r="C1530" s="12"/>
      <c r="D1530" s="12"/>
      <c r="E1530" s="13"/>
      <c r="F1530" s="13"/>
      <c r="G1530" s="13"/>
      <c r="H1530" s="13"/>
      <c r="I1530" s="13"/>
      <c r="J1530" s="13"/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6"/>
      <c r="W1530" s="13"/>
      <c r="X1530" s="13"/>
      <c r="Y1530" s="13"/>
      <c r="Z1530" s="13"/>
      <c r="AA1530" s="17"/>
      <c r="AB1530" s="17"/>
      <c r="AC1530" s="17"/>
      <c r="AD1530" s="17"/>
      <c r="AE1530" s="17"/>
    </row>
    <row r="1531">
      <c r="A1531" s="72"/>
      <c r="B1531" s="12"/>
      <c r="C1531" s="12"/>
      <c r="D1531" s="12"/>
      <c r="E1531" s="13"/>
      <c r="F1531" s="13"/>
      <c r="G1531" s="13"/>
      <c r="H1531" s="13"/>
      <c r="I1531" s="13"/>
      <c r="J1531" s="13"/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6"/>
      <c r="W1531" s="13"/>
      <c r="X1531" s="13"/>
      <c r="Y1531" s="13"/>
      <c r="Z1531" s="13"/>
      <c r="AA1531" s="17"/>
      <c r="AB1531" s="17"/>
      <c r="AC1531" s="17"/>
      <c r="AD1531" s="17"/>
      <c r="AE1531" s="17"/>
    </row>
    <row r="1532">
      <c r="A1532" s="72"/>
      <c r="B1532" s="12"/>
      <c r="C1532" s="12"/>
      <c r="D1532" s="12"/>
      <c r="E1532" s="13"/>
      <c r="F1532" s="13"/>
      <c r="G1532" s="13"/>
      <c r="H1532" s="13"/>
      <c r="I1532" s="13"/>
      <c r="J1532" s="13"/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6"/>
      <c r="W1532" s="13"/>
      <c r="X1532" s="13"/>
      <c r="Y1532" s="13"/>
      <c r="Z1532" s="13"/>
      <c r="AA1532" s="17"/>
      <c r="AB1532" s="17"/>
      <c r="AC1532" s="17"/>
      <c r="AD1532" s="17"/>
      <c r="AE1532" s="17"/>
    </row>
    <row r="1533">
      <c r="A1533" s="72"/>
      <c r="B1533" s="12"/>
      <c r="C1533" s="12"/>
      <c r="D1533" s="12"/>
      <c r="E1533" s="13"/>
      <c r="F1533" s="13"/>
      <c r="G1533" s="13"/>
      <c r="H1533" s="13"/>
      <c r="I1533" s="13"/>
      <c r="J1533" s="13"/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6"/>
      <c r="W1533" s="13"/>
      <c r="X1533" s="13"/>
      <c r="Y1533" s="13"/>
      <c r="Z1533" s="13"/>
      <c r="AA1533" s="17"/>
      <c r="AB1533" s="17"/>
      <c r="AC1533" s="17"/>
      <c r="AD1533" s="17"/>
      <c r="AE1533" s="17"/>
    </row>
    <row r="1534">
      <c r="A1534" s="72"/>
      <c r="B1534" s="12"/>
      <c r="C1534" s="12"/>
      <c r="D1534" s="12"/>
      <c r="E1534" s="13"/>
      <c r="F1534" s="13"/>
      <c r="G1534" s="13"/>
      <c r="H1534" s="13"/>
      <c r="I1534" s="13"/>
      <c r="J1534" s="13"/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6"/>
      <c r="W1534" s="13"/>
      <c r="X1534" s="13"/>
      <c r="Y1534" s="13"/>
      <c r="Z1534" s="13"/>
      <c r="AA1534" s="17"/>
      <c r="AB1534" s="17"/>
      <c r="AC1534" s="17"/>
      <c r="AD1534" s="17"/>
      <c r="AE1534" s="17"/>
    </row>
    <row r="1535">
      <c r="A1535" s="72"/>
      <c r="B1535" s="12"/>
      <c r="C1535" s="12"/>
      <c r="D1535" s="12"/>
      <c r="E1535" s="13"/>
      <c r="F1535" s="13"/>
      <c r="G1535" s="13"/>
      <c r="H1535" s="13"/>
      <c r="I1535" s="13"/>
      <c r="J1535" s="13"/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6"/>
      <c r="W1535" s="13"/>
      <c r="X1535" s="13"/>
      <c r="Y1535" s="13"/>
      <c r="Z1535" s="13"/>
      <c r="AA1535" s="17"/>
      <c r="AB1535" s="17"/>
      <c r="AC1535" s="17"/>
      <c r="AD1535" s="17"/>
      <c r="AE1535" s="17"/>
    </row>
    <row r="1536">
      <c r="A1536" s="72"/>
      <c r="B1536" s="12"/>
      <c r="C1536" s="12"/>
      <c r="D1536" s="12"/>
      <c r="E1536" s="13"/>
      <c r="F1536" s="13"/>
      <c r="G1536" s="13"/>
      <c r="H1536" s="13"/>
      <c r="I1536" s="13"/>
      <c r="J1536" s="13"/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6"/>
      <c r="W1536" s="13"/>
      <c r="X1536" s="13"/>
      <c r="Y1536" s="13"/>
      <c r="Z1536" s="13"/>
      <c r="AA1536" s="17"/>
      <c r="AB1536" s="17"/>
      <c r="AC1536" s="17"/>
      <c r="AD1536" s="17"/>
      <c r="AE1536" s="17"/>
    </row>
    <row r="1537">
      <c r="A1537" s="72"/>
      <c r="B1537" s="12"/>
      <c r="C1537" s="12"/>
      <c r="D1537" s="12"/>
      <c r="E1537" s="13"/>
      <c r="F1537" s="13"/>
      <c r="G1537" s="13"/>
      <c r="H1537" s="13"/>
      <c r="I1537" s="13"/>
      <c r="J1537" s="13"/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6"/>
      <c r="W1537" s="13"/>
      <c r="X1537" s="13"/>
      <c r="Y1537" s="13"/>
      <c r="Z1537" s="13"/>
      <c r="AA1537" s="17"/>
      <c r="AB1537" s="17"/>
      <c r="AC1537" s="17"/>
      <c r="AD1537" s="17"/>
      <c r="AE1537" s="17"/>
    </row>
    <row r="1538">
      <c r="A1538" s="72"/>
      <c r="B1538" s="12"/>
      <c r="C1538" s="12"/>
      <c r="D1538" s="12"/>
      <c r="E1538" s="13"/>
      <c r="F1538" s="13"/>
      <c r="G1538" s="13"/>
      <c r="H1538" s="13"/>
      <c r="I1538" s="13"/>
      <c r="J1538" s="13"/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6"/>
      <c r="W1538" s="13"/>
      <c r="X1538" s="13"/>
      <c r="Y1538" s="13"/>
      <c r="Z1538" s="13"/>
      <c r="AA1538" s="17"/>
      <c r="AB1538" s="17"/>
      <c r="AC1538" s="17"/>
      <c r="AD1538" s="17"/>
      <c r="AE1538" s="17"/>
    </row>
    <row r="1539">
      <c r="A1539" s="72"/>
      <c r="B1539" s="12"/>
      <c r="C1539" s="12"/>
      <c r="D1539" s="12"/>
      <c r="E1539" s="13"/>
      <c r="F1539" s="13"/>
      <c r="G1539" s="13"/>
      <c r="H1539" s="13"/>
      <c r="I1539" s="13"/>
      <c r="J1539" s="13"/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6"/>
      <c r="W1539" s="13"/>
      <c r="X1539" s="13"/>
      <c r="Y1539" s="13"/>
      <c r="Z1539" s="13"/>
      <c r="AA1539" s="17"/>
      <c r="AB1539" s="17"/>
      <c r="AC1539" s="17"/>
      <c r="AD1539" s="17"/>
      <c r="AE1539" s="17"/>
    </row>
    <row r="1540">
      <c r="A1540" s="72"/>
      <c r="B1540" s="12"/>
      <c r="C1540" s="12"/>
      <c r="D1540" s="12"/>
      <c r="E1540" s="13"/>
      <c r="F1540" s="13"/>
      <c r="G1540" s="13"/>
      <c r="H1540" s="13"/>
      <c r="I1540" s="13"/>
      <c r="J1540" s="13"/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6"/>
      <c r="W1540" s="13"/>
      <c r="X1540" s="13"/>
      <c r="Y1540" s="13"/>
      <c r="Z1540" s="13"/>
      <c r="AA1540" s="17"/>
      <c r="AB1540" s="17"/>
      <c r="AC1540" s="17"/>
      <c r="AD1540" s="17"/>
      <c r="AE1540" s="17"/>
    </row>
    <row r="1541">
      <c r="A1541" s="72"/>
      <c r="B1541" s="12"/>
      <c r="C1541" s="12"/>
      <c r="D1541" s="12"/>
      <c r="E1541" s="13"/>
      <c r="F1541" s="13"/>
      <c r="G1541" s="13"/>
      <c r="H1541" s="13"/>
      <c r="I1541" s="13"/>
      <c r="J1541" s="13"/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6"/>
      <c r="W1541" s="13"/>
      <c r="X1541" s="13"/>
      <c r="Y1541" s="13"/>
      <c r="Z1541" s="13"/>
      <c r="AA1541" s="17"/>
      <c r="AB1541" s="17"/>
      <c r="AC1541" s="17"/>
      <c r="AD1541" s="17"/>
      <c r="AE1541" s="17"/>
    </row>
    <row r="1542">
      <c r="A1542" s="72"/>
      <c r="B1542" s="12"/>
      <c r="C1542" s="12"/>
      <c r="D1542" s="12"/>
      <c r="E1542" s="13"/>
      <c r="F1542" s="13"/>
      <c r="G1542" s="13"/>
      <c r="H1542" s="13"/>
      <c r="I1542" s="13"/>
      <c r="J1542" s="13"/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6"/>
      <c r="W1542" s="13"/>
      <c r="X1542" s="13"/>
      <c r="Y1542" s="13"/>
      <c r="Z1542" s="13"/>
      <c r="AA1542" s="17"/>
      <c r="AB1542" s="17"/>
      <c r="AC1542" s="17"/>
      <c r="AD1542" s="17"/>
      <c r="AE1542" s="17"/>
    </row>
    <row r="1543">
      <c r="A1543" s="72"/>
      <c r="B1543" s="12"/>
      <c r="C1543" s="12"/>
      <c r="D1543" s="12"/>
      <c r="E1543" s="13"/>
      <c r="F1543" s="13"/>
      <c r="G1543" s="13"/>
      <c r="H1543" s="13"/>
      <c r="I1543" s="13"/>
      <c r="J1543" s="13"/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6"/>
      <c r="W1543" s="13"/>
      <c r="X1543" s="13"/>
      <c r="Y1543" s="13"/>
      <c r="Z1543" s="13"/>
      <c r="AA1543" s="17"/>
      <c r="AB1543" s="17"/>
      <c r="AC1543" s="17"/>
      <c r="AD1543" s="17"/>
      <c r="AE1543" s="17"/>
    </row>
    <row r="1544">
      <c r="A1544" s="72"/>
      <c r="B1544" s="12"/>
      <c r="C1544" s="12"/>
      <c r="D1544" s="12"/>
      <c r="E1544" s="13"/>
      <c r="F1544" s="13"/>
      <c r="G1544" s="13"/>
      <c r="H1544" s="13"/>
      <c r="I1544" s="13"/>
      <c r="J1544" s="13"/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6"/>
      <c r="W1544" s="13"/>
      <c r="X1544" s="13"/>
      <c r="Y1544" s="13"/>
      <c r="Z1544" s="13"/>
      <c r="AA1544" s="17"/>
      <c r="AB1544" s="17"/>
      <c r="AC1544" s="17"/>
      <c r="AD1544" s="17"/>
      <c r="AE1544" s="17"/>
    </row>
    <row r="1545">
      <c r="A1545" s="72"/>
      <c r="B1545" s="12"/>
      <c r="C1545" s="12"/>
      <c r="D1545" s="12"/>
      <c r="E1545" s="13"/>
      <c r="F1545" s="13"/>
      <c r="G1545" s="13"/>
      <c r="H1545" s="13"/>
      <c r="I1545" s="13"/>
      <c r="J1545" s="13"/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6"/>
      <c r="W1545" s="13"/>
      <c r="X1545" s="13"/>
      <c r="Y1545" s="13"/>
      <c r="Z1545" s="13"/>
      <c r="AA1545" s="17"/>
      <c r="AB1545" s="17"/>
      <c r="AC1545" s="17"/>
      <c r="AD1545" s="17"/>
      <c r="AE1545" s="17"/>
    </row>
    <row r="1546">
      <c r="A1546" s="72"/>
      <c r="B1546" s="12"/>
      <c r="C1546" s="12"/>
      <c r="D1546" s="12"/>
      <c r="E1546" s="13"/>
      <c r="F1546" s="13"/>
      <c r="G1546" s="13"/>
      <c r="H1546" s="13"/>
      <c r="I1546" s="13"/>
      <c r="J1546" s="13"/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6"/>
      <c r="W1546" s="13"/>
      <c r="X1546" s="13"/>
      <c r="Y1546" s="13"/>
      <c r="Z1546" s="13"/>
      <c r="AA1546" s="17"/>
      <c r="AB1546" s="17"/>
      <c r="AC1546" s="17"/>
      <c r="AD1546" s="17"/>
      <c r="AE1546" s="17"/>
    </row>
    <row r="1547">
      <c r="A1547" s="72"/>
      <c r="B1547" s="12"/>
      <c r="C1547" s="12"/>
      <c r="D1547" s="12"/>
      <c r="E1547" s="13"/>
      <c r="F1547" s="13"/>
      <c r="G1547" s="13"/>
      <c r="H1547" s="13"/>
      <c r="I1547" s="13"/>
      <c r="J1547" s="13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6"/>
      <c r="W1547" s="13"/>
      <c r="X1547" s="13"/>
      <c r="Y1547" s="13"/>
      <c r="Z1547" s="13"/>
      <c r="AA1547" s="17"/>
      <c r="AB1547" s="17"/>
      <c r="AC1547" s="17"/>
      <c r="AD1547" s="17"/>
      <c r="AE1547" s="17"/>
    </row>
    <row r="1548">
      <c r="A1548" s="72"/>
      <c r="B1548" s="12"/>
      <c r="C1548" s="12"/>
      <c r="D1548" s="12"/>
      <c r="E1548" s="13"/>
      <c r="F1548" s="13"/>
      <c r="G1548" s="13"/>
      <c r="H1548" s="13"/>
      <c r="I1548" s="13"/>
      <c r="J1548" s="13"/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6"/>
      <c r="W1548" s="13"/>
      <c r="X1548" s="13"/>
      <c r="Y1548" s="13"/>
      <c r="Z1548" s="13"/>
      <c r="AA1548" s="17"/>
      <c r="AB1548" s="17"/>
      <c r="AC1548" s="17"/>
      <c r="AD1548" s="17"/>
      <c r="AE1548" s="17"/>
    </row>
    <row r="1549">
      <c r="A1549" s="72"/>
      <c r="B1549" s="12"/>
      <c r="C1549" s="12"/>
      <c r="D1549" s="12"/>
      <c r="E1549" s="13"/>
      <c r="F1549" s="13"/>
      <c r="G1549" s="13"/>
      <c r="H1549" s="13"/>
      <c r="I1549" s="13"/>
      <c r="J1549" s="13"/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6"/>
      <c r="W1549" s="13"/>
      <c r="X1549" s="13"/>
      <c r="Y1549" s="13"/>
      <c r="Z1549" s="13"/>
      <c r="AA1549" s="17"/>
      <c r="AB1549" s="17"/>
      <c r="AC1549" s="17"/>
      <c r="AD1549" s="17"/>
      <c r="AE1549" s="17"/>
    </row>
    <row r="1550">
      <c r="A1550" s="72"/>
      <c r="B1550" s="12"/>
      <c r="C1550" s="12"/>
      <c r="D1550" s="12"/>
      <c r="E1550" s="13"/>
      <c r="F1550" s="13"/>
      <c r="G1550" s="13"/>
      <c r="H1550" s="13"/>
      <c r="I1550" s="13"/>
      <c r="J1550" s="13"/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6"/>
      <c r="W1550" s="13"/>
      <c r="X1550" s="13"/>
      <c r="Y1550" s="13"/>
      <c r="Z1550" s="13"/>
      <c r="AA1550" s="17"/>
      <c r="AB1550" s="17"/>
      <c r="AC1550" s="17"/>
      <c r="AD1550" s="17"/>
      <c r="AE1550" s="17"/>
    </row>
    <row r="1551">
      <c r="A1551" s="72"/>
      <c r="B1551" s="12"/>
      <c r="C1551" s="12"/>
      <c r="D1551" s="12"/>
      <c r="E1551" s="13"/>
      <c r="F1551" s="13"/>
      <c r="G1551" s="13"/>
      <c r="H1551" s="13"/>
      <c r="I1551" s="13"/>
      <c r="J1551" s="13"/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6"/>
      <c r="W1551" s="13"/>
      <c r="X1551" s="13"/>
      <c r="Y1551" s="13"/>
      <c r="Z1551" s="13"/>
      <c r="AA1551" s="17"/>
      <c r="AB1551" s="17"/>
      <c r="AC1551" s="17"/>
      <c r="AD1551" s="17"/>
      <c r="AE1551" s="17"/>
    </row>
    <row r="1552">
      <c r="A1552" s="72"/>
      <c r="B1552" s="12"/>
      <c r="C1552" s="12"/>
      <c r="D1552" s="12"/>
      <c r="E1552" s="13"/>
      <c r="F1552" s="13"/>
      <c r="G1552" s="13"/>
      <c r="H1552" s="13"/>
      <c r="I1552" s="13"/>
      <c r="J1552" s="13"/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6"/>
      <c r="W1552" s="13"/>
      <c r="X1552" s="13"/>
      <c r="Y1552" s="13"/>
      <c r="Z1552" s="13"/>
      <c r="AA1552" s="17"/>
      <c r="AB1552" s="17"/>
      <c r="AC1552" s="17"/>
      <c r="AD1552" s="17"/>
      <c r="AE1552" s="17"/>
    </row>
    <row r="1553">
      <c r="A1553" s="72"/>
      <c r="B1553" s="12"/>
      <c r="C1553" s="12"/>
      <c r="D1553" s="12"/>
      <c r="E1553" s="13"/>
      <c r="F1553" s="13"/>
      <c r="G1553" s="13"/>
      <c r="H1553" s="13"/>
      <c r="I1553" s="13"/>
      <c r="J1553" s="13"/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6"/>
      <c r="W1553" s="13"/>
      <c r="X1553" s="13"/>
      <c r="Y1553" s="13"/>
      <c r="Z1553" s="13"/>
      <c r="AA1553" s="17"/>
      <c r="AB1553" s="17"/>
      <c r="AC1553" s="17"/>
      <c r="AD1553" s="17"/>
      <c r="AE1553" s="17"/>
    </row>
    <row r="1554">
      <c r="A1554" s="72"/>
      <c r="B1554" s="12"/>
      <c r="C1554" s="12"/>
      <c r="D1554" s="12"/>
      <c r="E1554" s="13"/>
      <c r="F1554" s="13"/>
      <c r="G1554" s="13"/>
      <c r="H1554" s="13"/>
      <c r="I1554" s="13"/>
      <c r="J1554" s="13"/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6"/>
      <c r="W1554" s="13"/>
      <c r="X1554" s="13"/>
      <c r="Y1554" s="13"/>
      <c r="Z1554" s="13"/>
      <c r="AA1554" s="17"/>
      <c r="AB1554" s="17"/>
      <c r="AC1554" s="17"/>
      <c r="AD1554" s="17"/>
      <c r="AE1554" s="17"/>
    </row>
    <row r="1555">
      <c r="A1555" s="72"/>
      <c r="B1555" s="12"/>
      <c r="C1555" s="12"/>
      <c r="D1555" s="12"/>
      <c r="E1555" s="13"/>
      <c r="F1555" s="13"/>
      <c r="G1555" s="13"/>
      <c r="H1555" s="13"/>
      <c r="I1555" s="13"/>
      <c r="J1555" s="13"/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6"/>
      <c r="W1555" s="13"/>
      <c r="X1555" s="13"/>
      <c r="Y1555" s="13"/>
      <c r="Z1555" s="13"/>
      <c r="AA1555" s="17"/>
      <c r="AB1555" s="17"/>
      <c r="AC1555" s="17"/>
      <c r="AD1555" s="17"/>
      <c r="AE1555" s="17"/>
    </row>
    <row r="1556">
      <c r="A1556" s="72"/>
      <c r="B1556" s="12"/>
      <c r="C1556" s="12"/>
      <c r="D1556" s="12"/>
      <c r="E1556" s="13"/>
      <c r="F1556" s="13"/>
      <c r="G1556" s="13"/>
      <c r="H1556" s="13"/>
      <c r="I1556" s="13"/>
      <c r="J1556" s="13"/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6"/>
      <c r="W1556" s="13"/>
      <c r="X1556" s="13"/>
      <c r="Y1556" s="13"/>
      <c r="Z1556" s="13"/>
      <c r="AA1556" s="17"/>
      <c r="AB1556" s="17"/>
      <c r="AC1556" s="17"/>
      <c r="AD1556" s="17"/>
      <c r="AE1556" s="17"/>
    </row>
    <row r="1557">
      <c r="A1557" s="72"/>
      <c r="B1557" s="12"/>
      <c r="C1557" s="12"/>
      <c r="D1557" s="12"/>
      <c r="E1557" s="13"/>
      <c r="F1557" s="13"/>
      <c r="G1557" s="13"/>
      <c r="H1557" s="13"/>
      <c r="I1557" s="13"/>
      <c r="J1557" s="13"/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6"/>
      <c r="W1557" s="13"/>
      <c r="X1557" s="13"/>
      <c r="Y1557" s="13"/>
      <c r="Z1557" s="13"/>
      <c r="AA1557" s="17"/>
      <c r="AB1557" s="17"/>
      <c r="AC1557" s="17"/>
      <c r="AD1557" s="17"/>
      <c r="AE1557" s="17"/>
    </row>
    <row r="1558">
      <c r="A1558" s="72"/>
      <c r="B1558" s="12"/>
      <c r="C1558" s="12"/>
      <c r="D1558" s="12"/>
      <c r="E1558" s="13"/>
      <c r="F1558" s="13"/>
      <c r="G1558" s="13"/>
      <c r="H1558" s="13"/>
      <c r="I1558" s="13"/>
      <c r="J1558" s="13"/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6"/>
      <c r="W1558" s="13"/>
      <c r="X1558" s="13"/>
      <c r="Y1558" s="13"/>
      <c r="Z1558" s="13"/>
      <c r="AA1558" s="17"/>
      <c r="AB1558" s="17"/>
      <c r="AC1558" s="17"/>
      <c r="AD1558" s="17"/>
      <c r="AE1558" s="17"/>
    </row>
    <row r="1559">
      <c r="A1559" s="72"/>
      <c r="B1559" s="12"/>
      <c r="C1559" s="12"/>
      <c r="D1559" s="12"/>
      <c r="E1559" s="13"/>
      <c r="F1559" s="13"/>
      <c r="G1559" s="13"/>
      <c r="H1559" s="13"/>
      <c r="I1559" s="13"/>
      <c r="J1559" s="13"/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6"/>
      <c r="W1559" s="13"/>
      <c r="X1559" s="13"/>
      <c r="Y1559" s="13"/>
      <c r="Z1559" s="13"/>
      <c r="AA1559" s="17"/>
      <c r="AB1559" s="17"/>
      <c r="AC1559" s="17"/>
      <c r="AD1559" s="17"/>
      <c r="AE1559" s="17"/>
    </row>
    <row r="1560">
      <c r="A1560" s="72"/>
      <c r="B1560" s="12"/>
      <c r="C1560" s="12"/>
      <c r="D1560" s="12"/>
      <c r="E1560" s="13"/>
      <c r="F1560" s="13"/>
      <c r="G1560" s="13"/>
      <c r="H1560" s="13"/>
      <c r="I1560" s="13"/>
      <c r="J1560" s="13"/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6"/>
      <c r="W1560" s="13"/>
      <c r="X1560" s="13"/>
      <c r="Y1560" s="13"/>
      <c r="Z1560" s="13"/>
      <c r="AA1560" s="17"/>
      <c r="AB1560" s="17"/>
      <c r="AC1560" s="17"/>
      <c r="AD1560" s="17"/>
      <c r="AE1560" s="17"/>
    </row>
    <row r="1561">
      <c r="A1561" s="72"/>
      <c r="B1561" s="12"/>
      <c r="C1561" s="12"/>
      <c r="D1561" s="12"/>
      <c r="E1561" s="13"/>
      <c r="F1561" s="13"/>
      <c r="G1561" s="13"/>
      <c r="H1561" s="13"/>
      <c r="I1561" s="13"/>
      <c r="J1561" s="13"/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6"/>
      <c r="W1561" s="13"/>
      <c r="X1561" s="13"/>
      <c r="Y1561" s="13"/>
      <c r="Z1561" s="13"/>
      <c r="AA1561" s="17"/>
      <c r="AB1561" s="17"/>
      <c r="AC1561" s="17"/>
      <c r="AD1561" s="17"/>
      <c r="AE1561" s="17"/>
    </row>
    <row r="1562">
      <c r="A1562" s="72"/>
      <c r="B1562" s="12"/>
      <c r="C1562" s="12"/>
      <c r="D1562" s="12"/>
      <c r="E1562" s="13"/>
      <c r="F1562" s="13"/>
      <c r="G1562" s="13"/>
      <c r="H1562" s="13"/>
      <c r="I1562" s="13"/>
      <c r="J1562" s="13"/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6"/>
      <c r="W1562" s="13"/>
      <c r="X1562" s="13"/>
      <c r="Y1562" s="13"/>
      <c r="Z1562" s="13"/>
      <c r="AA1562" s="17"/>
      <c r="AB1562" s="17"/>
      <c r="AC1562" s="17"/>
      <c r="AD1562" s="17"/>
      <c r="AE1562" s="17"/>
    </row>
    <row r="1563">
      <c r="A1563" s="72"/>
      <c r="B1563" s="12"/>
      <c r="C1563" s="12"/>
      <c r="D1563" s="12"/>
      <c r="E1563" s="13"/>
      <c r="F1563" s="13"/>
      <c r="G1563" s="13"/>
      <c r="H1563" s="13"/>
      <c r="I1563" s="13"/>
      <c r="J1563" s="13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6"/>
      <c r="W1563" s="13"/>
      <c r="X1563" s="13"/>
      <c r="Y1563" s="13"/>
      <c r="Z1563" s="13"/>
      <c r="AA1563" s="17"/>
      <c r="AB1563" s="17"/>
      <c r="AC1563" s="17"/>
      <c r="AD1563" s="17"/>
      <c r="AE1563" s="17"/>
    </row>
    <row r="1564">
      <c r="A1564" s="72"/>
      <c r="B1564" s="12"/>
      <c r="C1564" s="12"/>
      <c r="D1564" s="12"/>
      <c r="E1564" s="13"/>
      <c r="F1564" s="13"/>
      <c r="G1564" s="13"/>
      <c r="H1564" s="13"/>
      <c r="I1564" s="13"/>
      <c r="J1564" s="13"/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6"/>
      <c r="W1564" s="13"/>
      <c r="X1564" s="13"/>
      <c r="Y1564" s="13"/>
      <c r="Z1564" s="13"/>
      <c r="AA1564" s="17"/>
      <c r="AB1564" s="17"/>
      <c r="AC1564" s="17"/>
      <c r="AD1564" s="17"/>
      <c r="AE1564" s="17"/>
    </row>
    <row r="1565">
      <c r="A1565" s="72"/>
      <c r="B1565" s="12"/>
      <c r="C1565" s="12"/>
      <c r="D1565" s="12"/>
      <c r="E1565" s="13"/>
      <c r="F1565" s="13"/>
      <c r="G1565" s="13"/>
      <c r="H1565" s="13"/>
      <c r="I1565" s="13"/>
      <c r="J1565" s="13"/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6"/>
      <c r="W1565" s="13"/>
      <c r="X1565" s="13"/>
      <c r="Y1565" s="13"/>
      <c r="Z1565" s="13"/>
      <c r="AA1565" s="17"/>
      <c r="AB1565" s="17"/>
      <c r="AC1565" s="17"/>
      <c r="AD1565" s="17"/>
      <c r="AE1565" s="17"/>
    </row>
    <row r="1566">
      <c r="A1566" s="72"/>
      <c r="B1566" s="12"/>
      <c r="C1566" s="12"/>
      <c r="D1566" s="12"/>
      <c r="E1566" s="13"/>
      <c r="F1566" s="13"/>
      <c r="G1566" s="13"/>
      <c r="H1566" s="13"/>
      <c r="I1566" s="13"/>
      <c r="J1566" s="13"/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6"/>
      <c r="W1566" s="13"/>
      <c r="X1566" s="13"/>
      <c r="Y1566" s="13"/>
      <c r="Z1566" s="13"/>
      <c r="AA1566" s="17"/>
      <c r="AB1566" s="17"/>
      <c r="AC1566" s="17"/>
      <c r="AD1566" s="17"/>
      <c r="AE1566" s="17"/>
    </row>
    <row r="1567">
      <c r="A1567" s="72"/>
      <c r="B1567" s="12"/>
      <c r="C1567" s="12"/>
      <c r="D1567" s="12"/>
      <c r="E1567" s="13"/>
      <c r="F1567" s="13"/>
      <c r="G1567" s="13"/>
      <c r="H1567" s="13"/>
      <c r="I1567" s="13"/>
      <c r="J1567" s="13"/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6"/>
      <c r="W1567" s="13"/>
      <c r="X1567" s="13"/>
      <c r="Y1567" s="13"/>
      <c r="Z1567" s="13"/>
      <c r="AA1567" s="17"/>
      <c r="AB1567" s="17"/>
      <c r="AC1567" s="17"/>
      <c r="AD1567" s="17"/>
      <c r="AE1567" s="17"/>
    </row>
    <row r="1568">
      <c r="A1568" s="72"/>
      <c r="B1568" s="12"/>
      <c r="C1568" s="12"/>
      <c r="D1568" s="12"/>
      <c r="E1568" s="13"/>
      <c r="F1568" s="13"/>
      <c r="G1568" s="13"/>
      <c r="H1568" s="13"/>
      <c r="I1568" s="13"/>
      <c r="J1568" s="13"/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6"/>
      <c r="W1568" s="13"/>
      <c r="X1568" s="13"/>
      <c r="Y1568" s="13"/>
      <c r="Z1568" s="13"/>
      <c r="AA1568" s="17"/>
      <c r="AB1568" s="17"/>
      <c r="AC1568" s="17"/>
      <c r="AD1568" s="17"/>
      <c r="AE1568" s="17"/>
    </row>
    <row r="1569">
      <c r="A1569" s="72"/>
      <c r="B1569" s="12"/>
      <c r="C1569" s="12"/>
      <c r="D1569" s="12"/>
      <c r="E1569" s="13"/>
      <c r="F1569" s="13"/>
      <c r="G1569" s="13"/>
      <c r="H1569" s="13"/>
      <c r="I1569" s="13"/>
      <c r="J1569" s="13"/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6"/>
      <c r="W1569" s="13"/>
      <c r="X1569" s="13"/>
      <c r="Y1569" s="13"/>
      <c r="Z1569" s="13"/>
      <c r="AA1569" s="17"/>
      <c r="AB1569" s="17"/>
      <c r="AC1569" s="17"/>
      <c r="AD1569" s="17"/>
      <c r="AE1569" s="17"/>
    </row>
    <row r="1570">
      <c r="A1570" s="72"/>
      <c r="B1570" s="12"/>
      <c r="C1570" s="12"/>
      <c r="D1570" s="12"/>
      <c r="E1570" s="13"/>
      <c r="F1570" s="13"/>
      <c r="G1570" s="13"/>
      <c r="H1570" s="13"/>
      <c r="I1570" s="13"/>
      <c r="J1570" s="13"/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6"/>
      <c r="W1570" s="13"/>
      <c r="X1570" s="13"/>
      <c r="Y1570" s="13"/>
      <c r="Z1570" s="13"/>
      <c r="AA1570" s="17"/>
      <c r="AB1570" s="17"/>
      <c r="AC1570" s="17"/>
      <c r="AD1570" s="17"/>
      <c r="AE1570" s="17"/>
    </row>
    <row r="1571">
      <c r="A1571" s="72"/>
      <c r="B1571" s="12"/>
      <c r="C1571" s="12"/>
      <c r="D1571" s="12"/>
      <c r="E1571" s="13"/>
      <c r="F1571" s="13"/>
      <c r="G1571" s="13"/>
      <c r="H1571" s="13"/>
      <c r="I1571" s="13"/>
      <c r="J1571" s="13"/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6"/>
      <c r="W1571" s="13"/>
      <c r="X1571" s="13"/>
      <c r="Y1571" s="13"/>
      <c r="Z1571" s="13"/>
      <c r="AA1571" s="17"/>
      <c r="AB1571" s="17"/>
      <c r="AC1571" s="17"/>
      <c r="AD1571" s="17"/>
      <c r="AE1571" s="17"/>
    </row>
    <row r="1572">
      <c r="A1572" s="72"/>
      <c r="B1572" s="12"/>
      <c r="C1572" s="12"/>
      <c r="D1572" s="12"/>
      <c r="E1572" s="13"/>
      <c r="F1572" s="13"/>
      <c r="G1572" s="13"/>
      <c r="H1572" s="13"/>
      <c r="I1572" s="13"/>
      <c r="J1572" s="13"/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6"/>
      <c r="W1572" s="13"/>
      <c r="X1572" s="13"/>
      <c r="Y1572" s="13"/>
      <c r="Z1572" s="13"/>
      <c r="AA1572" s="17"/>
      <c r="AB1572" s="17"/>
      <c r="AC1572" s="17"/>
      <c r="AD1572" s="17"/>
      <c r="AE1572" s="17"/>
    </row>
    <row r="1573">
      <c r="A1573" s="72"/>
      <c r="B1573" s="12"/>
      <c r="C1573" s="12"/>
      <c r="D1573" s="12"/>
      <c r="E1573" s="13"/>
      <c r="F1573" s="13"/>
      <c r="G1573" s="13"/>
      <c r="H1573" s="13"/>
      <c r="I1573" s="13"/>
      <c r="J1573" s="13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6"/>
      <c r="W1573" s="13"/>
      <c r="X1573" s="13"/>
      <c r="Y1573" s="13"/>
      <c r="Z1573" s="13"/>
      <c r="AA1573" s="17"/>
      <c r="AB1573" s="17"/>
      <c r="AC1573" s="17"/>
      <c r="AD1573" s="17"/>
      <c r="AE1573" s="17"/>
    </row>
    <row r="1574">
      <c r="A1574" s="72"/>
      <c r="B1574" s="12"/>
      <c r="C1574" s="12"/>
      <c r="D1574" s="12"/>
      <c r="E1574" s="13"/>
      <c r="F1574" s="13"/>
      <c r="G1574" s="13"/>
      <c r="H1574" s="13"/>
      <c r="I1574" s="13"/>
      <c r="J1574" s="13"/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6"/>
      <c r="W1574" s="13"/>
      <c r="X1574" s="13"/>
      <c r="Y1574" s="13"/>
      <c r="Z1574" s="13"/>
      <c r="AA1574" s="17"/>
      <c r="AB1574" s="17"/>
      <c r="AC1574" s="17"/>
      <c r="AD1574" s="17"/>
      <c r="AE1574" s="17"/>
    </row>
    <row r="1575">
      <c r="A1575" s="72"/>
      <c r="B1575" s="12"/>
      <c r="C1575" s="12"/>
      <c r="D1575" s="12"/>
      <c r="E1575" s="13"/>
      <c r="F1575" s="13"/>
      <c r="G1575" s="13"/>
      <c r="H1575" s="13"/>
      <c r="I1575" s="13"/>
      <c r="J1575" s="13"/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6"/>
      <c r="W1575" s="13"/>
      <c r="X1575" s="13"/>
      <c r="Y1575" s="13"/>
      <c r="Z1575" s="13"/>
      <c r="AA1575" s="17"/>
      <c r="AB1575" s="17"/>
      <c r="AC1575" s="17"/>
      <c r="AD1575" s="17"/>
      <c r="AE1575" s="17"/>
    </row>
    <row r="1576">
      <c r="A1576" s="72"/>
      <c r="B1576" s="12"/>
      <c r="C1576" s="12"/>
      <c r="D1576" s="12"/>
      <c r="E1576" s="13"/>
      <c r="F1576" s="13"/>
      <c r="G1576" s="13"/>
      <c r="H1576" s="13"/>
      <c r="I1576" s="13"/>
      <c r="J1576" s="13"/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6"/>
      <c r="W1576" s="13"/>
      <c r="X1576" s="13"/>
      <c r="Y1576" s="13"/>
      <c r="Z1576" s="13"/>
      <c r="AA1576" s="17"/>
      <c r="AB1576" s="17"/>
      <c r="AC1576" s="17"/>
      <c r="AD1576" s="17"/>
      <c r="AE1576" s="17"/>
    </row>
    <row r="1577">
      <c r="A1577" s="72"/>
      <c r="B1577" s="12"/>
      <c r="C1577" s="12"/>
      <c r="D1577" s="12"/>
      <c r="E1577" s="13"/>
      <c r="F1577" s="13"/>
      <c r="G1577" s="13"/>
      <c r="H1577" s="13"/>
      <c r="I1577" s="13"/>
      <c r="J1577" s="13"/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6"/>
      <c r="W1577" s="13"/>
      <c r="X1577" s="13"/>
      <c r="Y1577" s="13"/>
      <c r="Z1577" s="13"/>
      <c r="AA1577" s="17"/>
      <c r="AB1577" s="17"/>
      <c r="AC1577" s="17"/>
      <c r="AD1577" s="17"/>
      <c r="AE1577" s="17"/>
    </row>
    <row r="1578">
      <c r="A1578" s="72"/>
      <c r="B1578" s="12"/>
      <c r="C1578" s="12"/>
      <c r="D1578" s="12"/>
      <c r="E1578" s="13"/>
      <c r="F1578" s="13"/>
      <c r="G1578" s="13"/>
      <c r="H1578" s="13"/>
      <c r="I1578" s="13"/>
      <c r="J1578" s="13"/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6"/>
      <c r="W1578" s="13"/>
      <c r="X1578" s="13"/>
      <c r="Y1578" s="13"/>
      <c r="Z1578" s="13"/>
      <c r="AA1578" s="17"/>
      <c r="AB1578" s="17"/>
      <c r="AC1578" s="17"/>
      <c r="AD1578" s="17"/>
      <c r="AE1578" s="17"/>
    </row>
    <row r="1579">
      <c r="A1579" s="72"/>
      <c r="B1579" s="12"/>
      <c r="C1579" s="12"/>
      <c r="D1579" s="12"/>
      <c r="E1579" s="13"/>
      <c r="F1579" s="13"/>
      <c r="G1579" s="13"/>
      <c r="H1579" s="13"/>
      <c r="I1579" s="13"/>
      <c r="J1579" s="13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6"/>
      <c r="W1579" s="13"/>
      <c r="X1579" s="13"/>
      <c r="Y1579" s="13"/>
      <c r="Z1579" s="13"/>
      <c r="AA1579" s="17"/>
      <c r="AB1579" s="17"/>
      <c r="AC1579" s="17"/>
      <c r="AD1579" s="17"/>
      <c r="AE1579" s="17"/>
    </row>
    <row r="1580">
      <c r="A1580" s="72"/>
      <c r="B1580" s="12"/>
      <c r="C1580" s="12"/>
      <c r="D1580" s="12"/>
      <c r="E1580" s="13"/>
      <c r="F1580" s="13"/>
      <c r="G1580" s="13"/>
      <c r="H1580" s="13"/>
      <c r="I1580" s="13"/>
      <c r="J1580" s="13"/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6"/>
      <c r="W1580" s="13"/>
      <c r="X1580" s="13"/>
      <c r="Y1580" s="13"/>
      <c r="Z1580" s="13"/>
      <c r="AA1580" s="17"/>
      <c r="AB1580" s="17"/>
      <c r="AC1580" s="17"/>
      <c r="AD1580" s="17"/>
      <c r="AE1580" s="17"/>
    </row>
    <row r="1581">
      <c r="A1581" s="72"/>
      <c r="B1581" s="12"/>
      <c r="C1581" s="12"/>
      <c r="D1581" s="12"/>
      <c r="E1581" s="13"/>
      <c r="F1581" s="13"/>
      <c r="G1581" s="13"/>
      <c r="H1581" s="13"/>
      <c r="I1581" s="13"/>
      <c r="J1581" s="13"/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6"/>
      <c r="W1581" s="13"/>
      <c r="X1581" s="13"/>
      <c r="Y1581" s="13"/>
      <c r="Z1581" s="13"/>
      <c r="AA1581" s="17"/>
      <c r="AB1581" s="17"/>
      <c r="AC1581" s="17"/>
      <c r="AD1581" s="17"/>
      <c r="AE1581" s="17"/>
    </row>
    <row r="1582">
      <c r="A1582" s="72"/>
      <c r="B1582" s="12"/>
      <c r="C1582" s="12"/>
      <c r="D1582" s="12"/>
      <c r="E1582" s="13"/>
      <c r="F1582" s="13"/>
      <c r="G1582" s="13"/>
      <c r="H1582" s="13"/>
      <c r="I1582" s="13"/>
      <c r="J1582" s="13"/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6"/>
      <c r="W1582" s="13"/>
      <c r="X1582" s="13"/>
      <c r="Y1582" s="13"/>
      <c r="Z1582" s="13"/>
      <c r="AA1582" s="17"/>
      <c r="AB1582" s="17"/>
      <c r="AC1582" s="17"/>
      <c r="AD1582" s="17"/>
      <c r="AE1582" s="17"/>
    </row>
    <row r="1583">
      <c r="A1583" s="72"/>
      <c r="B1583" s="12"/>
      <c r="C1583" s="12"/>
      <c r="D1583" s="12"/>
      <c r="E1583" s="13"/>
      <c r="F1583" s="13"/>
      <c r="G1583" s="13"/>
      <c r="H1583" s="13"/>
      <c r="I1583" s="13"/>
      <c r="J1583" s="13"/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6"/>
      <c r="W1583" s="13"/>
      <c r="X1583" s="13"/>
      <c r="Y1583" s="13"/>
      <c r="Z1583" s="13"/>
      <c r="AA1583" s="17"/>
      <c r="AB1583" s="17"/>
      <c r="AC1583" s="17"/>
      <c r="AD1583" s="17"/>
      <c r="AE1583" s="17"/>
    </row>
    <row r="1584">
      <c r="A1584" s="72"/>
      <c r="B1584" s="12"/>
      <c r="C1584" s="12"/>
      <c r="D1584" s="12"/>
      <c r="E1584" s="13"/>
      <c r="F1584" s="13"/>
      <c r="G1584" s="13"/>
      <c r="H1584" s="13"/>
      <c r="I1584" s="13"/>
      <c r="J1584" s="13"/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6"/>
      <c r="W1584" s="13"/>
      <c r="X1584" s="13"/>
      <c r="Y1584" s="13"/>
      <c r="Z1584" s="13"/>
      <c r="AA1584" s="17"/>
      <c r="AB1584" s="17"/>
      <c r="AC1584" s="17"/>
      <c r="AD1584" s="17"/>
      <c r="AE1584" s="17"/>
    </row>
    <row r="1585">
      <c r="A1585" s="72"/>
      <c r="B1585" s="12"/>
      <c r="C1585" s="12"/>
      <c r="D1585" s="12"/>
      <c r="E1585" s="13"/>
      <c r="F1585" s="13"/>
      <c r="G1585" s="13"/>
      <c r="H1585" s="13"/>
      <c r="I1585" s="13"/>
      <c r="J1585" s="13"/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6"/>
      <c r="W1585" s="13"/>
      <c r="X1585" s="13"/>
      <c r="Y1585" s="13"/>
      <c r="Z1585" s="13"/>
      <c r="AA1585" s="17"/>
      <c r="AB1585" s="17"/>
      <c r="AC1585" s="17"/>
      <c r="AD1585" s="17"/>
      <c r="AE1585" s="17"/>
    </row>
    <row r="1586">
      <c r="A1586" s="72"/>
      <c r="B1586" s="12"/>
      <c r="C1586" s="12"/>
      <c r="D1586" s="12"/>
      <c r="E1586" s="13"/>
      <c r="F1586" s="13"/>
      <c r="G1586" s="13"/>
      <c r="H1586" s="13"/>
      <c r="I1586" s="13"/>
      <c r="J1586" s="13"/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6"/>
      <c r="W1586" s="13"/>
      <c r="X1586" s="13"/>
      <c r="Y1586" s="13"/>
      <c r="Z1586" s="13"/>
      <c r="AA1586" s="17"/>
      <c r="AB1586" s="17"/>
      <c r="AC1586" s="17"/>
      <c r="AD1586" s="17"/>
      <c r="AE1586" s="17"/>
    </row>
    <row r="1587">
      <c r="A1587" s="72"/>
      <c r="B1587" s="12"/>
      <c r="C1587" s="12"/>
      <c r="D1587" s="12"/>
      <c r="E1587" s="13"/>
      <c r="F1587" s="13"/>
      <c r="G1587" s="13"/>
      <c r="H1587" s="13"/>
      <c r="I1587" s="13"/>
      <c r="J1587" s="13"/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6"/>
      <c r="W1587" s="13"/>
      <c r="X1587" s="13"/>
      <c r="Y1587" s="13"/>
      <c r="Z1587" s="13"/>
      <c r="AA1587" s="17"/>
      <c r="AB1587" s="17"/>
      <c r="AC1587" s="17"/>
      <c r="AD1587" s="17"/>
      <c r="AE1587" s="17"/>
    </row>
    <row r="1588">
      <c r="A1588" s="72"/>
      <c r="B1588" s="12"/>
      <c r="C1588" s="12"/>
      <c r="D1588" s="12"/>
      <c r="E1588" s="13"/>
      <c r="F1588" s="13"/>
      <c r="G1588" s="13"/>
      <c r="H1588" s="13"/>
      <c r="I1588" s="13"/>
      <c r="J1588" s="13"/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6"/>
      <c r="W1588" s="13"/>
      <c r="X1588" s="13"/>
      <c r="Y1588" s="13"/>
      <c r="Z1588" s="13"/>
      <c r="AA1588" s="17"/>
      <c r="AB1588" s="17"/>
      <c r="AC1588" s="17"/>
      <c r="AD1588" s="17"/>
      <c r="AE1588" s="17"/>
    </row>
    <row r="1589">
      <c r="A1589" s="72"/>
      <c r="B1589" s="12"/>
      <c r="C1589" s="12"/>
      <c r="D1589" s="12"/>
      <c r="E1589" s="13"/>
      <c r="F1589" s="13"/>
      <c r="G1589" s="13"/>
      <c r="H1589" s="13"/>
      <c r="I1589" s="13"/>
      <c r="J1589" s="13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6"/>
      <c r="W1589" s="13"/>
      <c r="X1589" s="13"/>
      <c r="Y1589" s="13"/>
      <c r="Z1589" s="13"/>
      <c r="AA1589" s="17"/>
      <c r="AB1589" s="17"/>
      <c r="AC1589" s="17"/>
      <c r="AD1589" s="17"/>
      <c r="AE1589" s="17"/>
    </row>
    <row r="1590">
      <c r="A1590" s="72"/>
      <c r="B1590" s="12"/>
      <c r="C1590" s="12"/>
      <c r="D1590" s="12"/>
      <c r="E1590" s="13"/>
      <c r="F1590" s="13"/>
      <c r="G1590" s="13"/>
      <c r="H1590" s="13"/>
      <c r="I1590" s="13"/>
      <c r="J1590" s="13"/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6"/>
      <c r="W1590" s="13"/>
      <c r="X1590" s="13"/>
      <c r="Y1590" s="13"/>
      <c r="Z1590" s="13"/>
      <c r="AA1590" s="17"/>
      <c r="AB1590" s="17"/>
      <c r="AC1590" s="17"/>
      <c r="AD1590" s="17"/>
      <c r="AE1590" s="17"/>
    </row>
    <row r="1591">
      <c r="A1591" s="72"/>
      <c r="B1591" s="12"/>
      <c r="C1591" s="12"/>
      <c r="D1591" s="12"/>
      <c r="E1591" s="13"/>
      <c r="F1591" s="13"/>
      <c r="G1591" s="13"/>
      <c r="H1591" s="13"/>
      <c r="I1591" s="13"/>
      <c r="J1591" s="13"/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6"/>
      <c r="W1591" s="13"/>
      <c r="X1591" s="13"/>
      <c r="Y1591" s="13"/>
      <c r="Z1591" s="13"/>
      <c r="AA1591" s="17"/>
      <c r="AB1591" s="17"/>
      <c r="AC1591" s="17"/>
      <c r="AD1591" s="17"/>
      <c r="AE1591" s="17"/>
    </row>
    <row r="1592">
      <c r="A1592" s="72"/>
      <c r="B1592" s="12"/>
      <c r="C1592" s="12"/>
      <c r="D1592" s="12"/>
      <c r="E1592" s="13"/>
      <c r="F1592" s="13"/>
      <c r="G1592" s="13"/>
      <c r="H1592" s="13"/>
      <c r="I1592" s="13"/>
      <c r="J1592" s="13"/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6"/>
      <c r="W1592" s="13"/>
      <c r="X1592" s="13"/>
      <c r="Y1592" s="13"/>
      <c r="Z1592" s="13"/>
      <c r="AA1592" s="17"/>
      <c r="AB1592" s="17"/>
      <c r="AC1592" s="17"/>
      <c r="AD1592" s="17"/>
      <c r="AE1592" s="17"/>
    </row>
    <row r="1593">
      <c r="A1593" s="72"/>
      <c r="B1593" s="12"/>
      <c r="C1593" s="12"/>
      <c r="D1593" s="12"/>
      <c r="E1593" s="13"/>
      <c r="F1593" s="13"/>
      <c r="G1593" s="13"/>
      <c r="H1593" s="13"/>
      <c r="I1593" s="13"/>
      <c r="J1593" s="13"/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6"/>
      <c r="W1593" s="13"/>
      <c r="X1593" s="13"/>
      <c r="Y1593" s="13"/>
      <c r="Z1593" s="13"/>
      <c r="AA1593" s="17"/>
      <c r="AB1593" s="17"/>
      <c r="AC1593" s="17"/>
      <c r="AD1593" s="17"/>
      <c r="AE1593" s="17"/>
    </row>
    <row r="1594">
      <c r="A1594" s="72"/>
      <c r="B1594" s="12"/>
      <c r="C1594" s="12"/>
      <c r="D1594" s="12"/>
      <c r="E1594" s="13"/>
      <c r="F1594" s="13"/>
      <c r="G1594" s="13"/>
      <c r="H1594" s="13"/>
      <c r="I1594" s="13"/>
      <c r="J1594" s="13"/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6"/>
      <c r="W1594" s="13"/>
      <c r="X1594" s="13"/>
      <c r="Y1594" s="13"/>
      <c r="Z1594" s="13"/>
      <c r="AA1594" s="17"/>
      <c r="AB1594" s="17"/>
      <c r="AC1594" s="17"/>
      <c r="AD1594" s="17"/>
      <c r="AE1594" s="17"/>
    </row>
    <row r="1595">
      <c r="A1595" s="72"/>
      <c r="B1595" s="12"/>
      <c r="C1595" s="12"/>
      <c r="D1595" s="12"/>
      <c r="E1595" s="13"/>
      <c r="F1595" s="13"/>
      <c r="G1595" s="13"/>
      <c r="H1595" s="13"/>
      <c r="I1595" s="13"/>
      <c r="J1595" s="13"/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6"/>
      <c r="W1595" s="13"/>
      <c r="X1595" s="13"/>
      <c r="Y1595" s="13"/>
      <c r="Z1595" s="13"/>
      <c r="AA1595" s="17"/>
      <c r="AB1595" s="17"/>
      <c r="AC1595" s="17"/>
      <c r="AD1595" s="17"/>
      <c r="AE1595" s="17"/>
    </row>
    <row r="1596">
      <c r="A1596" s="72"/>
      <c r="B1596" s="12"/>
      <c r="C1596" s="12"/>
      <c r="D1596" s="12"/>
      <c r="E1596" s="13"/>
      <c r="F1596" s="13"/>
      <c r="G1596" s="13"/>
      <c r="H1596" s="13"/>
      <c r="I1596" s="13"/>
      <c r="J1596" s="13"/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6"/>
      <c r="W1596" s="13"/>
      <c r="X1596" s="13"/>
      <c r="Y1596" s="13"/>
      <c r="Z1596" s="13"/>
      <c r="AA1596" s="17"/>
      <c r="AB1596" s="17"/>
      <c r="AC1596" s="17"/>
      <c r="AD1596" s="17"/>
      <c r="AE1596" s="17"/>
    </row>
    <row r="1597">
      <c r="A1597" s="72"/>
      <c r="B1597" s="12"/>
      <c r="C1597" s="12"/>
      <c r="D1597" s="12"/>
      <c r="E1597" s="13"/>
      <c r="F1597" s="13"/>
      <c r="G1597" s="13"/>
      <c r="H1597" s="13"/>
      <c r="I1597" s="13"/>
      <c r="J1597" s="13"/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6"/>
      <c r="W1597" s="13"/>
      <c r="X1597" s="13"/>
      <c r="Y1597" s="13"/>
      <c r="Z1597" s="13"/>
      <c r="AA1597" s="17"/>
      <c r="AB1597" s="17"/>
      <c r="AC1597" s="17"/>
      <c r="AD1597" s="17"/>
      <c r="AE1597" s="17"/>
    </row>
    <row r="1598">
      <c r="A1598" s="72"/>
      <c r="B1598" s="12"/>
      <c r="C1598" s="12"/>
      <c r="D1598" s="12"/>
      <c r="E1598" s="13"/>
      <c r="F1598" s="13"/>
      <c r="G1598" s="13"/>
      <c r="H1598" s="13"/>
      <c r="I1598" s="13"/>
      <c r="J1598" s="13"/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6"/>
      <c r="W1598" s="13"/>
      <c r="X1598" s="13"/>
      <c r="Y1598" s="13"/>
      <c r="Z1598" s="13"/>
      <c r="AA1598" s="17"/>
      <c r="AB1598" s="17"/>
      <c r="AC1598" s="17"/>
      <c r="AD1598" s="17"/>
      <c r="AE1598" s="17"/>
    </row>
    <row r="1599">
      <c r="A1599" s="72"/>
      <c r="B1599" s="12"/>
      <c r="C1599" s="12"/>
      <c r="D1599" s="12"/>
      <c r="E1599" s="13"/>
      <c r="F1599" s="13"/>
      <c r="G1599" s="13"/>
      <c r="H1599" s="13"/>
      <c r="I1599" s="13"/>
      <c r="J1599" s="13"/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6"/>
      <c r="W1599" s="13"/>
      <c r="X1599" s="13"/>
      <c r="Y1599" s="13"/>
      <c r="Z1599" s="13"/>
      <c r="AA1599" s="17"/>
      <c r="AB1599" s="17"/>
      <c r="AC1599" s="17"/>
      <c r="AD1599" s="17"/>
      <c r="AE1599" s="17"/>
    </row>
    <row r="1600">
      <c r="A1600" s="72"/>
      <c r="B1600" s="12"/>
      <c r="C1600" s="12"/>
      <c r="D1600" s="12"/>
      <c r="E1600" s="13"/>
      <c r="F1600" s="13"/>
      <c r="G1600" s="13"/>
      <c r="H1600" s="13"/>
      <c r="I1600" s="13"/>
      <c r="J1600" s="13"/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6"/>
      <c r="W1600" s="13"/>
      <c r="X1600" s="13"/>
      <c r="Y1600" s="13"/>
      <c r="Z1600" s="13"/>
      <c r="AA1600" s="17"/>
      <c r="AB1600" s="17"/>
      <c r="AC1600" s="17"/>
      <c r="AD1600" s="17"/>
      <c r="AE1600" s="17"/>
    </row>
    <row r="1601">
      <c r="A1601" s="72"/>
      <c r="B1601" s="12"/>
      <c r="C1601" s="12"/>
      <c r="D1601" s="12"/>
      <c r="E1601" s="13"/>
      <c r="F1601" s="13"/>
      <c r="G1601" s="13"/>
      <c r="H1601" s="13"/>
      <c r="I1601" s="13"/>
      <c r="J1601" s="13"/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6"/>
      <c r="W1601" s="13"/>
      <c r="X1601" s="13"/>
      <c r="Y1601" s="13"/>
      <c r="Z1601" s="13"/>
      <c r="AA1601" s="17"/>
      <c r="AB1601" s="17"/>
      <c r="AC1601" s="17"/>
      <c r="AD1601" s="17"/>
      <c r="AE1601" s="17"/>
    </row>
    <row r="1602">
      <c r="A1602" s="72"/>
      <c r="B1602" s="12"/>
      <c r="C1602" s="12"/>
      <c r="D1602" s="12"/>
      <c r="E1602" s="13"/>
      <c r="F1602" s="13"/>
      <c r="G1602" s="13"/>
      <c r="H1602" s="13"/>
      <c r="I1602" s="13"/>
      <c r="J1602" s="13"/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6"/>
      <c r="W1602" s="13"/>
      <c r="X1602" s="13"/>
      <c r="Y1602" s="13"/>
      <c r="Z1602" s="13"/>
      <c r="AA1602" s="17"/>
      <c r="AB1602" s="17"/>
      <c r="AC1602" s="17"/>
      <c r="AD1602" s="17"/>
      <c r="AE1602" s="17"/>
    </row>
    <row r="1603">
      <c r="A1603" s="72"/>
      <c r="B1603" s="12"/>
      <c r="C1603" s="12"/>
      <c r="D1603" s="12"/>
      <c r="E1603" s="13"/>
      <c r="F1603" s="13"/>
      <c r="G1603" s="13"/>
      <c r="H1603" s="13"/>
      <c r="I1603" s="13"/>
      <c r="J1603" s="13"/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6"/>
      <c r="W1603" s="13"/>
      <c r="X1603" s="13"/>
      <c r="Y1603" s="13"/>
      <c r="Z1603" s="13"/>
      <c r="AA1603" s="17"/>
      <c r="AB1603" s="17"/>
      <c r="AC1603" s="17"/>
      <c r="AD1603" s="17"/>
      <c r="AE1603" s="17"/>
    </row>
    <row r="1604">
      <c r="A1604" s="72"/>
      <c r="B1604" s="12"/>
      <c r="C1604" s="12"/>
      <c r="D1604" s="12"/>
      <c r="E1604" s="13"/>
      <c r="F1604" s="13"/>
      <c r="G1604" s="13"/>
      <c r="H1604" s="13"/>
      <c r="I1604" s="13"/>
      <c r="J1604" s="13"/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6"/>
      <c r="W1604" s="13"/>
      <c r="X1604" s="13"/>
      <c r="Y1604" s="13"/>
      <c r="Z1604" s="13"/>
      <c r="AA1604" s="17"/>
      <c r="AB1604" s="17"/>
      <c r="AC1604" s="17"/>
      <c r="AD1604" s="17"/>
      <c r="AE1604" s="17"/>
    </row>
    <row r="1605">
      <c r="A1605" s="72"/>
      <c r="B1605" s="12"/>
      <c r="C1605" s="12"/>
      <c r="D1605" s="12"/>
      <c r="E1605" s="13"/>
      <c r="F1605" s="13"/>
      <c r="G1605" s="13"/>
      <c r="H1605" s="13"/>
      <c r="I1605" s="13"/>
      <c r="J1605" s="13"/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6"/>
      <c r="W1605" s="13"/>
      <c r="X1605" s="13"/>
      <c r="Y1605" s="13"/>
      <c r="Z1605" s="13"/>
      <c r="AA1605" s="17"/>
      <c r="AB1605" s="17"/>
      <c r="AC1605" s="17"/>
      <c r="AD1605" s="17"/>
      <c r="AE1605" s="17"/>
    </row>
    <row r="1606">
      <c r="A1606" s="72"/>
      <c r="B1606" s="12"/>
      <c r="C1606" s="12"/>
      <c r="D1606" s="12"/>
      <c r="E1606" s="13"/>
      <c r="F1606" s="13"/>
      <c r="G1606" s="13"/>
      <c r="H1606" s="13"/>
      <c r="I1606" s="13"/>
      <c r="J1606" s="13"/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6"/>
      <c r="W1606" s="13"/>
      <c r="X1606" s="13"/>
      <c r="Y1606" s="13"/>
      <c r="Z1606" s="13"/>
      <c r="AA1606" s="17"/>
      <c r="AB1606" s="17"/>
      <c r="AC1606" s="17"/>
      <c r="AD1606" s="17"/>
      <c r="AE1606" s="17"/>
    </row>
    <row r="1607">
      <c r="A1607" s="72"/>
      <c r="B1607" s="12"/>
      <c r="C1607" s="12"/>
      <c r="D1607" s="12"/>
      <c r="E1607" s="13"/>
      <c r="F1607" s="13"/>
      <c r="G1607" s="13"/>
      <c r="H1607" s="13"/>
      <c r="I1607" s="13"/>
      <c r="J1607" s="13"/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16"/>
      <c r="W1607" s="13"/>
      <c r="X1607" s="13"/>
      <c r="Y1607" s="13"/>
      <c r="Z1607" s="13"/>
      <c r="AA1607" s="17"/>
      <c r="AB1607" s="17"/>
      <c r="AC1607" s="17"/>
      <c r="AD1607" s="17"/>
      <c r="AE1607" s="17"/>
    </row>
    <row r="1608">
      <c r="A1608" s="72"/>
      <c r="B1608" s="12"/>
      <c r="C1608" s="12"/>
      <c r="D1608" s="12"/>
      <c r="E1608" s="13"/>
      <c r="F1608" s="13"/>
      <c r="G1608" s="13"/>
      <c r="H1608" s="13"/>
      <c r="I1608" s="13"/>
      <c r="J1608" s="13"/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16"/>
      <c r="W1608" s="13"/>
      <c r="X1608" s="13"/>
      <c r="Y1608" s="13"/>
      <c r="Z1608" s="13"/>
      <c r="AA1608" s="17"/>
      <c r="AB1608" s="17"/>
      <c r="AC1608" s="17"/>
      <c r="AD1608" s="17"/>
      <c r="AE1608" s="17"/>
    </row>
    <row r="1609">
      <c r="A1609" s="72"/>
      <c r="B1609" s="12"/>
      <c r="C1609" s="12"/>
      <c r="D1609" s="12"/>
      <c r="E1609" s="13"/>
      <c r="F1609" s="13"/>
      <c r="G1609" s="13"/>
      <c r="H1609" s="13"/>
      <c r="I1609" s="13"/>
      <c r="J1609" s="13"/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16"/>
      <c r="W1609" s="13"/>
      <c r="X1609" s="13"/>
      <c r="Y1609" s="13"/>
      <c r="Z1609" s="13"/>
      <c r="AA1609" s="17"/>
      <c r="AB1609" s="17"/>
      <c r="AC1609" s="17"/>
      <c r="AD1609" s="17"/>
      <c r="AE1609" s="17"/>
    </row>
    <row r="1610">
      <c r="A1610" s="72"/>
      <c r="B1610" s="12"/>
      <c r="C1610" s="12"/>
      <c r="D1610" s="12"/>
      <c r="E1610" s="13"/>
      <c r="F1610" s="13"/>
      <c r="G1610" s="13"/>
      <c r="H1610" s="13"/>
      <c r="I1610" s="13"/>
      <c r="J1610" s="13"/>
      <c r="K1610" s="13"/>
      <c r="L1610" s="13"/>
      <c r="M1610" s="13"/>
      <c r="N1610" s="13"/>
      <c r="O1610" s="13"/>
      <c r="P1610" s="13"/>
      <c r="Q1610" s="13"/>
      <c r="R1610" s="13"/>
      <c r="S1610" s="13"/>
      <c r="T1610" s="13"/>
      <c r="U1610" s="13"/>
      <c r="V1610" s="16"/>
      <c r="W1610" s="13"/>
      <c r="X1610" s="13"/>
      <c r="Y1610" s="13"/>
      <c r="Z1610" s="13"/>
      <c r="AA1610" s="17"/>
      <c r="AB1610" s="17"/>
      <c r="AC1610" s="17"/>
      <c r="AD1610" s="17"/>
      <c r="AE1610" s="17"/>
    </row>
    <row r="1611">
      <c r="A1611" s="72"/>
      <c r="B1611" s="12"/>
      <c r="C1611" s="12"/>
      <c r="D1611" s="12"/>
      <c r="E1611" s="13"/>
      <c r="F1611" s="13"/>
      <c r="G1611" s="13"/>
      <c r="H1611" s="13"/>
      <c r="I1611" s="13"/>
      <c r="J1611" s="13"/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6"/>
      <c r="W1611" s="13"/>
      <c r="X1611" s="13"/>
      <c r="Y1611" s="13"/>
      <c r="Z1611" s="13"/>
      <c r="AA1611" s="17"/>
      <c r="AB1611" s="17"/>
      <c r="AC1611" s="17"/>
      <c r="AD1611" s="17"/>
      <c r="AE1611" s="17"/>
    </row>
    <row r="1612">
      <c r="A1612" s="72"/>
      <c r="B1612" s="12"/>
      <c r="C1612" s="12"/>
      <c r="D1612" s="12"/>
      <c r="E1612" s="13"/>
      <c r="F1612" s="13"/>
      <c r="G1612" s="13"/>
      <c r="H1612" s="13"/>
      <c r="I1612" s="13"/>
      <c r="J1612" s="13"/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6"/>
      <c r="W1612" s="13"/>
      <c r="X1612" s="13"/>
      <c r="Y1612" s="13"/>
      <c r="Z1612" s="13"/>
      <c r="AA1612" s="17"/>
      <c r="AB1612" s="17"/>
      <c r="AC1612" s="17"/>
      <c r="AD1612" s="17"/>
      <c r="AE1612" s="17"/>
    </row>
    <row r="1613">
      <c r="A1613" s="72"/>
      <c r="B1613" s="12"/>
      <c r="C1613" s="12"/>
      <c r="D1613" s="12"/>
      <c r="E1613" s="13"/>
      <c r="F1613" s="13"/>
      <c r="G1613" s="13"/>
      <c r="H1613" s="13"/>
      <c r="I1613" s="13"/>
      <c r="J1613" s="13"/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6"/>
      <c r="W1613" s="13"/>
      <c r="X1613" s="13"/>
      <c r="Y1613" s="13"/>
      <c r="Z1613" s="13"/>
      <c r="AA1613" s="17"/>
      <c r="AB1613" s="17"/>
      <c r="AC1613" s="17"/>
      <c r="AD1613" s="17"/>
      <c r="AE1613" s="17"/>
    </row>
    <row r="1614">
      <c r="A1614" s="72"/>
      <c r="B1614" s="12"/>
      <c r="C1614" s="12"/>
      <c r="D1614" s="12"/>
      <c r="E1614" s="13"/>
      <c r="F1614" s="13"/>
      <c r="G1614" s="13"/>
      <c r="H1614" s="13"/>
      <c r="I1614" s="13"/>
      <c r="J1614" s="13"/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6"/>
      <c r="W1614" s="13"/>
      <c r="X1614" s="13"/>
      <c r="Y1614" s="13"/>
      <c r="Z1614" s="13"/>
      <c r="AA1614" s="17"/>
      <c r="AB1614" s="17"/>
      <c r="AC1614" s="17"/>
      <c r="AD1614" s="17"/>
      <c r="AE1614" s="17"/>
    </row>
    <row r="1615">
      <c r="A1615" s="72"/>
      <c r="B1615" s="12"/>
      <c r="C1615" s="12"/>
      <c r="D1615" s="12"/>
      <c r="E1615" s="13"/>
      <c r="F1615" s="13"/>
      <c r="G1615" s="13"/>
      <c r="H1615" s="13"/>
      <c r="I1615" s="13"/>
      <c r="J1615" s="13"/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6"/>
      <c r="W1615" s="13"/>
      <c r="X1615" s="13"/>
      <c r="Y1615" s="13"/>
      <c r="Z1615" s="13"/>
      <c r="AA1615" s="17"/>
      <c r="AB1615" s="17"/>
      <c r="AC1615" s="17"/>
      <c r="AD1615" s="17"/>
      <c r="AE1615" s="17"/>
    </row>
    <row r="1616">
      <c r="A1616" s="72"/>
      <c r="B1616" s="12"/>
      <c r="C1616" s="12"/>
      <c r="D1616" s="12"/>
      <c r="E1616" s="13"/>
      <c r="F1616" s="13"/>
      <c r="G1616" s="13"/>
      <c r="H1616" s="13"/>
      <c r="I1616" s="13"/>
      <c r="J1616" s="13"/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6"/>
      <c r="W1616" s="13"/>
      <c r="X1616" s="13"/>
      <c r="Y1616" s="13"/>
      <c r="Z1616" s="13"/>
      <c r="AA1616" s="17"/>
      <c r="AB1616" s="17"/>
      <c r="AC1616" s="17"/>
      <c r="AD1616" s="17"/>
      <c r="AE1616" s="17"/>
    </row>
    <row r="1617">
      <c r="A1617" s="72"/>
      <c r="B1617" s="12"/>
      <c r="C1617" s="12"/>
      <c r="D1617" s="12"/>
      <c r="E1617" s="13"/>
      <c r="F1617" s="13"/>
      <c r="G1617" s="13"/>
      <c r="H1617" s="13"/>
      <c r="I1617" s="13"/>
      <c r="J1617" s="13"/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16"/>
      <c r="W1617" s="13"/>
      <c r="X1617" s="13"/>
      <c r="Y1617" s="13"/>
      <c r="Z1617" s="13"/>
      <c r="AA1617" s="17"/>
      <c r="AB1617" s="17"/>
      <c r="AC1617" s="17"/>
      <c r="AD1617" s="17"/>
      <c r="AE1617" s="17"/>
    </row>
    <row r="1618">
      <c r="A1618" s="72"/>
      <c r="B1618" s="12"/>
      <c r="C1618" s="12"/>
      <c r="D1618" s="12"/>
      <c r="E1618" s="13"/>
      <c r="F1618" s="13"/>
      <c r="G1618" s="13"/>
      <c r="H1618" s="13"/>
      <c r="I1618" s="13"/>
      <c r="J1618" s="13"/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16"/>
      <c r="W1618" s="13"/>
      <c r="X1618" s="13"/>
      <c r="Y1618" s="13"/>
      <c r="Z1618" s="13"/>
      <c r="AA1618" s="17"/>
      <c r="AB1618" s="17"/>
      <c r="AC1618" s="17"/>
      <c r="AD1618" s="17"/>
      <c r="AE1618" s="17"/>
    </row>
    <row r="1619">
      <c r="A1619" s="72"/>
      <c r="B1619" s="12"/>
      <c r="C1619" s="12"/>
      <c r="D1619" s="12"/>
      <c r="E1619" s="13"/>
      <c r="F1619" s="13"/>
      <c r="G1619" s="13"/>
      <c r="H1619" s="13"/>
      <c r="I1619" s="13"/>
      <c r="J1619" s="13"/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16"/>
      <c r="W1619" s="13"/>
      <c r="X1619" s="13"/>
      <c r="Y1619" s="13"/>
      <c r="Z1619" s="13"/>
      <c r="AA1619" s="17"/>
      <c r="AB1619" s="17"/>
      <c r="AC1619" s="17"/>
      <c r="AD1619" s="17"/>
      <c r="AE1619" s="17"/>
    </row>
    <row r="1620">
      <c r="A1620" s="72"/>
      <c r="B1620" s="12"/>
      <c r="C1620" s="12"/>
      <c r="D1620" s="12"/>
      <c r="E1620" s="13"/>
      <c r="F1620" s="13"/>
      <c r="G1620" s="13"/>
      <c r="H1620" s="13"/>
      <c r="I1620" s="13"/>
      <c r="J1620" s="13"/>
      <c r="K1620" s="13"/>
      <c r="L1620" s="13"/>
      <c r="M1620" s="13"/>
      <c r="N1620" s="13"/>
      <c r="O1620" s="13"/>
      <c r="P1620" s="13"/>
      <c r="Q1620" s="13"/>
      <c r="R1620" s="13"/>
      <c r="S1620" s="13"/>
      <c r="T1620" s="13"/>
      <c r="U1620" s="13"/>
      <c r="V1620" s="16"/>
      <c r="W1620" s="13"/>
      <c r="X1620" s="13"/>
      <c r="Y1620" s="13"/>
      <c r="Z1620" s="13"/>
      <c r="AA1620" s="17"/>
      <c r="AB1620" s="17"/>
      <c r="AC1620" s="17"/>
      <c r="AD1620" s="17"/>
      <c r="AE1620" s="17"/>
    </row>
    <row r="1621">
      <c r="A1621" s="72"/>
      <c r="B1621" s="12"/>
      <c r="C1621" s="12"/>
      <c r="D1621" s="12"/>
      <c r="E1621" s="13"/>
      <c r="F1621" s="13"/>
      <c r="G1621" s="13"/>
      <c r="H1621" s="13"/>
      <c r="I1621" s="13"/>
      <c r="J1621" s="13"/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6"/>
      <c r="W1621" s="13"/>
      <c r="X1621" s="13"/>
      <c r="Y1621" s="13"/>
      <c r="Z1621" s="13"/>
      <c r="AA1621" s="17"/>
      <c r="AB1621" s="17"/>
      <c r="AC1621" s="17"/>
      <c r="AD1621" s="17"/>
      <c r="AE1621" s="17"/>
    </row>
    <row r="1622">
      <c r="A1622" s="72"/>
      <c r="B1622" s="12"/>
      <c r="C1622" s="12"/>
      <c r="D1622" s="12"/>
      <c r="E1622" s="13"/>
      <c r="F1622" s="13"/>
      <c r="G1622" s="13"/>
      <c r="H1622" s="13"/>
      <c r="I1622" s="13"/>
      <c r="J1622" s="13"/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16"/>
      <c r="W1622" s="13"/>
      <c r="X1622" s="13"/>
      <c r="Y1622" s="13"/>
      <c r="Z1622" s="13"/>
      <c r="AA1622" s="17"/>
      <c r="AB1622" s="17"/>
      <c r="AC1622" s="17"/>
      <c r="AD1622" s="17"/>
      <c r="AE1622" s="17"/>
    </row>
    <row r="1623">
      <c r="A1623" s="72"/>
      <c r="B1623" s="12"/>
      <c r="C1623" s="12"/>
      <c r="D1623" s="12"/>
      <c r="E1623" s="13"/>
      <c r="F1623" s="13"/>
      <c r="G1623" s="13"/>
      <c r="H1623" s="13"/>
      <c r="I1623" s="13"/>
      <c r="J1623" s="13"/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6"/>
      <c r="W1623" s="13"/>
      <c r="X1623" s="13"/>
      <c r="Y1623" s="13"/>
      <c r="Z1623" s="13"/>
      <c r="AA1623" s="17"/>
      <c r="AB1623" s="17"/>
      <c r="AC1623" s="17"/>
      <c r="AD1623" s="17"/>
      <c r="AE1623" s="17"/>
    </row>
    <row r="1624">
      <c r="A1624" s="72"/>
      <c r="B1624" s="12"/>
      <c r="C1624" s="12"/>
      <c r="D1624" s="12"/>
      <c r="E1624" s="13"/>
      <c r="F1624" s="13"/>
      <c r="G1624" s="13"/>
      <c r="H1624" s="13"/>
      <c r="I1624" s="13"/>
      <c r="J1624" s="13"/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6"/>
      <c r="W1624" s="13"/>
      <c r="X1624" s="13"/>
      <c r="Y1624" s="13"/>
      <c r="Z1624" s="13"/>
      <c r="AA1624" s="17"/>
      <c r="AB1624" s="17"/>
      <c r="AC1624" s="17"/>
      <c r="AD1624" s="17"/>
      <c r="AE1624" s="17"/>
    </row>
    <row r="1625">
      <c r="A1625" s="72"/>
      <c r="B1625" s="12"/>
      <c r="C1625" s="12"/>
      <c r="D1625" s="12"/>
      <c r="E1625" s="13"/>
      <c r="F1625" s="13"/>
      <c r="G1625" s="13"/>
      <c r="H1625" s="13"/>
      <c r="I1625" s="13"/>
      <c r="J1625" s="13"/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6"/>
      <c r="W1625" s="13"/>
      <c r="X1625" s="13"/>
      <c r="Y1625" s="13"/>
      <c r="Z1625" s="13"/>
      <c r="AA1625" s="17"/>
      <c r="AB1625" s="17"/>
      <c r="AC1625" s="17"/>
      <c r="AD1625" s="17"/>
      <c r="AE1625" s="17"/>
    </row>
    <row r="1626">
      <c r="A1626" s="72"/>
      <c r="B1626" s="12"/>
      <c r="C1626" s="12"/>
      <c r="D1626" s="12"/>
      <c r="E1626" s="13"/>
      <c r="F1626" s="13"/>
      <c r="G1626" s="13"/>
      <c r="H1626" s="13"/>
      <c r="I1626" s="13"/>
      <c r="J1626" s="13"/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6"/>
      <c r="W1626" s="13"/>
      <c r="X1626" s="13"/>
      <c r="Y1626" s="13"/>
      <c r="Z1626" s="13"/>
      <c r="AA1626" s="17"/>
      <c r="AB1626" s="17"/>
      <c r="AC1626" s="17"/>
      <c r="AD1626" s="17"/>
      <c r="AE1626" s="17"/>
    </row>
    <row r="1627">
      <c r="A1627" s="72"/>
      <c r="B1627" s="12"/>
      <c r="C1627" s="12"/>
      <c r="D1627" s="12"/>
      <c r="E1627" s="13"/>
      <c r="F1627" s="13"/>
      <c r="G1627" s="13"/>
      <c r="H1627" s="13"/>
      <c r="I1627" s="13"/>
      <c r="J1627" s="13"/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6"/>
      <c r="W1627" s="13"/>
      <c r="X1627" s="13"/>
      <c r="Y1627" s="13"/>
      <c r="Z1627" s="13"/>
      <c r="AA1627" s="17"/>
      <c r="AB1627" s="17"/>
      <c r="AC1627" s="17"/>
      <c r="AD1627" s="17"/>
      <c r="AE1627" s="17"/>
    </row>
    <row r="1628">
      <c r="A1628" s="72"/>
      <c r="B1628" s="12"/>
      <c r="C1628" s="12"/>
      <c r="D1628" s="12"/>
      <c r="E1628" s="13"/>
      <c r="F1628" s="13"/>
      <c r="G1628" s="13"/>
      <c r="H1628" s="13"/>
      <c r="I1628" s="13"/>
      <c r="J1628" s="13"/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16"/>
      <c r="W1628" s="13"/>
      <c r="X1628" s="13"/>
      <c r="Y1628" s="13"/>
      <c r="Z1628" s="13"/>
      <c r="AA1628" s="17"/>
      <c r="AB1628" s="17"/>
      <c r="AC1628" s="17"/>
      <c r="AD1628" s="17"/>
      <c r="AE1628" s="17"/>
    </row>
    <row r="1629">
      <c r="A1629" s="72"/>
      <c r="B1629" s="12"/>
      <c r="C1629" s="12"/>
      <c r="D1629" s="12"/>
      <c r="E1629" s="13"/>
      <c r="F1629" s="13"/>
      <c r="G1629" s="13"/>
      <c r="H1629" s="13"/>
      <c r="I1629" s="13"/>
      <c r="J1629" s="13"/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6"/>
      <c r="W1629" s="13"/>
      <c r="X1629" s="13"/>
      <c r="Y1629" s="13"/>
      <c r="Z1629" s="13"/>
      <c r="AA1629" s="17"/>
      <c r="AB1629" s="17"/>
      <c r="AC1629" s="17"/>
      <c r="AD1629" s="17"/>
      <c r="AE1629" s="17"/>
    </row>
    <row r="1630">
      <c r="A1630" s="72"/>
      <c r="B1630" s="12"/>
      <c r="C1630" s="12"/>
      <c r="D1630" s="12"/>
      <c r="E1630" s="13"/>
      <c r="F1630" s="13"/>
      <c r="G1630" s="13"/>
      <c r="H1630" s="13"/>
      <c r="I1630" s="13"/>
      <c r="J1630" s="13"/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6"/>
      <c r="W1630" s="13"/>
      <c r="X1630" s="13"/>
      <c r="Y1630" s="13"/>
      <c r="Z1630" s="13"/>
      <c r="AA1630" s="17"/>
      <c r="AB1630" s="17"/>
      <c r="AC1630" s="17"/>
      <c r="AD1630" s="17"/>
      <c r="AE1630" s="17"/>
    </row>
    <row r="1631">
      <c r="A1631" s="72"/>
      <c r="B1631" s="12"/>
      <c r="C1631" s="12"/>
      <c r="D1631" s="12"/>
      <c r="E1631" s="13"/>
      <c r="F1631" s="13"/>
      <c r="G1631" s="13"/>
      <c r="H1631" s="13"/>
      <c r="I1631" s="13"/>
      <c r="J1631" s="13"/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6"/>
      <c r="W1631" s="13"/>
      <c r="X1631" s="13"/>
      <c r="Y1631" s="13"/>
      <c r="Z1631" s="13"/>
      <c r="AA1631" s="17"/>
      <c r="AB1631" s="17"/>
      <c r="AC1631" s="17"/>
      <c r="AD1631" s="17"/>
      <c r="AE1631" s="17"/>
    </row>
    <row r="1632">
      <c r="A1632" s="72"/>
      <c r="B1632" s="12"/>
      <c r="C1632" s="12"/>
      <c r="D1632" s="12"/>
      <c r="E1632" s="13"/>
      <c r="F1632" s="13"/>
      <c r="G1632" s="13"/>
      <c r="H1632" s="13"/>
      <c r="I1632" s="13"/>
      <c r="J1632" s="13"/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6"/>
      <c r="W1632" s="13"/>
      <c r="X1632" s="13"/>
      <c r="Y1632" s="13"/>
      <c r="Z1632" s="13"/>
      <c r="AA1632" s="17"/>
      <c r="AB1632" s="17"/>
      <c r="AC1632" s="17"/>
      <c r="AD1632" s="17"/>
      <c r="AE1632" s="17"/>
    </row>
    <row r="1633">
      <c r="A1633" s="72"/>
      <c r="B1633" s="12"/>
      <c r="C1633" s="12"/>
      <c r="D1633" s="12"/>
      <c r="E1633" s="13"/>
      <c r="F1633" s="13"/>
      <c r="G1633" s="13"/>
      <c r="H1633" s="13"/>
      <c r="I1633" s="13"/>
      <c r="J1633" s="13"/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6"/>
      <c r="W1633" s="13"/>
      <c r="X1633" s="13"/>
      <c r="Y1633" s="13"/>
      <c r="Z1633" s="13"/>
      <c r="AA1633" s="17"/>
      <c r="AB1633" s="17"/>
      <c r="AC1633" s="17"/>
      <c r="AD1633" s="17"/>
      <c r="AE1633" s="17"/>
    </row>
    <row r="1634">
      <c r="A1634" s="72"/>
      <c r="B1634" s="12"/>
      <c r="C1634" s="12"/>
      <c r="D1634" s="12"/>
      <c r="E1634" s="13"/>
      <c r="F1634" s="13"/>
      <c r="G1634" s="13"/>
      <c r="H1634" s="13"/>
      <c r="I1634" s="13"/>
      <c r="J1634" s="13"/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6"/>
      <c r="W1634" s="13"/>
      <c r="X1634" s="13"/>
      <c r="Y1634" s="13"/>
      <c r="Z1634" s="13"/>
      <c r="AA1634" s="17"/>
      <c r="AB1634" s="17"/>
      <c r="AC1634" s="17"/>
      <c r="AD1634" s="17"/>
      <c r="AE1634" s="17"/>
    </row>
    <row r="1635">
      <c r="A1635" s="72"/>
      <c r="B1635" s="12"/>
      <c r="C1635" s="12"/>
      <c r="D1635" s="12"/>
      <c r="E1635" s="13"/>
      <c r="F1635" s="13"/>
      <c r="G1635" s="13"/>
      <c r="H1635" s="13"/>
      <c r="I1635" s="13"/>
      <c r="J1635" s="13"/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6"/>
      <c r="W1635" s="13"/>
      <c r="X1635" s="13"/>
      <c r="Y1635" s="13"/>
      <c r="Z1635" s="13"/>
      <c r="AA1635" s="17"/>
      <c r="AB1635" s="17"/>
      <c r="AC1635" s="17"/>
      <c r="AD1635" s="17"/>
      <c r="AE1635" s="17"/>
    </row>
    <row r="1636">
      <c r="A1636" s="72"/>
      <c r="B1636" s="12"/>
      <c r="C1636" s="12"/>
      <c r="D1636" s="12"/>
      <c r="E1636" s="13"/>
      <c r="F1636" s="13"/>
      <c r="G1636" s="13"/>
      <c r="H1636" s="13"/>
      <c r="I1636" s="13"/>
      <c r="J1636" s="13"/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6"/>
      <c r="W1636" s="13"/>
      <c r="X1636" s="13"/>
      <c r="Y1636" s="13"/>
      <c r="Z1636" s="13"/>
      <c r="AA1636" s="17"/>
      <c r="AB1636" s="17"/>
      <c r="AC1636" s="17"/>
      <c r="AD1636" s="17"/>
      <c r="AE1636" s="17"/>
    </row>
    <row r="1637">
      <c r="A1637" s="72"/>
      <c r="B1637" s="12"/>
      <c r="C1637" s="12"/>
      <c r="D1637" s="12"/>
      <c r="E1637" s="13"/>
      <c r="F1637" s="13"/>
      <c r="G1637" s="13"/>
      <c r="H1637" s="13"/>
      <c r="I1637" s="13"/>
      <c r="J1637" s="13"/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6"/>
      <c r="W1637" s="13"/>
      <c r="X1637" s="13"/>
      <c r="Y1637" s="13"/>
      <c r="Z1637" s="13"/>
      <c r="AA1637" s="17"/>
      <c r="AB1637" s="17"/>
      <c r="AC1637" s="17"/>
      <c r="AD1637" s="17"/>
      <c r="AE1637" s="17"/>
    </row>
    <row r="1638">
      <c r="A1638" s="72"/>
      <c r="B1638" s="12"/>
      <c r="C1638" s="12"/>
      <c r="D1638" s="12"/>
      <c r="E1638" s="13"/>
      <c r="F1638" s="13"/>
      <c r="G1638" s="13"/>
      <c r="H1638" s="13"/>
      <c r="I1638" s="13"/>
      <c r="J1638" s="13"/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6"/>
      <c r="W1638" s="13"/>
      <c r="X1638" s="13"/>
      <c r="Y1638" s="13"/>
      <c r="Z1638" s="13"/>
      <c r="AA1638" s="17"/>
      <c r="AB1638" s="17"/>
      <c r="AC1638" s="17"/>
      <c r="AD1638" s="17"/>
      <c r="AE1638" s="17"/>
    </row>
    <row r="1639">
      <c r="A1639" s="72"/>
      <c r="B1639" s="12"/>
      <c r="C1639" s="12"/>
      <c r="D1639" s="12"/>
      <c r="E1639" s="13"/>
      <c r="F1639" s="13"/>
      <c r="G1639" s="13"/>
      <c r="H1639" s="13"/>
      <c r="I1639" s="13"/>
      <c r="J1639" s="13"/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6"/>
      <c r="W1639" s="13"/>
      <c r="X1639" s="13"/>
      <c r="Y1639" s="13"/>
      <c r="Z1639" s="13"/>
      <c r="AA1639" s="17"/>
      <c r="AB1639" s="17"/>
      <c r="AC1639" s="17"/>
      <c r="AD1639" s="17"/>
      <c r="AE1639" s="17"/>
    </row>
    <row r="1640">
      <c r="A1640" s="72"/>
      <c r="B1640" s="12"/>
      <c r="C1640" s="12"/>
      <c r="D1640" s="12"/>
      <c r="E1640" s="13"/>
      <c r="F1640" s="13"/>
      <c r="G1640" s="13"/>
      <c r="H1640" s="13"/>
      <c r="I1640" s="13"/>
      <c r="J1640" s="13"/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16"/>
      <c r="W1640" s="13"/>
      <c r="X1640" s="13"/>
      <c r="Y1640" s="13"/>
      <c r="Z1640" s="13"/>
      <c r="AA1640" s="17"/>
      <c r="AB1640" s="17"/>
      <c r="AC1640" s="17"/>
      <c r="AD1640" s="17"/>
      <c r="AE1640" s="17"/>
    </row>
    <row r="1641">
      <c r="A1641" s="72"/>
      <c r="B1641" s="12"/>
      <c r="C1641" s="12"/>
      <c r="D1641" s="12"/>
      <c r="E1641" s="13"/>
      <c r="F1641" s="13"/>
      <c r="G1641" s="13"/>
      <c r="H1641" s="13"/>
      <c r="I1641" s="13"/>
      <c r="J1641" s="13"/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16"/>
      <c r="W1641" s="13"/>
      <c r="X1641" s="13"/>
      <c r="Y1641" s="13"/>
      <c r="Z1641" s="13"/>
      <c r="AA1641" s="17"/>
      <c r="AB1641" s="17"/>
      <c r="AC1641" s="17"/>
      <c r="AD1641" s="17"/>
      <c r="AE1641" s="17"/>
    </row>
    <row r="1642">
      <c r="A1642" s="72"/>
      <c r="B1642" s="12"/>
      <c r="C1642" s="12"/>
      <c r="D1642" s="12"/>
      <c r="E1642" s="13"/>
      <c r="F1642" s="13"/>
      <c r="G1642" s="13"/>
      <c r="H1642" s="13"/>
      <c r="I1642" s="13"/>
      <c r="J1642" s="13"/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6"/>
      <c r="W1642" s="13"/>
      <c r="X1642" s="13"/>
      <c r="Y1642" s="13"/>
      <c r="Z1642" s="13"/>
      <c r="AA1642" s="17"/>
      <c r="AB1642" s="17"/>
      <c r="AC1642" s="17"/>
      <c r="AD1642" s="17"/>
      <c r="AE1642" s="17"/>
    </row>
    <row r="1643">
      <c r="A1643" s="72"/>
      <c r="B1643" s="12"/>
      <c r="C1643" s="12"/>
      <c r="D1643" s="12"/>
      <c r="E1643" s="13"/>
      <c r="F1643" s="13"/>
      <c r="G1643" s="13"/>
      <c r="H1643" s="13"/>
      <c r="I1643" s="13"/>
      <c r="J1643" s="13"/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6"/>
      <c r="W1643" s="13"/>
      <c r="X1643" s="13"/>
      <c r="Y1643" s="13"/>
      <c r="Z1643" s="13"/>
      <c r="AA1643" s="17"/>
      <c r="AB1643" s="17"/>
      <c r="AC1643" s="17"/>
      <c r="AD1643" s="17"/>
      <c r="AE1643" s="17"/>
    </row>
    <row r="1644">
      <c r="A1644" s="72"/>
      <c r="B1644" s="12"/>
      <c r="C1644" s="12"/>
      <c r="D1644" s="12"/>
      <c r="E1644" s="13"/>
      <c r="F1644" s="13"/>
      <c r="G1644" s="13"/>
      <c r="H1644" s="13"/>
      <c r="I1644" s="13"/>
      <c r="J1644" s="13"/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16"/>
      <c r="W1644" s="13"/>
      <c r="X1644" s="13"/>
      <c r="Y1644" s="13"/>
      <c r="Z1644" s="13"/>
      <c r="AA1644" s="17"/>
      <c r="AB1644" s="17"/>
      <c r="AC1644" s="17"/>
      <c r="AD1644" s="17"/>
      <c r="AE1644" s="17"/>
    </row>
    <row r="1645">
      <c r="A1645" s="72"/>
      <c r="B1645" s="12"/>
      <c r="C1645" s="12"/>
      <c r="D1645" s="12"/>
      <c r="E1645" s="13"/>
      <c r="F1645" s="13"/>
      <c r="G1645" s="13"/>
      <c r="H1645" s="13"/>
      <c r="I1645" s="13"/>
      <c r="J1645" s="13"/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6"/>
      <c r="W1645" s="13"/>
      <c r="X1645" s="13"/>
      <c r="Y1645" s="13"/>
      <c r="Z1645" s="13"/>
      <c r="AA1645" s="17"/>
      <c r="AB1645" s="17"/>
      <c r="AC1645" s="17"/>
      <c r="AD1645" s="17"/>
      <c r="AE1645" s="17"/>
    </row>
    <row r="1646">
      <c r="A1646" s="72"/>
      <c r="B1646" s="12"/>
      <c r="C1646" s="12"/>
      <c r="D1646" s="12"/>
      <c r="E1646" s="13"/>
      <c r="F1646" s="13"/>
      <c r="G1646" s="13"/>
      <c r="H1646" s="13"/>
      <c r="I1646" s="13"/>
      <c r="J1646" s="13"/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16"/>
      <c r="W1646" s="13"/>
      <c r="X1646" s="13"/>
      <c r="Y1646" s="13"/>
      <c r="Z1646" s="13"/>
      <c r="AA1646" s="17"/>
      <c r="AB1646" s="17"/>
      <c r="AC1646" s="17"/>
      <c r="AD1646" s="17"/>
      <c r="AE1646" s="17"/>
    </row>
    <row r="1647">
      <c r="A1647" s="72"/>
      <c r="B1647" s="12"/>
      <c r="C1647" s="12"/>
      <c r="D1647" s="12"/>
      <c r="E1647" s="13"/>
      <c r="F1647" s="13"/>
      <c r="G1647" s="13"/>
      <c r="H1647" s="13"/>
      <c r="I1647" s="13"/>
      <c r="J1647" s="13"/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6"/>
      <c r="W1647" s="13"/>
      <c r="X1647" s="13"/>
      <c r="Y1647" s="13"/>
      <c r="Z1647" s="13"/>
      <c r="AA1647" s="17"/>
      <c r="AB1647" s="17"/>
      <c r="AC1647" s="17"/>
      <c r="AD1647" s="17"/>
      <c r="AE1647" s="17"/>
    </row>
    <row r="1648">
      <c r="A1648" s="72"/>
      <c r="B1648" s="12"/>
      <c r="C1648" s="12"/>
      <c r="D1648" s="12"/>
      <c r="E1648" s="13"/>
      <c r="F1648" s="13"/>
      <c r="G1648" s="13"/>
      <c r="H1648" s="13"/>
      <c r="I1648" s="13"/>
      <c r="J1648" s="13"/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6"/>
      <c r="W1648" s="13"/>
      <c r="X1648" s="13"/>
      <c r="Y1648" s="13"/>
      <c r="Z1648" s="13"/>
      <c r="AA1648" s="17"/>
      <c r="AB1648" s="17"/>
      <c r="AC1648" s="17"/>
      <c r="AD1648" s="17"/>
      <c r="AE1648" s="17"/>
    </row>
    <row r="1649">
      <c r="A1649" s="72"/>
      <c r="B1649" s="12"/>
      <c r="C1649" s="12"/>
      <c r="D1649" s="12"/>
      <c r="E1649" s="13"/>
      <c r="F1649" s="13"/>
      <c r="G1649" s="13"/>
      <c r="H1649" s="13"/>
      <c r="I1649" s="13"/>
      <c r="J1649" s="13"/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6"/>
      <c r="W1649" s="13"/>
      <c r="X1649" s="13"/>
      <c r="Y1649" s="13"/>
      <c r="Z1649" s="13"/>
      <c r="AA1649" s="17"/>
      <c r="AB1649" s="17"/>
      <c r="AC1649" s="17"/>
      <c r="AD1649" s="17"/>
      <c r="AE1649" s="17"/>
    </row>
    <row r="1650">
      <c r="A1650" s="72"/>
      <c r="B1650" s="12"/>
      <c r="C1650" s="12"/>
      <c r="D1650" s="12"/>
      <c r="E1650" s="13"/>
      <c r="F1650" s="13"/>
      <c r="G1650" s="13"/>
      <c r="H1650" s="13"/>
      <c r="I1650" s="13"/>
      <c r="J1650" s="13"/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6"/>
      <c r="W1650" s="13"/>
      <c r="X1650" s="13"/>
      <c r="Y1650" s="13"/>
      <c r="Z1650" s="13"/>
      <c r="AA1650" s="17"/>
      <c r="AB1650" s="17"/>
      <c r="AC1650" s="17"/>
      <c r="AD1650" s="17"/>
      <c r="AE1650" s="17"/>
    </row>
    <row r="1651">
      <c r="A1651" s="72"/>
      <c r="B1651" s="12"/>
      <c r="C1651" s="12"/>
      <c r="D1651" s="12"/>
      <c r="E1651" s="13"/>
      <c r="F1651" s="13"/>
      <c r="G1651" s="13"/>
      <c r="H1651" s="13"/>
      <c r="I1651" s="13"/>
      <c r="J1651" s="13"/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6"/>
      <c r="W1651" s="13"/>
      <c r="X1651" s="13"/>
      <c r="Y1651" s="13"/>
      <c r="Z1651" s="13"/>
      <c r="AA1651" s="17"/>
      <c r="AB1651" s="17"/>
      <c r="AC1651" s="17"/>
      <c r="AD1651" s="17"/>
      <c r="AE1651" s="17"/>
    </row>
    <row r="1652">
      <c r="A1652" s="72"/>
      <c r="B1652" s="12"/>
      <c r="C1652" s="12"/>
      <c r="D1652" s="12"/>
      <c r="E1652" s="13"/>
      <c r="F1652" s="13"/>
      <c r="G1652" s="13"/>
      <c r="H1652" s="13"/>
      <c r="I1652" s="13"/>
      <c r="J1652" s="13"/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6"/>
      <c r="W1652" s="13"/>
      <c r="X1652" s="13"/>
      <c r="Y1652" s="13"/>
      <c r="Z1652" s="13"/>
      <c r="AA1652" s="17"/>
      <c r="AB1652" s="17"/>
      <c r="AC1652" s="17"/>
      <c r="AD1652" s="17"/>
      <c r="AE1652" s="17"/>
    </row>
    <row r="1653">
      <c r="A1653" s="72"/>
      <c r="B1653" s="12"/>
      <c r="C1653" s="12"/>
      <c r="D1653" s="12"/>
      <c r="E1653" s="13"/>
      <c r="F1653" s="13"/>
      <c r="G1653" s="13"/>
      <c r="H1653" s="13"/>
      <c r="I1653" s="13"/>
      <c r="J1653" s="13"/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6"/>
      <c r="W1653" s="13"/>
      <c r="X1653" s="13"/>
      <c r="Y1653" s="13"/>
      <c r="Z1653" s="13"/>
      <c r="AA1653" s="17"/>
      <c r="AB1653" s="17"/>
      <c r="AC1653" s="17"/>
      <c r="AD1653" s="17"/>
      <c r="AE1653" s="17"/>
    </row>
    <row r="1654">
      <c r="A1654" s="72"/>
      <c r="B1654" s="12"/>
      <c r="C1654" s="12"/>
      <c r="D1654" s="12"/>
      <c r="E1654" s="13"/>
      <c r="F1654" s="13"/>
      <c r="G1654" s="13"/>
      <c r="H1654" s="13"/>
      <c r="I1654" s="13"/>
      <c r="J1654" s="13"/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16"/>
      <c r="W1654" s="13"/>
      <c r="X1654" s="13"/>
      <c r="Y1654" s="13"/>
      <c r="Z1654" s="13"/>
      <c r="AA1654" s="17"/>
      <c r="AB1654" s="17"/>
      <c r="AC1654" s="17"/>
      <c r="AD1654" s="17"/>
      <c r="AE1654" s="17"/>
    </row>
    <row r="1655">
      <c r="A1655" s="72"/>
      <c r="B1655" s="12"/>
      <c r="C1655" s="12"/>
      <c r="D1655" s="12"/>
      <c r="E1655" s="13"/>
      <c r="F1655" s="13"/>
      <c r="G1655" s="13"/>
      <c r="H1655" s="13"/>
      <c r="I1655" s="13"/>
      <c r="J1655" s="13"/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6"/>
      <c r="W1655" s="13"/>
      <c r="X1655" s="13"/>
      <c r="Y1655" s="13"/>
      <c r="Z1655" s="13"/>
      <c r="AA1655" s="17"/>
      <c r="AB1655" s="17"/>
      <c r="AC1655" s="17"/>
      <c r="AD1655" s="17"/>
      <c r="AE1655" s="17"/>
    </row>
    <row r="1656">
      <c r="A1656" s="72"/>
      <c r="B1656" s="12"/>
      <c r="C1656" s="12"/>
      <c r="D1656" s="12"/>
      <c r="E1656" s="13"/>
      <c r="F1656" s="13"/>
      <c r="G1656" s="13"/>
      <c r="H1656" s="13"/>
      <c r="I1656" s="13"/>
      <c r="J1656" s="13"/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6"/>
      <c r="W1656" s="13"/>
      <c r="X1656" s="13"/>
      <c r="Y1656" s="13"/>
      <c r="Z1656" s="13"/>
      <c r="AA1656" s="17"/>
      <c r="AB1656" s="17"/>
      <c r="AC1656" s="17"/>
      <c r="AD1656" s="17"/>
      <c r="AE1656" s="17"/>
    </row>
    <row r="1657">
      <c r="A1657" s="72"/>
      <c r="B1657" s="12"/>
      <c r="C1657" s="12"/>
      <c r="D1657" s="12"/>
      <c r="E1657" s="13"/>
      <c r="F1657" s="13"/>
      <c r="G1657" s="13"/>
      <c r="H1657" s="13"/>
      <c r="I1657" s="13"/>
      <c r="J1657" s="13"/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16"/>
      <c r="W1657" s="13"/>
      <c r="X1657" s="13"/>
      <c r="Y1657" s="13"/>
      <c r="Z1657" s="13"/>
      <c r="AA1657" s="17"/>
      <c r="AB1657" s="17"/>
      <c r="AC1657" s="17"/>
      <c r="AD1657" s="17"/>
      <c r="AE1657" s="17"/>
    </row>
    <row r="1658">
      <c r="A1658" s="72"/>
      <c r="B1658" s="12"/>
      <c r="C1658" s="12"/>
      <c r="D1658" s="12"/>
      <c r="E1658" s="13"/>
      <c r="F1658" s="13"/>
      <c r="G1658" s="13"/>
      <c r="H1658" s="13"/>
      <c r="I1658" s="13"/>
      <c r="J1658" s="13"/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16"/>
      <c r="W1658" s="13"/>
      <c r="X1658" s="13"/>
      <c r="Y1658" s="13"/>
      <c r="Z1658" s="13"/>
      <c r="AA1658" s="17"/>
      <c r="AB1658" s="17"/>
      <c r="AC1658" s="17"/>
      <c r="AD1658" s="17"/>
      <c r="AE1658" s="17"/>
    </row>
    <row r="1659">
      <c r="A1659" s="72"/>
      <c r="B1659" s="12"/>
      <c r="C1659" s="12"/>
      <c r="D1659" s="12"/>
      <c r="E1659" s="13"/>
      <c r="F1659" s="13"/>
      <c r="G1659" s="13"/>
      <c r="H1659" s="13"/>
      <c r="I1659" s="13"/>
      <c r="J1659" s="13"/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6"/>
      <c r="W1659" s="13"/>
      <c r="X1659" s="13"/>
      <c r="Y1659" s="13"/>
      <c r="Z1659" s="13"/>
      <c r="AA1659" s="17"/>
      <c r="AB1659" s="17"/>
      <c r="AC1659" s="17"/>
      <c r="AD1659" s="17"/>
      <c r="AE1659" s="17"/>
    </row>
    <row r="1660">
      <c r="A1660" s="72"/>
      <c r="B1660" s="12"/>
      <c r="C1660" s="12"/>
      <c r="D1660" s="12"/>
      <c r="E1660" s="13"/>
      <c r="F1660" s="13"/>
      <c r="G1660" s="13"/>
      <c r="H1660" s="13"/>
      <c r="I1660" s="13"/>
      <c r="J1660" s="13"/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16"/>
      <c r="W1660" s="13"/>
      <c r="X1660" s="13"/>
      <c r="Y1660" s="13"/>
      <c r="Z1660" s="13"/>
      <c r="AA1660" s="17"/>
      <c r="AB1660" s="17"/>
      <c r="AC1660" s="17"/>
      <c r="AD1660" s="17"/>
      <c r="AE1660" s="17"/>
    </row>
    <row r="1661">
      <c r="A1661" s="72"/>
      <c r="B1661" s="12"/>
      <c r="C1661" s="12"/>
      <c r="D1661" s="12"/>
      <c r="E1661" s="13"/>
      <c r="F1661" s="13"/>
      <c r="G1661" s="13"/>
      <c r="H1661" s="13"/>
      <c r="I1661" s="13"/>
      <c r="J1661" s="13"/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6"/>
      <c r="W1661" s="13"/>
      <c r="X1661" s="13"/>
      <c r="Y1661" s="13"/>
      <c r="Z1661" s="13"/>
      <c r="AA1661" s="17"/>
      <c r="AB1661" s="17"/>
      <c r="AC1661" s="17"/>
      <c r="AD1661" s="17"/>
      <c r="AE1661" s="17"/>
    </row>
    <row r="1662">
      <c r="A1662" s="72"/>
      <c r="B1662" s="12"/>
      <c r="C1662" s="12"/>
      <c r="D1662" s="12"/>
      <c r="E1662" s="13"/>
      <c r="F1662" s="13"/>
      <c r="G1662" s="13"/>
      <c r="H1662" s="13"/>
      <c r="I1662" s="13"/>
      <c r="J1662" s="13"/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16"/>
      <c r="W1662" s="13"/>
      <c r="X1662" s="13"/>
      <c r="Y1662" s="13"/>
      <c r="Z1662" s="13"/>
      <c r="AA1662" s="17"/>
      <c r="AB1662" s="17"/>
      <c r="AC1662" s="17"/>
      <c r="AD1662" s="17"/>
      <c r="AE1662" s="17"/>
    </row>
    <row r="1663">
      <c r="A1663" s="72"/>
      <c r="B1663" s="12"/>
      <c r="C1663" s="12"/>
      <c r="D1663" s="12"/>
      <c r="E1663" s="13"/>
      <c r="F1663" s="13"/>
      <c r="G1663" s="13"/>
      <c r="H1663" s="13"/>
      <c r="I1663" s="13"/>
      <c r="J1663" s="13"/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6"/>
      <c r="W1663" s="13"/>
      <c r="X1663" s="13"/>
      <c r="Y1663" s="13"/>
      <c r="Z1663" s="13"/>
      <c r="AA1663" s="17"/>
      <c r="AB1663" s="17"/>
      <c r="AC1663" s="17"/>
      <c r="AD1663" s="17"/>
      <c r="AE1663" s="17"/>
    </row>
    <row r="1664">
      <c r="A1664" s="72"/>
      <c r="B1664" s="12"/>
      <c r="C1664" s="12"/>
      <c r="D1664" s="12"/>
      <c r="E1664" s="13"/>
      <c r="F1664" s="13"/>
      <c r="G1664" s="13"/>
      <c r="H1664" s="13"/>
      <c r="I1664" s="13"/>
      <c r="J1664" s="13"/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6"/>
      <c r="W1664" s="13"/>
      <c r="X1664" s="13"/>
      <c r="Y1664" s="13"/>
      <c r="Z1664" s="13"/>
      <c r="AA1664" s="17"/>
      <c r="AB1664" s="17"/>
      <c r="AC1664" s="17"/>
      <c r="AD1664" s="17"/>
      <c r="AE1664" s="17"/>
    </row>
    <row r="1665">
      <c r="A1665" s="72"/>
      <c r="B1665" s="12"/>
      <c r="C1665" s="12"/>
      <c r="D1665" s="12"/>
      <c r="E1665" s="13"/>
      <c r="F1665" s="13"/>
      <c r="G1665" s="13"/>
      <c r="H1665" s="13"/>
      <c r="I1665" s="13"/>
      <c r="J1665" s="13"/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6"/>
      <c r="W1665" s="13"/>
      <c r="X1665" s="13"/>
      <c r="Y1665" s="13"/>
      <c r="Z1665" s="13"/>
      <c r="AA1665" s="17"/>
      <c r="AB1665" s="17"/>
      <c r="AC1665" s="17"/>
      <c r="AD1665" s="17"/>
      <c r="AE1665" s="17"/>
    </row>
    <row r="1666">
      <c r="A1666" s="72"/>
      <c r="B1666" s="12"/>
      <c r="C1666" s="12"/>
      <c r="D1666" s="12"/>
      <c r="E1666" s="13"/>
      <c r="F1666" s="13"/>
      <c r="G1666" s="13"/>
      <c r="H1666" s="13"/>
      <c r="I1666" s="13"/>
      <c r="J1666" s="13"/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6"/>
      <c r="W1666" s="13"/>
      <c r="X1666" s="13"/>
      <c r="Y1666" s="13"/>
      <c r="Z1666" s="13"/>
      <c r="AA1666" s="17"/>
      <c r="AB1666" s="17"/>
      <c r="AC1666" s="17"/>
      <c r="AD1666" s="17"/>
      <c r="AE1666" s="17"/>
    </row>
    <row r="1667">
      <c r="A1667" s="72"/>
      <c r="B1667" s="12"/>
      <c r="C1667" s="12"/>
      <c r="D1667" s="12"/>
      <c r="E1667" s="13"/>
      <c r="F1667" s="13"/>
      <c r="G1667" s="13"/>
      <c r="H1667" s="13"/>
      <c r="I1667" s="13"/>
      <c r="J1667" s="13"/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16"/>
      <c r="W1667" s="13"/>
      <c r="X1667" s="13"/>
      <c r="Y1667" s="13"/>
      <c r="Z1667" s="13"/>
      <c r="AA1667" s="17"/>
      <c r="AB1667" s="17"/>
      <c r="AC1667" s="17"/>
      <c r="AD1667" s="17"/>
      <c r="AE1667" s="17"/>
    </row>
    <row r="1668">
      <c r="A1668" s="72"/>
      <c r="B1668" s="12"/>
      <c r="C1668" s="12"/>
      <c r="D1668" s="12"/>
      <c r="E1668" s="13"/>
      <c r="F1668" s="13"/>
      <c r="G1668" s="13"/>
      <c r="H1668" s="13"/>
      <c r="I1668" s="13"/>
      <c r="J1668" s="13"/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16"/>
      <c r="W1668" s="13"/>
      <c r="X1668" s="13"/>
      <c r="Y1668" s="13"/>
      <c r="Z1668" s="13"/>
      <c r="AA1668" s="17"/>
      <c r="AB1668" s="17"/>
      <c r="AC1668" s="17"/>
      <c r="AD1668" s="17"/>
      <c r="AE1668" s="17"/>
    </row>
    <row r="1669">
      <c r="A1669" s="72"/>
      <c r="B1669" s="12"/>
      <c r="C1669" s="12"/>
      <c r="D1669" s="12"/>
      <c r="E1669" s="13"/>
      <c r="F1669" s="13"/>
      <c r="G1669" s="13"/>
      <c r="H1669" s="13"/>
      <c r="I1669" s="13"/>
      <c r="J1669" s="13"/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16"/>
      <c r="W1669" s="13"/>
      <c r="X1669" s="13"/>
      <c r="Y1669" s="13"/>
      <c r="Z1669" s="13"/>
      <c r="AA1669" s="17"/>
      <c r="AB1669" s="17"/>
      <c r="AC1669" s="17"/>
      <c r="AD1669" s="17"/>
      <c r="AE1669" s="17"/>
    </row>
    <row r="1670">
      <c r="A1670" s="72"/>
      <c r="B1670" s="12"/>
      <c r="C1670" s="12"/>
      <c r="D1670" s="12"/>
      <c r="E1670" s="13"/>
      <c r="F1670" s="13"/>
      <c r="G1670" s="13"/>
      <c r="H1670" s="13"/>
      <c r="I1670" s="13"/>
      <c r="J1670" s="13"/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16"/>
      <c r="W1670" s="13"/>
      <c r="X1670" s="13"/>
      <c r="Y1670" s="13"/>
      <c r="Z1670" s="13"/>
      <c r="AA1670" s="17"/>
      <c r="AB1670" s="17"/>
      <c r="AC1670" s="17"/>
      <c r="AD1670" s="17"/>
      <c r="AE1670" s="17"/>
    </row>
    <row r="1671">
      <c r="A1671" s="72"/>
      <c r="B1671" s="12"/>
      <c r="C1671" s="12"/>
      <c r="D1671" s="12"/>
      <c r="E1671" s="13"/>
      <c r="F1671" s="13"/>
      <c r="G1671" s="13"/>
      <c r="H1671" s="13"/>
      <c r="I1671" s="13"/>
      <c r="J1671" s="13"/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6"/>
      <c r="W1671" s="13"/>
      <c r="X1671" s="13"/>
      <c r="Y1671" s="13"/>
      <c r="Z1671" s="13"/>
      <c r="AA1671" s="17"/>
      <c r="AB1671" s="17"/>
      <c r="AC1671" s="17"/>
      <c r="AD1671" s="17"/>
      <c r="AE1671" s="17"/>
    </row>
    <row r="1672">
      <c r="A1672" s="72"/>
      <c r="B1672" s="12"/>
      <c r="C1672" s="12"/>
      <c r="D1672" s="12"/>
      <c r="E1672" s="13"/>
      <c r="F1672" s="13"/>
      <c r="G1672" s="13"/>
      <c r="H1672" s="13"/>
      <c r="I1672" s="13"/>
      <c r="J1672" s="13"/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6"/>
      <c r="W1672" s="13"/>
      <c r="X1672" s="13"/>
      <c r="Y1672" s="13"/>
      <c r="Z1672" s="13"/>
      <c r="AA1672" s="17"/>
      <c r="AB1672" s="17"/>
      <c r="AC1672" s="17"/>
      <c r="AD1672" s="17"/>
      <c r="AE1672" s="17"/>
    </row>
    <row r="1673">
      <c r="A1673" s="72"/>
      <c r="B1673" s="12"/>
      <c r="C1673" s="12"/>
      <c r="D1673" s="12"/>
      <c r="E1673" s="13"/>
      <c r="F1673" s="13"/>
      <c r="G1673" s="13"/>
      <c r="H1673" s="13"/>
      <c r="I1673" s="13"/>
      <c r="J1673" s="13"/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6"/>
      <c r="W1673" s="13"/>
      <c r="X1673" s="13"/>
      <c r="Y1673" s="13"/>
      <c r="Z1673" s="13"/>
      <c r="AA1673" s="17"/>
      <c r="AB1673" s="17"/>
      <c r="AC1673" s="17"/>
      <c r="AD1673" s="17"/>
      <c r="AE1673" s="17"/>
    </row>
    <row r="1674">
      <c r="A1674" s="72"/>
      <c r="B1674" s="12"/>
      <c r="C1674" s="12"/>
      <c r="D1674" s="12"/>
      <c r="E1674" s="13"/>
      <c r="F1674" s="13"/>
      <c r="G1674" s="13"/>
      <c r="H1674" s="13"/>
      <c r="I1674" s="13"/>
      <c r="J1674" s="13"/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6"/>
      <c r="W1674" s="13"/>
      <c r="X1674" s="13"/>
      <c r="Y1674" s="13"/>
      <c r="Z1674" s="13"/>
      <c r="AA1674" s="17"/>
      <c r="AB1674" s="17"/>
      <c r="AC1674" s="17"/>
      <c r="AD1674" s="17"/>
      <c r="AE1674" s="17"/>
    </row>
    <row r="1675">
      <c r="A1675" s="72"/>
      <c r="B1675" s="12"/>
      <c r="C1675" s="12"/>
      <c r="D1675" s="12"/>
      <c r="E1675" s="13"/>
      <c r="F1675" s="13"/>
      <c r="G1675" s="13"/>
      <c r="H1675" s="13"/>
      <c r="I1675" s="13"/>
      <c r="J1675" s="13"/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6"/>
      <c r="W1675" s="13"/>
      <c r="X1675" s="13"/>
      <c r="Y1675" s="13"/>
      <c r="Z1675" s="13"/>
      <c r="AA1675" s="17"/>
      <c r="AB1675" s="17"/>
      <c r="AC1675" s="17"/>
      <c r="AD1675" s="17"/>
      <c r="AE1675" s="17"/>
    </row>
    <row r="1676">
      <c r="A1676" s="72"/>
      <c r="B1676" s="12"/>
      <c r="C1676" s="12"/>
      <c r="D1676" s="12"/>
      <c r="E1676" s="13"/>
      <c r="F1676" s="13"/>
      <c r="G1676" s="13"/>
      <c r="H1676" s="13"/>
      <c r="I1676" s="13"/>
      <c r="J1676" s="13"/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6"/>
      <c r="W1676" s="13"/>
      <c r="X1676" s="13"/>
      <c r="Y1676" s="13"/>
      <c r="Z1676" s="13"/>
      <c r="AA1676" s="17"/>
      <c r="AB1676" s="17"/>
      <c r="AC1676" s="17"/>
      <c r="AD1676" s="17"/>
      <c r="AE1676" s="17"/>
    </row>
    <row r="1677">
      <c r="A1677" s="72"/>
      <c r="B1677" s="12"/>
      <c r="C1677" s="12"/>
      <c r="D1677" s="12"/>
      <c r="E1677" s="13"/>
      <c r="F1677" s="13"/>
      <c r="G1677" s="13"/>
      <c r="H1677" s="13"/>
      <c r="I1677" s="13"/>
      <c r="J1677" s="13"/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6"/>
      <c r="W1677" s="13"/>
      <c r="X1677" s="13"/>
      <c r="Y1677" s="13"/>
      <c r="Z1677" s="13"/>
      <c r="AA1677" s="17"/>
      <c r="AB1677" s="17"/>
      <c r="AC1677" s="17"/>
      <c r="AD1677" s="17"/>
      <c r="AE1677" s="17"/>
    </row>
    <row r="1678">
      <c r="A1678" s="72"/>
      <c r="B1678" s="12"/>
      <c r="C1678" s="12"/>
      <c r="D1678" s="12"/>
      <c r="E1678" s="13"/>
      <c r="F1678" s="13"/>
      <c r="G1678" s="13"/>
      <c r="H1678" s="13"/>
      <c r="I1678" s="13"/>
      <c r="J1678" s="13"/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6"/>
      <c r="W1678" s="13"/>
      <c r="X1678" s="13"/>
      <c r="Y1678" s="13"/>
      <c r="Z1678" s="13"/>
      <c r="AA1678" s="17"/>
      <c r="AB1678" s="17"/>
      <c r="AC1678" s="17"/>
      <c r="AD1678" s="17"/>
      <c r="AE1678" s="17"/>
    </row>
    <row r="1679">
      <c r="A1679" s="72"/>
      <c r="B1679" s="12"/>
      <c r="C1679" s="12"/>
      <c r="D1679" s="12"/>
      <c r="E1679" s="13"/>
      <c r="F1679" s="13"/>
      <c r="G1679" s="13"/>
      <c r="H1679" s="13"/>
      <c r="I1679" s="13"/>
      <c r="J1679" s="13"/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6"/>
      <c r="W1679" s="13"/>
      <c r="X1679" s="13"/>
      <c r="Y1679" s="13"/>
      <c r="Z1679" s="13"/>
      <c r="AA1679" s="17"/>
      <c r="AB1679" s="17"/>
      <c r="AC1679" s="17"/>
      <c r="AD1679" s="17"/>
      <c r="AE1679" s="17"/>
    </row>
    <row r="1680">
      <c r="A1680" s="72"/>
      <c r="B1680" s="12"/>
      <c r="C1680" s="12"/>
      <c r="D1680" s="12"/>
      <c r="E1680" s="13"/>
      <c r="F1680" s="13"/>
      <c r="G1680" s="13"/>
      <c r="H1680" s="13"/>
      <c r="I1680" s="13"/>
      <c r="J1680" s="13"/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6"/>
      <c r="W1680" s="13"/>
      <c r="X1680" s="13"/>
      <c r="Y1680" s="13"/>
      <c r="Z1680" s="13"/>
      <c r="AA1680" s="17"/>
      <c r="AB1680" s="17"/>
      <c r="AC1680" s="17"/>
      <c r="AD1680" s="17"/>
      <c r="AE1680" s="17"/>
    </row>
    <row r="1681">
      <c r="A1681" s="72"/>
      <c r="B1681" s="12"/>
      <c r="C1681" s="12"/>
      <c r="D1681" s="12"/>
      <c r="E1681" s="13"/>
      <c r="F1681" s="13"/>
      <c r="G1681" s="13"/>
      <c r="H1681" s="13"/>
      <c r="I1681" s="13"/>
      <c r="J1681" s="13"/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6"/>
      <c r="W1681" s="13"/>
      <c r="X1681" s="13"/>
      <c r="Y1681" s="13"/>
      <c r="Z1681" s="13"/>
      <c r="AA1681" s="17"/>
      <c r="AB1681" s="17"/>
      <c r="AC1681" s="17"/>
      <c r="AD1681" s="17"/>
      <c r="AE1681" s="17"/>
    </row>
    <row r="1682">
      <c r="A1682" s="72"/>
      <c r="B1682" s="12"/>
      <c r="C1682" s="12"/>
      <c r="D1682" s="12"/>
      <c r="E1682" s="13"/>
      <c r="F1682" s="13"/>
      <c r="G1682" s="13"/>
      <c r="H1682" s="13"/>
      <c r="I1682" s="13"/>
      <c r="J1682" s="13"/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6"/>
      <c r="W1682" s="13"/>
      <c r="X1682" s="13"/>
      <c r="Y1682" s="13"/>
      <c r="Z1682" s="13"/>
      <c r="AA1682" s="17"/>
      <c r="AB1682" s="17"/>
      <c r="AC1682" s="17"/>
      <c r="AD1682" s="17"/>
      <c r="AE1682" s="17"/>
    </row>
    <row r="1683">
      <c r="A1683" s="72"/>
      <c r="B1683" s="12"/>
      <c r="C1683" s="12"/>
      <c r="D1683" s="12"/>
      <c r="E1683" s="13"/>
      <c r="F1683" s="13"/>
      <c r="G1683" s="13"/>
      <c r="H1683" s="13"/>
      <c r="I1683" s="13"/>
      <c r="J1683" s="13"/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6"/>
      <c r="W1683" s="13"/>
      <c r="X1683" s="13"/>
      <c r="Y1683" s="13"/>
      <c r="Z1683" s="13"/>
      <c r="AA1683" s="17"/>
      <c r="AB1683" s="17"/>
      <c r="AC1683" s="17"/>
      <c r="AD1683" s="17"/>
      <c r="AE1683" s="17"/>
    </row>
    <row r="1684">
      <c r="A1684" s="72"/>
      <c r="B1684" s="12"/>
      <c r="C1684" s="12"/>
      <c r="D1684" s="12"/>
      <c r="E1684" s="13"/>
      <c r="F1684" s="13"/>
      <c r="G1684" s="13"/>
      <c r="H1684" s="13"/>
      <c r="I1684" s="13"/>
      <c r="J1684" s="13"/>
      <c r="K1684" s="13"/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16"/>
      <c r="W1684" s="13"/>
      <c r="X1684" s="13"/>
      <c r="Y1684" s="13"/>
      <c r="Z1684" s="13"/>
      <c r="AA1684" s="17"/>
      <c r="AB1684" s="17"/>
      <c r="AC1684" s="17"/>
      <c r="AD1684" s="17"/>
      <c r="AE1684" s="17"/>
    </row>
    <row r="1685">
      <c r="A1685" s="72"/>
      <c r="B1685" s="12"/>
      <c r="C1685" s="12"/>
      <c r="D1685" s="12"/>
      <c r="E1685" s="13"/>
      <c r="F1685" s="13"/>
      <c r="G1685" s="13"/>
      <c r="H1685" s="13"/>
      <c r="I1685" s="13"/>
      <c r="J1685" s="13"/>
      <c r="K1685" s="13"/>
      <c r="L1685" s="13"/>
      <c r="M1685" s="13"/>
      <c r="N1685" s="13"/>
      <c r="O1685" s="13"/>
      <c r="P1685" s="13"/>
      <c r="Q1685" s="13"/>
      <c r="R1685" s="13"/>
      <c r="S1685" s="13"/>
      <c r="T1685" s="13"/>
      <c r="U1685" s="13"/>
      <c r="V1685" s="16"/>
      <c r="W1685" s="13"/>
      <c r="X1685" s="13"/>
      <c r="Y1685" s="13"/>
      <c r="Z1685" s="13"/>
      <c r="AA1685" s="17"/>
      <c r="AB1685" s="17"/>
      <c r="AC1685" s="17"/>
      <c r="AD1685" s="17"/>
      <c r="AE1685" s="17"/>
    </row>
    <row r="1686">
      <c r="A1686" s="72"/>
      <c r="B1686" s="12"/>
      <c r="C1686" s="12"/>
      <c r="D1686" s="12"/>
      <c r="E1686" s="13"/>
      <c r="F1686" s="13"/>
      <c r="G1686" s="13"/>
      <c r="H1686" s="13"/>
      <c r="I1686" s="13"/>
      <c r="J1686" s="13"/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16"/>
      <c r="W1686" s="13"/>
      <c r="X1686" s="13"/>
      <c r="Y1686" s="13"/>
      <c r="Z1686" s="13"/>
      <c r="AA1686" s="17"/>
      <c r="AB1686" s="17"/>
      <c r="AC1686" s="17"/>
      <c r="AD1686" s="17"/>
      <c r="AE1686" s="17"/>
    </row>
    <row r="1687">
      <c r="A1687" s="72"/>
      <c r="B1687" s="12"/>
      <c r="C1687" s="12"/>
      <c r="D1687" s="12"/>
      <c r="E1687" s="13"/>
      <c r="F1687" s="13"/>
      <c r="G1687" s="13"/>
      <c r="H1687" s="13"/>
      <c r="I1687" s="13"/>
      <c r="J1687" s="13"/>
      <c r="K1687" s="13"/>
      <c r="L1687" s="13"/>
      <c r="M1687" s="13"/>
      <c r="N1687" s="13"/>
      <c r="O1687" s="13"/>
      <c r="P1687" s="13"/>
      <c r="Q1687" s="13"/>
      <c r="R1687" s="13"/>
      <c r="S1687" s="13"/>
      <c r="T1687" s="13"/>
      <c r="U1687" s="13"/>
      <c r="V1687" s="16"/>
      <c r="W1687" s="13"/>
      <c r="X1687" s="13"/>
      <c r="Y1687" s="13"/>
      <c r="Z1687" s="13"/>
      <c r="AA1687" s="17"/>
      <c r="AB1687" s="17"/>
      <c r="AC1687" s="17"/>
      <c r="AD1687" s="17"/>
      <c r="AE1687" s="17"/>
    </row>
    <row r="1688">
      <c r="A1688" s="72"/>
      <c r="B1688" s="12"/>
      <c r="C1688" s="12"/>
      <c r="D1688" s="12"/>
      <c r="E1688" s="13"/>
      <c r="F1688" s="13"/>
      <c r="G1688" s="13"/>
      <c r="H1688" s="13"/>
      <c r="I1688" s="13"/>
      <c r="J1688" s="13"/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16"/>
      <c r="W1688" s="13"/>
      <c r="X1688" s="13"/>
      <c r="Y1688" s="13"/>
      <c r="Z1688" s="13"/>
      <c r="AA1688" s="17"/>
      <c r="AB1688" s="17"/>
      <c r="AC1688" s="17"/>
      <c r="AD1688" s="17"/>
      <c r="AE1688" s="17"/>
    </row>
    <row r="1689">
      <c r="A1689" s="72"/>
      <c r="B1689" s="12"/>
      <c r="C1689" s="12"/>
      <c r="D1689" s="12"/>
      <c r="E1689" s="13"/>
      <c r="F1689" s="13"/>
      <c r="G1689" s="13"/>
      <c r="H1689" s="13"/>
      <c r="I1689" s="13"/>
      <c r="J1689" s="13"/>
      <c r="K1689" s="13"/>
      <c r="L1689" s="13"/>
      <c r="M1689" s="13"/>
      <c r="N1689" s="13"/>
      <c r="O1689" s="13"/>
      <c r="P1689" s="13"/>
      <c r="Q1689" s="13"/>
      <c r="R1689" s="13"/>
      <c r="S1689" s="13"/>
      <c r="T1689" s="13"/>
      <c r="U1689" s="13"/>
      <c r="V1689" s="16"/>
      <c r="W1689" s="13"/>
      <c r="X1689" s="13"/>
      <c r="Y1689" s="13"/>
      <c r="Z1689" s="13"/>
      <c r="AA1689" s="17"/>
      <c r="AB1689" s="17"/>
      <c r="AC1689" s="17"/>
      <c r="AD1689" s="17"/>
      <c r="AE1689" s="17"/>
    </row>
    <row r="1690">
      <c r="A1690" s="72"/>
      <c r="B1690" s="12"/>
      <c r="C1690" s="12"/>
      <c r="D1690" s="12"/>
      <c r="E1690" s="13"/>
      <c r="F1690" s="13"/>
      <c r="G1690" s="13"/>
      <c r="H1690" s="13"/>
      <c r="I1690" s="13"/>
      <c r="J1690" s="13"/>
      <c r="K1690" s="13"/>
      <c r="L1690" s="13"/>
      <c r="M1690" s="13"/>
      <c r="N1690" s="13"/>
      <c r="O1690" s="13"/>
      <c r="P1690" s="13"/>
      <c r="Q1690" s="13"/>
      <c r="R1690" s="13"/>
      <c r="S1690" s="13"/>
      <c r="T1690" s="13"/>
      <c r="U1690" s="13"/>
      <c r="V1690" s="16"/>
      <c r="W1690" s="13"/>
      <c r="X1690" s="13"/>
      <c r="Y1690" s="13"/>
      <c r="Z1690" s="13"/>
      <c r="AA1690" s="17"/>
      <c r="AB1690" s="17"/>
      <c r="AC1690" s="17"/>
      <c r="AD1690" s="17"/>
      <c r="AE1690" s="17"/>
    </row>
    <row r="1691">
      <c r="A1691" s="72"/>
      <c r="B1691" s="12"/>
      <c r="C1691" s="12"/>
      <c r="D1691" s="12"/>
      <c r="E1691" s="13"/>
      <c r="F1691" s="13"/>
      <c r="G1691" s="13"/>
      <c r="H1691" s="13"/>
      <c r="I1691" s="13"/>
      <c r="J1691" s="13"/>
      <c r="K1691" s="13"/>
      <c r="L1691" s="13"/>
      <c r="M1691" s="13"/>
      <c r="N1691" s="13"/>
      <c r="O1691" s="13"/>
      <c r="P1691" s="13"/>
      <c r="Q1691" s="13"/>
      <c r="R1691" s="13"/>
      <c r="S1691" s="13"/>
      <c r="T1691" s="13"/>
      <c r="U1691" s="13"/>
      <c r="V1691" s="16"/>
      <c r="W1691" s="13"/>
      <c r="X1691" s="13"/>
      <c r="Y1691" s="13"/>
      <c r="Z1691" s="13"/>
      <c r="AA1691" s="17"/>
      <c r="AB1691" s="17"/>
      <c r="AC1691" s="17"/>
      <c r="AD1691" s="17"/>
      <c r="AE1691" s="17"/>
    </row>
    <row r="1692">
      <c r="A1692" s="72"/>
      <c r="B1692" s="12"/>
      <c r="C1692" s="12"/>
      <c r="D1692" s="12"/>
      <c r="E1692" s="13"/>
      <c r="F1692" s="13"/>
      <c r="G1692" s="13"/>
      <c r="H1692" s="13"/>
      <c r="I1692" s="13"/>
      <c r="J1692" s="13"/>
      <c r="K1692" s="13"/>
      <c r="L1692" s="13"/>
      <c r="M1692" s="13"/>
      <c r="N1692" s="13"/>
      <c r="O1692" s="13"/>
      <c r="P1692" s="13"/>
      <c r="Q1692" s="13"/>
      <c r="R1692" s="13"/>
      <c r="S1692" s="13"/>
      <c r="T1692" s="13"/>
      <c r="U1692" s="13"/>
      <c r="V1692" s="16"/>
      <c r="W1692" s="13"/>
      <c r="X1692" s="13"/>
      <c r="Y1692" s="13"/>
      <c r="Z1692" s="13"/>
      <c r="AA1692" s="17"/>
      <c r="AB1692" s="17"/>
      <c r="AC1692" s="17"/>
      <c r="AD1692" s="17"/>
      <c r="AE1692" s="17"/>
    </row>
    <row r="1693">
      <c r="A1693" s="72"/>
      <c r="B1693" s="12"/>
      <c r="C1693" s="12"/>
      <c r="D1693" s="12"/>
      <c r="E1693" s="13"/>
      <c r="F1693" s="13"/>
      <c r="G1693" s="13"/>
      <c r="H1693" s="13"/>
      <c r="I1693" s="13"/>
      <c r="J1693" s="13"/>
      <c r="K1693" s="13"/>
      <c r="L1693" s="13"/>
      <c r="M1693" s="13"/>
      <c r="N1693" s="13"/>
      <c r="O1693" s="13"/>
      <c r="P1693" s="13"/>
      <c r="Q1693" s="13"/>
      <c r="R1693" s="13"/>
      <c r="S1693" s="13"/>
      <c r="T1693" s="13"/>
      <c r="U1693" s="13"/>
      <c r="V1693" s="16"/>
      <c r="W1693" s="13"/>
      <c r="X1693" s="13"/>
      <c r="Y1693" s="13"/>
      <c r="Z1693" s="13"/>
      <c r="AA1693" s="17"/>
      <c r="AB1693" s="17"/>
      <c r="AC1693" s="17"/>
      <c r="AD1693" s="17"/>
      <c r="AE1693" s="17"/>
    </row>
    <row r="1694">
      <c r="A1694" s="72"/>
      <c r="B1694" s="12"/>
      <c r="C1694" s="12"/>
      <c r="D1694" s="12"/>
      <c r="E1694" s="13"/>
      <c r="F1694" s="13"/>
      <c r="G1694" s="13"/>
      <c r="H1694" s="13"/>
      <c r="I1694" s="13"/>
      <c r="J1694" s="13"/>
      <c r="K1694" s="13"/>
      <c r="L1694" s="13"/>
      <c r="M1694" s="13"/>
      <c r="N1694" s="13"/>
      <c r="O1694" s="13"/>
      <c r="P1694" s="13"/>
      <c r="Q1694" s="13"/>
      <c r="R1694" s="13"/>
      <c r="S1694" s="13"/>
      <c r="T1694" s="13"/>
      <c r="U1694" s="13"/>
      <c r="V1694" s="16"/>
      <c r="W1694" s="13"/>
      <c r="X1694" s="13"/>
      <c r="Y1694" s="13"/>
      <c r="Z1694" s="13"/>
      <c r="AA1694" s="17"/>
      <c r="AB1694" s="17"/>
      <c r="AC1694" s="17"/>
      <c r="AD1694" s="17"/>
      <c r="AE1694" s="17"/>
    </row>
    <row r="1695">
      <c r="A1695" s="72"/>
      <c r="B1695" s="12"/>
      <c r="C1695" s="12"/>
      <c r="D1695" s="12"/>
      <c r="E1695" s="13"/>
      <c r="F1695" s="13"/>
      <c r="G1695" s="13"/>
      <c r="H1695" s="13"/>
      <c r="I1695" s="13"/>
      <c r="J1695" s="13"/>
      <c r="K1695" s="13"/>
      <c r="L1695" s="13"/>
      <c r="M1695" s="13"/>
      <c r="N1695" s="13"/>
      <c r="O1695" s="13"/>
      <c r="P1695" s="13"/>
      <c r="Q1695" s="13"/>
      <c r="R1695" s="13"/>
      <c r="S1695" s="13"/>
      <c r="T1695" s="13"/>
      <c r="U1695" s="13"/>
      <c r="V1695" s="16"/>
      <c r="W1695" s="13"/>
      <c r="X1695" s="13"/>
      <c r="Y1695" s="13"/>
      <c r="Z1695" s="13"/>
      <c r="AA1695" s="17"/>
      <c r="AB1695" s="17"/>
      <c r="AC1695" s="17"/>
      <c r="AD1695" s="17"/>
      <c r="AE1695" s="17"/>
    </row>
    <row r="1696">
      <c r="A1696" s="72"/>
      <c r="B1696" s="12"/>
      <c r="C1696" s="12"/>
      <c r="D1696" s="12"/>
      <c r="E1696" s="13"/>
      <c r="F1696" s="13"/>
      <c r="G1696" s="13"/>
      <c r="H1696" s="13"/>
      <c r="I1696" s="13"/>
      <c r="J1696" s="13"/>
      <c r="K1696" s="13"/>
      <c r="L1696" s="13"/>
      <c r="M1696" s="13"/>
      <c r="N1696" s="13"/>
      <c r="O1696" s="13"/>
      <c r="P1696" s="13"/>
      <c r="Q1696" s="13"/>
      <c r="R1696" s="13"/>
      <c r="S1696" s="13"/>
      <c r="T1696" s="13"/>
      <c r="U1696" s="13"/>
      <c r="V1696" s="16"/>
      <c r="W1696" s="13"/>
      <c r="X1696" s="13"/>
      <c r="Y1696" s="13"/>
      <c r="Z1696" s="13"/>
      <c r="AA1696" s="17"/>
      <c r="AB1696" s="17"/>
      <c r="AC1696" s="17"/>
      <c r="AD1696" s="17"/>
      <c r="AE1696" s="17"/>
    </row>
    <row r="1697">
      <c r="A1697" s="72"/>
      <c r="B1697" s="12"/>
      <c r="C1697" s="12"/>
      <c r="D1697" s="12"/>
      <c r="E1697" s="13"/>
      <c r="F1697" s="13"/>
      <c r="G1697" s="13"/>
      <c r="H1697" s="13"/>
      <c r="I1697" s="13"/>
      <c r="J1697" s="13"/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6"/>
      <c r="W1697" s="13"/>
      <c r="X1697" s="13"/>
      <c r="Y1697" s="13"/>
      <c r="Z1697" s="13"/>
      <c r="AA1697" s="17"/>
      <c r="AB1697" s="17"/>
      <c r="AC1697" s="17"/>
      <c r="AD1697" s="17"/>
      <c r="AE1697" s="17"/>
    </row>
    <row r="1698">
      <c r="A1698" s="72"/>
      <c r="B1698" s="12"/>
      <c r="C1698" s="12"/>
      <c r="D1698" s="12"/>
      <c r="E1698" s="13"/>
      <c r="F1698" s="13"/>
      <c r="G1698" s="13"/>
      <c r="H1698" s="13"/>
      <c r="I1698" s="13"/>
      <c r="J1698" s="13"/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6"/>
      <c r="W1698" s="13"/>
      <c r="X1698" s="13"/>
      <c r="Y1698" s="13"/>
      <c r="Z1698" s="13"/>
      <c r="AA1698" s="17"/>
      <c r="AB1698" s="17"/>
      <c r="AC1698" s="17"/>
      <c r="AD1698" s="17"/>
      <c r="AE1698" s="17"/>
    </row>
    <row r="1699">
      <c r="A1699" s="72"/>
      <c r="B1699" s="12"/>
      <c r="C1699" s="12"/>
      <c r="D1699" s="12"/>
      <c r="E1699" s="13"/>
      <c r="F1699" s="13"/>
      <c r="G1699" s="13"/>
      <c r="H1699" s="13"/>
      <c r="I1699" s="13"/>
      <c r="J1699" s="13"/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16"/>
      <c r="W1699" s="13"/>
      <c r="X1699" s="13"/>
      <c r="Y1699" s="13"/>
      <c r="Z1699" s="13"/>
      <c r="AA1699" s="17"/>
      <c r="AB1699" s="17"/>
      <c r="AC1699" s="17"/>
      <c r="AD1699" s="17"/>
      <c r="AE1699" s="17"/>
    </row>
    <row r="1700">
      <c r="A1700" s="72"/>
      <c r="B1700" s="12"/>
      <c r="C1700" s="12"/>
      <c r="D1700" s="12"/>
      <c r="E1700" s="13"/>
      <c r="F1700" s="13"/>
      <c r="G1700" s="13"/>
      <c r="H1700" s="13"/>
      <c r="I1700" s="13"/>
      <c r="J1700" s="13"/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16"/>
      <c r="W1700" s="13"/>
      <c r="X1700" s="13"/>
      <c r="Y1700" s="13"/>
      <c r="Z1700" s="13"/>
      <c r="AA1700" s="17"/>
      <c r="AB1700" s="17"/>
      <c r="AC1700" s="17"/>
      <c r="AD1700" s="17"/>
      <c r="AE1700" s="17"/>
    </row>
    <row r="1701">
      <c r="A1701" s="72"/>
      <c r="B1701" s="12"/>
      <c r="C1701" s="12"/>
      <c r="D1701" s="12"/>
      <c r="E1701" s="13"/>
      <c r="F1701" s="13"/>
      <c r="G1701" s="13"/>
      <c r="H1701" s="13"/>
      <c r="I1701" s="13"/>
      <c r="J1701" s="13"/>
      <c r="K1701" s="13"/>
      <c r="L1701" s="13"/>
      <c r="M1701" s="13"/>
      <c r="N1701" s="13"/>
      <c r="O1701" s="13"/>
      <c r="P1701" s="13"/>
      <c r="Q1701" s="13"/>
      <c r="R1701" s="13"/>
      <c r="S1701" s="13"/>
      <c r="T1701" s="13"/>
      <c r="U1701" s="13"/>
      <c r="V1701" s="16"/>
      <c r="W1701" s="13"/>
      <c r="X1701" s="13"/>
      <c r="Y1701" s="13"/>
      <c r="Z1701" s="13"/>
      <c r="AA1701" s="17"/>
      <c r="AB1701" s="17"/>
      <c r="AC1701" s="17"/>
      <c r="AD1701" s="17"/>
      <c r="AE1701" s="17"/>
    </row>
    <row r="1702">
      <c r="A1702" s="72"/>
      <c r="B1702" s="12"/>
      <c r="C1702" s="12"/>
      <c r="D1702" s="12"/>
      <c r="E1702" s="13"/>
      <c r="F1702" s="13"/>
      <c r="G1702" s="13"/>
      <c r="H1702" s="13"/>
      <c r="I1702" s="13"/>
      <c r="J1702" s="13"/>
      <c r="K1702" s="13"/>
      <c r="L1702" s="13"/>
      <c r="M1702" s="13"/>
      <c r="N1702" s="13"/>
      <c r="O1702" s="13"/>
      <c r="P1702" s="13"/>
      <c r="Q1702" s="13"/>
      <c r="R1702" s="13"/>
      <c r="S1702" s="13"/>
      <c r="T1702" s="13"/>
      <c r="U1702" s="13"/>
      <c r="V1702" s="16"/>
      <c r="W1702" s="13"/>
      <c r="X1702" s="13"/>
      <c r="Y1702" s="13"/>
      <c r="Z1702" s="13"/>
      <c r="AA1702" s="17"/>
      <c r="AB1702" s="17"/>
      <c r="AC1702" s="17"/>
      <c r="AD1702" s="17"/>
      <c r="AE1702" s="17"/>
    </row>
    <row r="1703">
      <c r="A1703" s="72"/>
      <c r="B1703" s="12"/>
      <c r="C1703" s="12"/>
      <c r="D1703" s="12"/>
      <c r="E1703" s="13"/>
      <c r="F1703" s="13"/>
      <c r="G1703" s="13"/>
      <c r="H1703" s="13"/>
      <c r="I1703" s="13"/>
      <c r="J1703" s="13"/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  <c r="U1703" s="13"/>
      <c r="V1703" s="16"/>
      <c r="W1703" s="13"/>
      <c r="X1703" s="13"/>
      <c r="Y1703" s="13"/>
      <c r="Z1703" s="13"/>
      <c r="AA1703" s="17"/>
      <c r="AB1703" s="17"/>
      <c r="AC1703" s="17"/>
      <c r="AD1703" s="17"/>
      <c r="AE1703" s="17"/>
    </row>
    <row r="1704">
      <c r="A1704" s="72"/>
      <c r="B1704" s="12"/>
      <c r="C1704" s="12"/>
      <c r="D1704" s="12"/>
      <c r="E1704" s="13"/>
      <c r="F1704" s="13"/>
      <c r="G1704" s="13"/>
      <c r="H1704" s="13"/>
      <c r="I1704" s="13"/>
      <c r="J1704" s="13"/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6"/>
      <c r="W1704" s="13"/>
      <c r="X1704" s="13"/>
      <c r="Y1704" s="13"/>
      <c r="Z1704" s="13"/>
      <c r="AA1704" s="17"/>
      <c r="AB1704" s="17"/>
      <c r="AC1704" s="17"/>
      <c r="AD1704" s="17"/>
      <c r="AE1704" s="17"/>
    </row>
    <row r="1705">
      <c r="A1705" s="72"/>
      <c r="B1705" s="12"/>
      <c r="C1705" s="12"/>
      <c r="D1705" s="12"/>
      <c r="E1705" s="13"/>
      <c r="F1705" s="13"/>
      <c r="G1705" s="13"/>
      <c r="H1705" s="13"/>
      <c r="I1705" s="13"/>
      <c r="J1705" s="13"/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6"/>
      <c r="W1705" s="13"/>
      <c r="X1705" s="13"/>
      <c r="Y1705" s="13"/>
      <c r="Z1705" s="13"/>
      <c r="AA1705" s="17"/>
      <c r="AB1705" s="17"/>
      <c r="AC1705" s="17"/>
      <c r="AD1705" s="17"/>
      <c r="AE1705" s="17"/>
    </row>
    <row r="1706">
      <c r="A1706" s="72"/>
      <c r="B1706" s="12"/>
      <c r="C1706" s="12"/>
      <c r="D1706" s="12"/>
      <c r="E1706" s="13"/>
      <c r="F1706" s="13"/>
      <c r="G1706" s="13"/>
      <c r="H1706" s="13"/>
      <c r="I1706" s="13"/>
      <c r="J1706" s="13"/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6"/>
      <c r="W1706" s="13"/>
      <c r="X1706" s="13"/>
      <c r="Y1706" s="13"/>
      <c r="Z1706" s="13"/>
      <c r="AA1706" s="17"/>
      <c r="AB1706" s="17"/>
      <c r="AC1706" s="17"/>
      <c r="AD1706" s="17"/>
      <c r="AE1706" s="17"/>
    </row>
    <row r="1707">
      <c r="A1707" s="72"/>
      <c r="B1707" s="12"/>
      <c r="C1707" s="12"/>
      <c r="D1707" s="12"/>
      <c r="E1707" s="13"/>
      <c r="F1707" s="13"/>
      <c r="G1707" s="13"/>
      <c r="H1707" s="13"/>
      <c r="I1707" s="13"/>
      <c r="J1707" s="13"/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6"/>
      <c r="W1707" s="13"/>
      <c r="X1707" s="13"/>
      <c r="Y1707" s="13"/>
      <c r="Z1707" s="13"/>
      <c r="AA1707" s="17"/>
      <c r="AB1707" s="17"/>
      <c r="AC1707" s="17"/>
      <c r="AD1707" s="17"/>
      <c r="AE1707" s="17"/>
    </row>
    <row r="1708">
      <c r="A1708" s="72"/>
      <c r="B1708" s="12"/>
      <c r="C1708" s="12"/>
      <c r="D1708" s="12"/>
      <c r="E1708" s="13"/>
      <c r="F1708" s="13"/>
      <c r="G1708" s="13"/>
      <c r="H1708" s="13"/>
      <c r="I1708" s="13"/>
      <c r="J1708" s="13"/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6"/>
      <c r="W1708" s="13"/>
      <c r="X1708" s="13"/>
      <c r="Y1708" s="13"/>
      <c r="Z1708" s="13"/>
      <c r="AA1708" s="17"/>
      <c r="AB1708" s="17"/>
      <c r="AC1708" s="17"/>
      <c r="AD1708" s="17"/>
      <c r="AE1708" s="17"/>
    </row>
    <row r="1709">
      <c r="A1709" s="72"/>
      <c r="B1709" s="12"/>
      <c r="C1709" s="12"/>
      <c r="D1709" s="12"/>
      <c r="E1709" s="13"/>
      <c r="F1709" s="13"/>
      <c r="G1709" s="13"/>
      <c r="H1709" s="13"/>
      <c r="I1709" s="13"/>
      <c r="J1709" s="13"/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6"/>
      <c r="W1709" s="13"/>
      <c r="X1709" s="13"/>
      <c r="Y1709" s="13"/>
      <c r="Z1709" s="13"/>
      <c r="AA1709" s="17"/>
      <c r="AB1709" s="17"/>
      <c r="AC1709" s="17"/>
      <c r="AD1709" s="17"/>
      <c r="AE1709" s="17"/>
    </row>
    <row r="1710">
      <c r="A1710" s="72"/>
      <c r="B1710" s="12"/>
      <c r="C1710" s="12"/>
      <c r="D1710" s="12"/>
      <c r="E1710" s="13"/>
      <c r="F1710" s="13"/>
      <c r="G1710" s="13"/>
      <c r="H1710" s="13"/>
      <c r="I1710" s="13"/>
      <c r="J1710" s="13"/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6"/>
      <c r="W1710" s="13"/>
      <c r="X1710" s="13"/>
      <c r="Y1710" s="13"/>
      <c r="Z1710" s="13"/>
      <c r="AA1710" s="17"/>
      <c r="AB1710" s="17"/>
      <c r="AC1710" s="17"/>
      <c r="AD1710" s="17"/>
      <c r="AE1710" s="17"/>
    </row>
    <row r="1711">
      <c r="A1711" s="72"/>
      <c r="B1711" s="12"/>
      <c r="C1711" s="12"/>
      <c r="D1711" s="12"/>
      <c r="E1711" s="13"/>
      <c r="F1711" s="13"/>
      <c r="G1711" s="13"/>
      <c r="H1711" s="13"/>
      <c r="I1711" s="13"/>
      <c r="J1711" s="13"/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16"/>
      <c r="W1711" s="13"/>
      <c r="X1711" s="13"/>
      <c r="Y1711" s="13"/>
      <c r="Z1711" s="13"/>
      <c r="AA1711" s="17"/>
      <c r="AB1711" s="17"/>
      <c r="AC1711" s="17"/>
      <c r="AD1711" s="17"/>
      <c r="AE1711" s="17"/>
    </row>
    <row r="1712">
      <c r="A1712" s="72"/>
      <c r="B1712" s="12"/>
      <c r="C1712" s="12"/>
      <c r="D1712" s="12"/>
      <c r="E1712" s="13"/>
      <c r="F1712" s="13"/>
      <c r="G1712" s="13"/>
      <c r="H1712" s="13"/>
      <c r="I1712" s="13"/>
      <c r="J1712" s="13"/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6"/>
      <c r="W1712" s="13"/>
      <c r="X1712" s="13"/>
      <c r="Y1712" s="13"/>
      <c r="Z1712" s="13"/>
      <c r="AA1712" s="17"/>
      <c r="AB1712" s="17"/>
      <c r="AC1712" s="17"/>
      <c r="AD1712" s="17"/>
      <c r="AE1712" s="17"/>
    </row>
    <row r="1713">
      <c r="A1713" s="72"/>
      <c r="B1713" s="12"/>
      <c r="C1713" s="12"/>
      <c r="D1713" s="12"/>
      <c r="E1713" s="13"/>
      <c r="F1713" s="13"/>
      <c r="G1713" s="13"/>
      <c r="H1713" s="13"/>
      <c r="I1713" s="13"/>
      <c r="J1713" s="13"/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6"/>
      <c r="W1713" s="13"/>
      <c r="X1713" s="13"/>
      <c r="Y1713" s="13"/>
      <c r="Z1713" s="13"/>
      <c r="AA1713" s="17"/>
      <c r="AB1713" s="17"/>
      <c r="AC1713" s="17"/>
      <c r="AD1713" s="17"/>
      <c r="AE1713" s="17"/>
    </row>
    <row r="1714">
      <c r="A1714" s="72"/>
      <c r="B1714" s="12"/>
      <c r="C1714" s="12"/>
      <c r="D1714" s="12"/>
      <c r="E1714" s="13"/>
      <c r="F1714" s="13"/>
      <c r="G1714" s="13"/>
      <c r="H1714" s="13"/>
      <c r="I1714" s="13"/>
      <c r="J1714" s="13"/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6"/>
      <c r="W1714" s="13"/>
      <c r="X1714" s="13"/>
      <c r="Y1714" s="13"/>
      <c r="Z1714" s="13"/>
      <c r="AA1714" s="17"/>
      <c r="AB1714" s="17"/>
      <c r="AC1714" s="17"/>
      <c r="AD1714" s="17"/>
      <c r="AE1714" s="17"/>
    </row>
    <row r="1715">
      <c r="A1715" s="72"/>
      <c r="B1715" s="12"/>
      <c r="C1715" s="12"/>
      <c r="D1715" s="12"/>
      <c r="E1715" s="13"/>
      <c r="F1715" s="13"/>
      <c r="G1715" s="13"/>
      <c r="H1715" s="13"/>
      <c r="I1715" s="13"/>
      <c r="J1715" s="13"/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16"/>
      <c r="W1715" s="13"/>
      <c r="X1715" s="13"/>
      <c r="Y1715" s="13"/>
      <c r="Z1715" s="13"/>
      <c r="AA1715" s="17"/>
      <c r="AB1715" s="17"/>
      <c r="AC1715" s="17"/>
      <c r="AD1715" s="17"/>
      <c r="AE1715" s="17"/>
    </row>
    <row r="1716">
      <c r="A1716" s="72"/>
      <c r="B1716" s="12"/>
      <c r="C1716" s="12"/>
      <c r="D1716" s="12"/>
      <c r="E1716" s="13"/>
      <c r="F1716" s="13"/>
      <c r="G1716" s="13"/>
      <c r="H1716" s="13"/>
      <c r="I1716" s="13"/>
      <c r="J1716" s="13"/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6"/>
      <c r="W1716" s="13"/>
      <c r="X1716" s="13"/>
      <c r="Y1716" s="13"/>
      <c r="Z1716" s="13"/>
      <c r="AA1716" s="17"/>
      <c r="AB1716" s="17"/>
      <c r="AC1716" s="17"/>
      <c r="AD1716" s="17"/>
      <c r="AE1716" s="17"/>
    </row>
    <row r="1717">
      <c r="A1717" s="72"/>
      <c r="B1717" s="12"/>
      <c r="C1717" s="12"/>
      <c r="D1717" s="12"/>
      <c r="E1717" s="13"/>
      <c r="F1717" s="13"/>
      <c r="G1717" s="13"/>
      <c r="H1717" s="13"/>
      <c r="I1717" s="13"/>
      <c r="J1717" s="13"/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6"/>
      <c r="W1717" s="13"/>
      <c r="X1717" s="13"/>
      <c r="Y1717" s="13"/>
      <c r="Z1717" s="13"/>
      <c r="AA1717" s="17"/>
      <c r="AB1717" s="17"/>
      <c r="AC1717" s="17"/>
      <c r="AD1717" s="17"/>
      <c r="AE1717" s="17"/>
    </row>
    <row r="1718">
      <c r="A1718" s="72"/>
      <c r="B1718" s="12"/>
      <c r="C1718" s="12"/>
      <c r="D1718" s="12"/>
      <c r="E1718" s="13"/>
      <c r="F1718" s="13"/>
      <c r="G1718" s="13"/>
      <c r="H1718" s="13"/>
      <c r="I1718" s="13"/>
      <c r="J1718" s="13"/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6"/>
      <c r="W1718" s="13"/>
      <c r="X1718" s="13"/>
      <c r="Y1718" s="13"/>
      <c r="Z1718" s="13"/>
      <c r="AA1718" s="17"/>
      <c r="AB1718" s="17"/>
      <c r="AC1718" s="17"/>
      <c r="AD1718" s="17"/>
      <c r="AE1718" s="17"/>
    </row>
    <row r="1719">
      <c r="A1719" s="72"/>
      <c r="B1719" s="12"/>
      <c r="C1719" s="12"/>
      <c r="D1719" s="12"/>
      <c r="E1719" s="13"/>
      <c r="F1719" s="13"/>
      <c r="G1719" s="13"/>
      <c r="H1719" s="13"/>
      <c r="I1719" s="13"/>
      <c r="J1719" s="13"/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6"/>
      <c r="W1719" s="13"/>
      <c r="X1719" s="13"/>
      <c r="Y1719" s="13"/>
      <c r="Z1719" s="13"/>
      <c r="AA1719" s="17"/>
      <c r="AB1719" s="17"/>
      <c r="AC1719" s="17"/>
      <c r="AD1719" s="17"/>
      <c r="AE1719" s="17"/>
    </row>
    <row r="1720">
      <c r="A1720" s="72"/>
      <c r="B1720" s="12"/>
      <c r="C1720" s="12"/>
      <c r="D1720" s="12"/>
      <c r="E1720" s="13"/>
      <c r="F1720" s="13"/>
      <c r="G1720" s="13"/>
      <c r="H1720" s="13"/>
      <c r="I1720" s="13"/>
      <c r="J1720" s="13"/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6"/>
      <c r="W1720" s="13"/>
      <c r="X1720" s="13"/>
      <c r="Y1720" s="13"/>
      <c r="Z1720" s="13"/>
      <c r="AA1720" s="17"/>
      <c r="AB1720" s="17"/>
      <c r="AC1720" s="17"/>
      <c r="AD1720" s="17"/>
      <c r="AE1720" s="17"/>
    </row>
    <row r="1721">
      <c r="A1721" s="72"/>
      <c r="B1721" s="12"/>
      <c r="C1721" s="12"/>
      <c r="D1721" s="12"/>
      <c r="E1721" s="13"/>
      <c r="F1721" s="13"/>
      <c r="G1721" s="13"/>
      <c r="H1721" s="13"/>
      <c r="I1721" s="13"/>
      <c r="J1721" s="13"/>
      <c r="K1721" s="13"/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16"/>
      <c r="W1721" s="13"/>
      <c r="X1721" s="13"/>
      <c r="Y1721" s="13"/>
      <c r="Z1721" s="13"/>
      <c r="AA1721" s="17"/>
      <c r="AB1721" s="17"/>
      <c r="AC1721" s="17"/>
      <c r="AD1721" s="17"/>
      <c r="AE1721" s="17"/>
    </row>
    <row r="1722">
      <c r="A1722" s="72"/>
      <c r="B1722" s="12"/>
      <c r="C1722" s="12"/>
      <c r="D1722" s="12"/>
      <c r="E1722" s="13"/>
      <c r="F1722" s="13"/>
      <c r="G1722" s="13"/>
      <c r="H1722" s="13"/>
      <c r="I1722" s="13"/>
      <c r="J1722" s="13"/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6"/>
      <c r="W1722" s="13"/>
      <c r="X1722" s="13"/>
      <c r="Y1722" s="13"/>
      <c r="Z1722" s="13"/>
      <c r="AA1722" s="17"/>
      <c r="AB1722" s="17"/>
      <c r="AC1722" s="17"/>
      <c r="AD1722" s="17"/>
      <c r="AE1722" s="17"/>
    </row>
    <row r="1723">
      <c r="A1723" s="72"/>
      <c r="B1723" s="12"/>
      <c r="C1723" s="12"/>
      <c r="D1723" s="12"/>
      <c r="E1723" s="13"/>
      <c r="F1723" s="13"/>
      <c r="G1723" s="13"/>
      <c r="H1723" s="13"/>
      <c r="I1723" s="13"/>
      <c r="J1723" s="13"/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6"/>
      <c r="W1723" s="13"/>
      <c r="X1723" s="13"/>
      <c r="Y1723" s="13"/>
      <c r="Z1723" s="13"/>
      <c r="AA1723" s="17"/>
      <c r="AB1723" s="17"/>
      <c r="AC1723" s="17"/>
      <c r="AD1723" s="17"/>
      <c r="AE1723" s="17"/>
    </row>
    <row r="1724">
      <c r="A1724" s="72"/>
      <c r="B1724" s="12"/>
      <c r="C1724" s="12"/>
      <c r="D1724" s="12"/>
      <c r="E1724" s="13"/>
      <c r="F1724" s="13"/>
      <c r="G1724" s="13"/>
      <c r="H1724" s="13"/>
      <c r="I1724" s="13"/>
      <c r="J1724" s="13"/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6"/>
      <c r="W1724" s="13"/>
      <c r="X1724" s="13"/>
      <c r="Y1724" s="13"/>
      <c r="Z1724" s="13"/>
      <c r="AA1724" s="17"/>
      <c r="AB1724" s="17"/>
      <c r="AC1724" s="17"/>
      <c r="AD1724" s="17"/>
      <c r="AE1724" s="17"/>
    </row>
    <row r="1725">
      <c r="A1725" s="72"/>
      <c r="B1725" s="12"/>
      <c r="C1725" s="12"/>
      <c r="D1725" s="12"/>
      <c r="E1725" s="13"/>
      <c r="F1725" s="13"/>
      <c r="G1725" s="13"/>
      <c r="H1725" s="13"/>
      <c r="I1725" s="13"/>
      <c r="J1725" s="13"/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6"/>
      <c r="W1725" s="13"/>
      <c r="X1725" s="13"/>
      <c r="Y1725" s="13"/>
      <c r="Z1725" s="13"/>
      <c r="AA1725" s="17"/>
      <c r="AB1725" s="17"/>
      <c r="AC1725" s="17"/>
      <c r="AD1725" s="17"/>
      <c r="AE1725" s="17"/>
    </row>
    <row r="1726">
      <c r="A1726" s="72"/>
      <c r="B1726" s="12"/>
      <c r="C1726" s="12"/>
      <c r="D1726" s="12"/>
      <c r="E1726" s="13"/>
      <c r="F1726" s="13"/>
      <c r="G1726" s="13"/>
      <c r="H1726" s="13"/>
      <c r="I1726" s="13"/>
      <c r="J1726" s="13"/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6"/>
      <c r="W1726" s="13"/>
      <c r="X1726" s="13"/>
      <c r="Y1726" s="13"/>
      <c r="Z1726" s="13"/>
      <c r="AA1726" s="17"/>
      <c r="AB1726" s="17"/>
      <c r="AC1726" s="17"/>
      <c r="AD1726" s="17"/>
      <c r="AE1726" s="17"/>
    </row>
    <row r="1727">
      <c r="A1727" s="72"/>
      <c r="B1727" s="12"/>
      <c r="C1727" s="12"/>
      <c r="D1727" s="12"/>
      <c r="E1727" s="13"/>
      <c r="F1727" s="13"/>
      <c r="G1727" s="13"/>
      <c r="H1727" s="13"/>
      <c r="I1727" s="13"/>
      <c r="J1727" s="13"/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16"/>
      <c r="W1727" s="13"/>
      <c r="X1727" s="13"/>
      <c r="Y1727" s="13"/>
      <c r="Z1727" s="13"/>
      <c r="AA1727" s="17"/>
      <c r="AB1727" s="17"/>
      <c r="AC1727" s="17"/>
      <c r="AD1727" s="17"/>
      <c r="AE1727" s="17"/>
    </row>
    <row r="1728">
      <c r="A1728" s="72"/>
      <c r="B1728" s="12"/>
      <c r="C1728" s="12"/>
      <c r="D1728" s="12"/>
      <c r="E1728" s="13"/>
      <c r="F1728" s="13"/>
      <c r="G1728" s="13"/>
      <c r="H1728" s="13"/>
      <c r="I1728" s="13"/>
      <c r="J1728" s="13"/>
      <c r="K1728" s="13"/>
      <c r="L1728" s="13"/>
      <c r="M1728" s="13"/>
      <c r="N1728" s="13"/>
      <c r="O1728" s="13"/>
      <c r="P1728" s="13"/>
      <c r="Q1728" s="13"/>
      <c r="R1728" s="13"/>
      <c r="S1728" s="13"/>
      <c r="T1728" s="13"/>
      <c r="U1728" s="13"/>
      <c r="V1728" s="16"/>
      <c r="W1728" s="13"/>
      <c r="X1728" s="13"/>
      <c r="Y1728" s="13"/>
      <c r="Z1728" s="13"/>
      <c r="AA1728" s="17"/>
      <c r="AB1728" s="17"/>
      <c r="AC1728" s="17"/>
      <c r="AD1728" s="17"/>
      <c r="AE1728" s="17"/>
    </row>
    <row r="1729">
      <c r="A1729" s="72"/>
      <c r="B1729" s="12"/>
      <c r="C1729" s="12"/>
      <c r="D1729" s="12"/>
      <c r="E1729" s="13"/>
      <c r="F1729" s="13"/>
      <c r="G1729" s="13"/>
      <c r="H1729" s="13"/>
      <c r="I1729" s="13"/>
      <c r="J1729" s="13"/>
      <c r="K1729" s="13"/>
      <c r="L1729" s="13"/>
      <c r="M1729" s="13"/>
      <c r="N1729" s="13"/>
      <c r="O1729" s="13"/>
      <c r="P1729" s="13"/>
      <c r="Q1729" s="13"/>
      <c r="R1729" s="13"/>
      <c r="S1729" s="13"/>
      <c r="T1729" s="13"/>
      <c r="U1729" s="13"/>
      <c r="V1729" s="16"/>
      <c r="W1729" s="13"/>
      <c r="X1729" s="13"/>
      <c r="Y1729" s="13"/>
      <c r="Z1729" s="13"/>
      <c r="AA1729" s="17"/>
      <c r="AB1729" s="17"/>
      <c r="AC1729" s="17"/>
      <c r="AD1729" s="17"/>
      <c r="AE1729" s="17"/>
    </row>
    <row r="1730">
      <c r="A1730" s="72"/>
      <c r="B1730" s="12"/>
      <c r="C1730" s="12"/>
      <c r="D1730" s="12"/>
      <c r="E1730" s="13"/>
      <c r="F1730" s="13"/>
      <c r="G1730" s="13"/>
      <c r="H1730" s="13"/>
      <c r="I1730" s="13"/>
      <c r="J1730" s="13"/>
      <c r="K1730" s="13"/>
      <c r="L1730" s="13"/>
      <c r="M1730" s="13"/>
      <c r="N1730" s="13"/>
      <c r="O1730" s="13"/>
      <c r="P1730" s="13"/>
      <c r="Q1730" s="13"/>
      <c r="R1730" s="13"/>
      <c r="S1730" s="13"/>
      <c r="T1730" s="13"/>
      <c r="U1730" s="13"/>
      <c r="V1730" s="16"/>
      <c r="W1730" s="13"/>
      <c r="X1730" s="13"/>
      <c r="Y1730" s="13"/>
      <c r="Z1730" s="13"/>
      <c r="AA1730" s="17"/>
      <c r="AB1730" s="17"/>
      <c r="AC1730" s="17"/>
      <c r="AD1730" s="17"/>
      <c r="AE1730" s="17"/>
    </row>
    <row r="1731">
      <c r="A1731" s="72"/>
      <c r="B1731" s="12"/>
      <c r="C1731" s="12"/>
      <c r="D1731" s="12"/>
      <c r="E1731" s="13"/>
      <c r="F1731" s="13"/>
      <c r="G1731" s="13"/>
      <c r="H1731" s="13"/>
      <c r="I1731" s="13"/>
      <c r="J1731" s="13"/>
      <c r="K1731" s="13"/>
      <c r="L1731" s="13"/>
      <c r="M1731" s="13"/>
      <c r="N1731" s="13"/>
      <c r="O1731" s="13"/>
      <c r="P1731" s="13"/>
      <c r="Q1731" s="13"/>
      <c r="R1731" s="13"/>
      <c r="S1731" s="13"/>
      <c r="T1731" s="13"/>
      <c r="U1731" s="13"/>
      <c r="V1731" s="16"/>
      <c r="W1731" s="13"/>
      <c r="X1731" s="13"/>
      <c r="Y1731" s="13"/>
      <c r="Z1731" s="13"/>
      <c r="AA1731" s="17"/>
      <c r="AB1731" s="17"/>
      <c r="AC1731" s="17"/>
      <c r="AD1731" s="17"/>
      <c r="AE1731" s="17"/>
    </row>
    <row r="1732">
      <c r="A1732" s="72"/>
      <c r="B1732" s="12"/>
      <c r="C1732" s="12"/>
      <c r="D1732" s="12"/>
      <c r="E1732" s="13"/>
      <c r="F1732" s="13"/>
      <c r="G1732" s="13"/>
      <c r="H1732" s="13"/>
      <c r="I1732" s="13"/>
      <c r="J1732" s="13"/>
      <c r="K1732" s="13"/>
      <c r="L1732" s="13"/>
      <c r="M1732" s="13"/>
      <c r="N1732" s="13"/>
      <c r="O1732" s="13"/>
      <c r="P1732" s="13"/>
      <c r="Q1732" s="13"/>
      <c r="R1732" s="13"/>
      <c r="S1732" s="13"/>
      <c r="T1732" s="13"/>
      <c r="U1732" s="13"/>
      <c r="V1732" s="16"/>
      <c r="W1732" s="13"/>
      <c r="X1732" s="13"/>
      <c r="Y1732" s="13"/>
      <c r="Z1732" s="13"/>
      <c r="AA1732" s="17"/>
      <c r="AB1732" s="17"/>
      <c r="AC1732" s="17"/>
      <c r="AD1732" s="17"/>
      <c r="AE1732" s="17"/>
    </row>
    <row r="1733">
      <c r="A1733" s="72"/>
      <c r="B1733" s="12"/>
      <c r="C1733" s="12"/>
      <c r="D1733" s="12"/>
      <c r="E1733" s="13"/>
      <c r="F1733" s="13"/>
      <c r="G1733" s="13"/>
      <c r="H1733" s="13"/>
      <c r="I1733" s="13"/>
      <c r="J1733" s="13"/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16"/>
      <c r="W1733" s="13"/>
      <c r="X1733" s="13"/>
      <c r="Y1733" s="13"/>
      <c r="Z1733" s="13"/>
      <c r="AA1733" s="17"/>
      <c r="AB1733" s="17"/>
      <c r="AC1733" s="17"/>
      <c r="AD1733" s="17"/>
      <c r="AE1733" s="17"/>
    </row>
    <row r="1734">
      <c r="A1734" s="72"/>
      <c r="B1734" s="12"/>
      <c r="C1734" s="12"/>
      <c r="D1734" s="12"/>
      <c r="E1734" s="13"/>
      <c r="F1734" s="13"/>
      <c r="G1734" s="13"/>
      <c r="H1734" s="13"/>
      <c r="I1734" s="13"/>
      <c r="J1734" s="13"/>
      <c r="K1734" s="13"/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16"/>
      <c r="W1734" s="13"/>
      <c r="X1734" s="13"/>
      <c r="Y1734" s="13"/>
      <c r="Z1734" s="13"/>
      <c r="AA1734" s="17"/>
      <c r="AB1734" s="17"/>
      <c r="AC1734" s="17"/>
      <c r="AD1734" s="17"/>
      <c r="AE1734" s="17"/>
    </row>
    <row r="1735">
      <c r="A1735" s="72"/>
      <c r="B1735" s="12"/>
      <c r="C1735" s="12"/>
      <c r="D1735" s="12"/>
      <c r="E1735" s="13"/>
      <c r="F1735" s="13"/>
      <c r="G1735" s="13"/>
      <c r="H1735" s="13"/>
      <c r="I1735" s="13"/>
      <c r="J1735" s="13"/>
      <c r="K1735" s="13"/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16"/>
      <c r="W1735" s="13"/>
      <c r="X1735" s="13"/>
      <c r="Y1735" s="13"/>
      <c r="Z1735" s="13"/>
      <c r="AA1735" s="17"/>
      <c r="AB1735" s="17"/>
      <c r="AC1735" s="17"/>
      <c r="AD1735" s="17"/>
      <c r="AE1735" s="17"/>
    </row>
    <row r="1736">
      <c r="A1736" s="72"/>
      <c r="B1736" s="12"/>
      <c r="C1736" s="12"/>
      <c r="D1736" s="12"/>
      <c r="E1736" s="13"/>
      <c r="F1736" s="13"/>
      <c r="G1736" s="13"/>
      <c r="H1736" s="13"/>
      <c r="I1736" s="13"/>
      <c r="J1736" s="13"/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6"/>
      <c r="W1736" s="13"/>
      <c r="X1736" s="13"/>
      <c r="Y1736" s="13"/>
      <c r="Z1736" s="13"/>
      <c r="AA1736" s="17"/>
      <c r="AB1736" s="17"/>
      <c r="AC1736" s="17"/>
      <c r="AD1736" s="17"/>
      <c r="AE1736" s="17"/>
    </row>
    <row r="1737">
      <c r="A1737" s="72"/>
      <c r="B1737" s="12"/>
      <c r="C1737" s="12"/>
      <c r="D1737" s="12"/>
      <c r="E1737" s="13"/>
      <c r="F1737" s="13"/>
      <c r="G1737" s="13"/>
      <c r="H1737" s="13"/>
      <c r="I1737" s="13"/>
      <c r="J1737" s="13"/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6"/>
      <c r="W1737" s="13"/>
      <c r="X1737" s="13"/>
      <c r="Y1737" s="13"/>
      <c r="Z1737" s="13"/>
      <c r="AA1737" s="17"/>
      <c r="AB1737" s="17"/>
      <c r="AC1737" s="17"/>
      <c r="AD1737" s="17"/>
      <c r="AE1737" s="17"/>
    </row>
    <row r="1738">
      <c r="A1738" s="72"/>
      <c r="B1738" s="12"/>
      <c r="C1738" s="12"/>
      <c r="D1738" s="12"/>
      <c r="E1738" s="13"/>
      <c r="F1738" s="13"/>
      <c r="G1738" s="13"/>
      <c r="H1738" s="13"/>
      <c r="I1738" s="13"/>
      <c r="J1738" s="13"/>
      <c r="K1738" s="13"/>
      <c r="L1738" s="13"/>
      <c r="M1738" s="13"/>
      <c r="N1738" s="13"/>
      <c r="O1738" s="13"/>
      <c r="P1738" s="13"/>
      <c r="Q1738" s="13"/>
      <c r="R1738" s="13"/>
      <c r="S1738" s="13"/>
      <c r="T1738" s="13"/>
      <c r="U1738" s="13"/>
      <c r="V1738" s="16"/>
      <c r="W1738" s="13"/>
      <c r="X1738" s="13"/>
      <c r="Y1738" s="13"/>
      <c r="Z1738" s="13"/>
      <c r="AA1738" s="17"/>
      <c r="AB1738" s="17"/>
      <c r="AC1738" s="17"/>
      <c r="AD1738" s="17"/>
      <c r="AE1738" s="17"/>
    </row>
    <row r="1739">
      <c r="A1739" s="72"/>
      <c r="B1739" s="12"/>
      <c r="C1739" s="12"/>
      <c r="D1739" s="12"/>
      <c r="E1739" s="13"/>
      <c r="F1739" s="13"/>
      <c r="G1739" s="13"/>
      <c r="H1739" s="13"/>
      <c r="I1739" s="13"/>
      <c r="J1739" s="13"/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16"/>
      <c r="W1739" s="13"/>
      <c r="X1739" s="13"/>
      <c r="Y1739" s="13"/>
      <c r="Z1739" s="13"/>
      <c r="AA1739" s="17"/>
      <c r="AB1739" s="17"/>
      <c r="AC1739" s="17"/>
      <c r="AD1739" s="17"/>
      <c r="AE1739" s="17"/>
    </row>
    <row r="1740">
      <c r="A1740" s="72"/>
      <c r="B1740" s="12"/>
      <c r="C1740" s="12"/>
      <c r="D1740" s="12"/>
      <c r="E1740" s="13"/>
      <c r="F1740" s="13"/>
      <c r="G1740" s="13"/>
      <c r="H1740" s="13"/>
      <c r="I1740" s="13"/>
      <c r="J1740" s="13"/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16"/>
      <c r="W1740" s="13"/>
      <c r="X1740" s="13"/>
      <c r="Y1740" s="13"/>
      <c r="Z1740" s="13"/>
      <c r="AA1740" s="17"/>
      <c r="AB1740" s="17"/>
      <c r="AC1740" s="17"/>
      <c r="AD1740" s="17"/>
      <c r="AE1740" s="17"/>
    </row>
    <row r="1741">
      <c r="A1741" s="72"/>
      <c r="B1741" s="12"/>
      <c r="C1741" s="12"/>
      <c r="D1741" s="12"/>
      <c r="E1741" s="13"/>
      <c r="F1741" s="13"/>
      <c r="G1741" s="13"/>
      <c r="H1741" s="13"/>
      <c r="I1741" s="13"/>
      <c r="J1741" s="13"/>
      <c r="K1741" s="13"/>
      <c r="L1741" s="13"/>
      <c r="M1741" s="13"/>
      <c r="N1741" s="13"/>
      <c r="O1741" s="13"/>
      <c r="P1741" s="13"/>
      <c r="Q1741" s="13"/>
      <c r="R1741" s="13"/>
      <c r="S1741" s="13"/>
      <c r="T1741" s="13"/>
      <c r="U1741" s="13"/>
      <c r="V1741" s="16"/>
      <c r="W1741" s="13"/>
      <c r="X1741" s="13"/>
      <c r="Y1741" s="13"/>
      <c r="Z1741" s="13"/>
      <c r="AA1741" s="17"/>
      <c r="AB1741" s="17"/>
      <c r="AC1741" s="17"/>
      <c r="AD1741" s="17"/>
      <c r="AE1741" s="17"/>
    </row>
    <row r="1742">
      <c r="A1742" s="72"/>
      <c r="B1742" s="12"/>
      <c r="C1742" s="12"/>
      <c r="D1742" s="12"/>
      <c r="E1742" s="13"/>
      <c r="F1742" s="13"/>
      <c r="G1742" s="13"/>
      <c r="H1742" s="13"/>
      <c r="I1742" s="13"/>
      <c r="J1742" s="13"/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16"/>
      <c r="W1742" s="13"/>
      <c r="X1742" s="13"/>
      <c r="Y1742" s="13"/>
      <c r="Z1742" s="13"/>
      <c r="AA1742" s="17"/>
      <c r="AB1742" s="17"/>
      <c r="AC1742" s="17"/>
      <c r="AD1742" s="17"/>
      <c r="AE1742" s="17"/>
    </row>
    <row r="1743">
      <c r="A1743" s="72"/>
      <c r="B1743" s="12"/>
      <c r="C1743" s="12"/>
      <c r="D1743" s="12"/>
      <c r="E1743" s="13"/>
      <c r="F1743" s="13"/>
      <c r="G1743" s="13"/>
      <c r="H1743" s="13"/>
      <c r="I1743" s="13"/>
      <c r="J1743" s="13"/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6"/>
      <c r="W1743" s="13"/>
      <c r="X1743" s="13"/>
      <c r="Y1743" s="13"/>
      <c r="Z1743" s="13"/>
      <c r="AA1743" s="17"/>
      <c r="AB1743" s="17"/>
      <c r="AC1743" s="17"/>
      <c r="AD1743" s="17"/>
      <c r="AE1743" s="17"/>
    </row>
    <row r="1744">
      <c r="A1744" s="72"/>
      <c r="B1744" s="12"/>
      <c r="C1744" s="12"/>
      <c r="D1744" s="12"/>
      <c r="E1744" s="13"/>
      <c r="F1744" s="13"/>
      <c r="G1744" s="13"/>
      <c r="H1744" s="13"/>
      <c r="I1744" s="13"/>
      <c r="J1744" s="13"/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6"/>
      <c r="W1744" s="13"/>
      <c r="X1744" s="13"/>
      <c r="Y1744" s="13"/>
      <c r="Z1744" s="13"/>
      <c r="AA1744" s="17"/>
      <c r="AB1744" s="17"/>
      <c r="AC1744" s="17"/>
      <c r="AD1744" s="17"/>
      <c r="AE1744" s="17"/>
    </row>
    <row r="1745">
      <c r="A1745" s="72"/>
      <c r="B1745" s="12"/>
      <c r="C1745" s="12"/>
      <c r="D1745" s="12"/>
      <c r="E1745" s="13"/>
      <c r="F1745" s="13"/>
      <c r="G1745" s="13"/>
      <c r="H1745" s="13"/>
      <c r="I1745" s="13"/>
      <c r="J1745" s="13"/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16"/>
      <c r="W1745" s="13"/>
      <c r="X1745" s="13"/>
      <c r="Y1745" s="13"/>
      <c r="Z1745" s="13"/>
      <c r="AA1745" s="17"/>
      <c r="AB1745" s="17"/>
      <c r="AC1745" s="17"/>
      <c r="AD1745" s="17"/>
      <c r="AE1745" s="17"/>
    </row>
    <row r="1746">
      <c r="A1746" s="72"/>
      <c r="B1746" s="12"/>
      <c r="C1746" s="12"/>
      <c r="D1746" s="12"/>
      <c r="E1746" s="13"/>
      <c r="F1746" s="13"/>
      <c r="G1746" s="13"/>
      <c r="H1746" s="13"/>
      <c r="I1746" s="13"/>
      <c r="J1746" s="13"/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16"/>
      <c r="W1746" s="13"/>
      <c r="X1746" s="13"/>
      <c r="Y1746" s="13"/>
      <c r="Z1746" s="13"/>
      <c r="AA1746" s="17"/>
      <c r="AB1746" s="17"/>
      <c r="AC1746" s="17"/>
      <c r="AD1746" s="17"/>
      <c r="AE1746" s="17"/>
    </row>
    <row r="1747">
      <c r="A1747" s="72"/>
      <c r="B1747" s="12"/>
      <c r="C1747" s="12"/>
      <c r="D1747" s="12"/>
      <c r="E1747" s="13"/>
      <c r="F1747" s="13"/>
      <c r="G1747" s="13"/>
      <c r="H1747" s="13"/>
      <c r="I1747" s="13"/>
      <c r="J1747" s="13"/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16"/>
      <c r="W1747" s="13"/>
      <c r="X1747" s="13"/>
      <c r="Y1747" s="13"/>
      <c r="Z1747" s="13"/>
      <c r="AA1747" s="17"/>
      <c r="AB1747" s="17"/>
      <c r="AC1747" s="17"/>
      <c r="AD1747" s="17"/>
      <c r="AE1747" s="17"/>
    </row>
    <row r="1748">
      <c r="A1748" s="72"/>
      <c r="B1748" s="12"/>
      <c r="C1748" s="12"/>
      <c r="D1748" s="12"/>
      <c r="E1748" s="13"/>
      <c r="F1748" s="13"/>
      <c r="G1748" s="13"/>
      <c r="H1748" s="13"/>
      <c r="I1748" s="13"/>
      <c r="J1748" s="13"/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16"/>
      <c r="W1748" s="13"/>
      <c r="X1748" s="13"/>
      <c r="Y1748" s="13"/>
      <c r="Z1748" s="13"/>
      <c r="AA1748" s="17"/>
      <c r="AB1748" s="17"/>
      <c r="AC1748" s="17"/>
      <c r="AD1748" s="17"/>
      <c r="AE1748" s="17"/>
    </row>
    <row r="1749">
      <c r="A1749" s="72"/>
      <c r="B1749" s="12"/>
      <c r="C1749" s="12"/>
      <c r="D1749" s="12"/>
      <c r="E1749" s="13"/>
      <c r="F1749" s="13"/>
      <c r="G1749" s="13"/>
      <c r="H1749" s="13"/>
      <c r="I1749" s="13"/>
      <c r="J1749" s="13"/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16"/>
      <c r="W1749" s="13"/>
      <c r="X1749" s="13"/>
      <c r="Y1749" s="13"/>
      <c r="Z1749" s="13"/>
      <c r="AA1749" s="17"/>
      <c r="AB1749" s="17"/>
      <c r="AC1749" s="17"/>
      <c r="AD1749" s="17"/>
      <c r="AE1749" s="17"/>
    </row>
    <row r="1750">
      <c r="A1750" s="72"/>
      <c r="B1750" s="12"/>
      <c r="C1750" s="12"/>
      <c r="D1750" s="12"/>
      <c r="E1750" s="13"/>
      <c r="F1750" s="13"/>
      <c r="G1750" s="13"/>
      <c r="H1750" s="13"/>
      <c r="I1750" s="13"/>
      <c r="J1750" s="13"/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6"/>
      <c r="W1750" s="13"/>
      <c r="X1750" s="13"/>
      <c r="Y1750" s="13"/>
      <c r="Z1750" s="13"/>
      <c r="AA1750" s="17"/>
      <c r="AB1750" s="17"/>
      <c r="AC1750" s="17"/>
      <c r="AD1750" s="17"/>
      <c r="AE1750" s="17"/>
    </row>
    <row r="1751">
      <c r="A1751" s="72"/>
      <c r="B1751" s="12"/>
      <c r="C1751" s="12"/>
      <c r="D1751" s="12"/>
      <c r="E1751" s="13"/>
      <c r="F1751" s="13"/>
      <c r="G1751" s="13"/>
      <c r="H1751" s="13"/>
      <c r="I1751" s="13"/>
      <c r="J1751" s="13"/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6"/>
      <c r="W1751" s="13"/>
      <c r="X1751" s="13"/>
      <c r="Y1751" s="13"/>
      <c r="Z1751" s="13"/>
      <c r="AA1751" s="17"/>
      <c r="AB1751" s="17"/>
      <c r="AC1751" s="17"/>
      <c r="AD1751" s="17"/>
      <c r="AE1751" s="17"/>
    </row>
    <row r="1752">
      <c r="A1752" s="72"/>
      <c r="B1752" s="12"/>
      <c r="C1752" s="12"/>
      <c r="D1752" s="12"/>
      <c r="E1752" s="13"/>
      <c r="F1752" s="13"/>
      <c r="G1752" s="13"/>
      <c r="H1752" s="13"/>
      <c r="I1752" s="13"/>
      <c r="J1752" s="13"/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6"/>
      <c r="W1752" s="13"/>
      <c r="X1752" s="13"/>
      <c r="Y1752" s="13"/>
      <c r="Z1752" s="13"/>
      <c r="AA1752" s="17"/>
      <c r="AB1752" s="17"/>
      <c r="AC1752" s="17"/>
      <c r="AD1752" s="17"/>
      <c r="AE1752" s="17"/>
    </row>
    <row r="1753">
      <c r="A1753" s="72"/>
      <c r="B1753" s="12"/>
      <c r="C1753" s="12"/>
      <c r="D1753" s="12"/>
      <c r="E1753" s="13"/>
      <c r="F1753" s="13"/>
      <c r="G1753" s="13"/>
      <c r="H1753" s="13"/>
      <c r="I1753" s="13"/>
      <c r="J1753" s="13"/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6"/>
      <c r="W1753" s="13"/>
      <c r="X1753" s="13"/>
      <c r="Y1753" s="13"/>
      <c r="Z1753" s="13"/>
      <c r="AA1753" s="17"/>
      <c r="AB1753" s="17"/>
      <c r="AC1753" s="17"/>
      <c r="AD1753" s="17"/>
      <c r="AE1753" s="17"/>
    </row>
    <row r="1754">
      <c r="A1754" s="72"/>
      <c r="B1754" s="12"/>
      <c r="C1754" s="12"/>
      <c r="D1754" s="12"/>
      <c r="E1754" s="13"/>
      <c r="F1754" s="13"/>
      <c r="G1754" s="13"/>
      <c r="H1754" s="13"/>
      <c r="I1754" s="13"/>
      <c r="J1754" s="13"/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6"/>
      <c r="W1754" s="13"/>
      <c r="X1754" s="13"/>
      <c r="Y1754" s="13"/>
      <c r="Z1754" s="13"/>
      <c r="AA1754" s="17"/>
      <c r="AB1754" s="17"/>
      <c r="AC1754" s="17"/>
      <c r="AD1754" s="17"/>
      <c r="AE1754" s="17"/>
    </row>
    <row r="1755">
      <c r="A1755" s="72"/>
      <c r="B1755" s="12"/>
      <c r="C1755" s="12"/>
      <c r="D1755" s="12"/>
      <c r="E1755" s="13"/>
      <c r="F1755" s="13"/>
      <c r="G1755" s="13"/>
      <c r="H1755" s="13"/>
      <c r="I1755" s="13"/>
      <c r="J1755" s="13"/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6"/>
      <c r="W1755" s="13"/>
      <c r="X1755" s="13"/>
      <c r="Y1755" s="13"/>
      <c r="Z1755" s="13"/>
      <c r="AA1755" s="17"/>
      <c r="AB1755" s="17"/>
      <c r="AC1755" s="17"/>
      <c r="AD1755" s="17"/>
      <c r="AE1755" s="17"/>
    </row>
    <row r="1756">
      <c r="A1756" s="72"/>
      <c r="B1756" s="12"/>
      <c r="C1756" s="12"/>
      <c r="D1756" s="12"/>
      <c r="E1756" s="13"/>
      <c r="F1756" s="13"/>
      <c r="G1756" s="13"/>
      <c r="H1756" s="13"/>
      <c r="I1756" s="13"/>
      <c r="J1756" s="13"/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6"/>
      <c r="W1756" s="13"/>
      <c r="X1756" s="13"/>
      <c r="Y1756" s="13"/>
      <c r="Z1756" s="13"/>
      <c r="AA1756" s="17"/>
      <c r="AB1756" s="17"/>
      <c r="AC1756" s="17"/>
      <c r="AD1756" s="17"/>
      <c r="AE1756" s="17"/>
    </row>
    <row r="1757">
      <c r="A1757" s="72"/>
      <c r="B1757" s="12"/>
      <c r="C1757" s="12"/>
      <c r="D1757" s="12"/>
      <c r="E1757" s="13"/>
      <c r="F1757" s="13"/>
      <c r="G1757" s="13"/>
      <c r="H1757" s="13"/>
      <c r="I1757" s="13"/>
      <c r="J1757" s="13"/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6"/>
      <c r="W1757" s="13"/>
      <c r="X1757" s="13"/>
      <c r="Y1757" s="13"/>
      <c r="Z1757" s="13"/>
      <c r="AA1757" s="17"/>
      <c r="AB1757" s="17"/>
      <c r="AC1757" s="17"/>
      <c r="AD1757" s="17"/>
      <c r="AE1757" s="17"/>
    </row>
    <row r="1758">
      <c r="A1758" s="72"/>
      <c r="B1758" s="12"/>
      <c r="C1758" s="12"/>
      <c r="D1758" s="12"/>
      <c r="E1758" s="13"/>
      <c r="F1758" s="13"/>
      <c r="G1758" s="13"/>
      <c r="H1758" s="13"/>
      <c r="I1758" s="13"/>
      <c r="J1758" s="13"/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6"/>
      <c r="W1758" s="13"/>
      <c r="X1758" s="13"/>
      <c r="Y1758" s="13"/>
      <c r="Z1758" s="13"/>
      <c r="AA1758" s="17"/>
      <c r="AB1758" s="17"/>
      <c r="AC1758" s="17"/>
      <c r="AD1758" s="17"/>
      <c r="AE1758" s="17"/>
    </row>
    <row r="1759">
      <c r="A1759" s="72"/>
      <c r="B1759" s="12"/>
      <c r="C1759" s="12"/>
      <c r="D1759" s="12"/>
      <c r="E1759" s="13"/>
      <c r="F1759" s="13"/>
      <c r="G1759" s="13"/>
      <c r="H1759" s="13"/>
      <c r="I1759" s="13"/>
      <c r="J1759" s="13"/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6"/>
      <c r="W1759" s="13"/>
      <c r="X1759" s="13"/>
      <c r="Y1759" s="13"/>
      <c r="Z1759" s="13"/>
      <c r="AA1759" s="17"/>
      <c r="AB1759" s="17"/>
      <c r="AC1759" s="17"/>
      <c r="AD1759" s="17"/>
      <c r="AE1759" s="17"/>
    </row>
    <row r="1760">
      <c r="A1760" s="72"/>
      <c r="B1760" s="12"/>
      <c r="C1760" s="12"/>
      <c r="D1760" s="12"/>
      <c r="E1760" s="13"/>
      <c r="F1760" s="13"/>
      <c r="G1760" s="13"/>
      <c r="H1760" s="13"/>
      <c r="I1760" s="13"/>
      <c r="J1760" s="13"/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6"/>
      <c r="W1760" s="13"/>
      <c r="X1760" s="13"/>
      <c r="Y1760" s="13"/>
      <c r="Z1760" s="13"/>
      <c r="AA1760" s="17"/>
      <c r="AB1760" s="17"/>
      <c r="AC1760" s="17"/>
      <c r="AD1760" s="17"/>
      <c r="AE1760" s="17"/>
    </row>
    <row r="1761">
      <c r="A1761" s="72"/>
      <c r="B1761" s="12"/>
      <c r="C1761" s="12"/>
      <c r="D1761" s="12"/>
      <c r="E1761" s="13"/>
      <c r="F1761" s="13"/>
      <c r="G1761" s="13"/>
      <c r="H1761" s="13"/>
      <c r="I1761" s="13"/>
      <c r="J1761" s="13"/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6"/>
      <c r="W1761" s="13"/>
      <c r="X1761" s="13"/>
      <c r="Y1761" s="13"/>
      <c r="Z1761" s="13"/>
      <c r="AA1761" s="17"/>
      <c r="AB1761" s="17"/>
      <c r="AC1761" s="17"/>
      <c r="AD1761" s="17"/>
      <c r="AE1761" s="17"/>
    </row>
    <row r="1762">
      <c r="A1762" s="72"/>
      <c r="B1762" s="12"/>
      <c r="C1762" s="12"/>
      <c r="D1762" s="12"/>
      <c r="E1762" s="13"/>
      <c r="F1762" s="13"/>
      <c r="G1762" s="13"/>
      <c r="H1762" s="13"/>
      <c r="I1762" s="13"/>
      <c r="J1762" s="13"/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6"/>
      <c r="W1762" s="13"/>
      <c r="X1762" s="13"/>
      <c r="Y1762" s="13"/>
      <c r="Z1762" s="13"/>
      <c r="AA1762" s="17"/>
      <c r="AB1762" s="17"/>
      <c r="AC1762" s="17"/>
      <c r="AD1762" s="17"/>
      <c r="AE1762" s="17"/>
    </row>
    <row r="1763">
      <c r="A1763" s="72"/>
      <c r="B1763" s="12"/>
      <c r="C1763" s="12"/>
      <c r="D1763" s="12"/>
      <c r="E1763" s="13"/>
      <c r="F1763" s="13"/>
      <c r="G1763" s="13"/>
      <c r="H1763" s="13"/>
      <c r="I1763" s="13"/>
      <c r="J1763" s="13"/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6"/>
      <c r="W1763" s="13"/>
      <c r="X1763" s="13"/>
      <c r="Y1763" s="13"/>
      <c r="Z1763" s="13"/>
      <c r="AA1763" s="17"/>
      <c r="AB1763" s="17"/>
      <c r="AC1763" s="17"/>
      <c r="AD1763" s="17"/>
      <c r="AE1763" s="17"/>
    </row>
    <row r="1764">
      <c r="A1764" s="72"/>
      <c r="B1764" s="12"/>
      <c r="C1764" s="12"/>
      <c r="D1764" s="12"/>
      <c r="E1764" s="13"/>
      <c r="F1764" s="13"/>
      <c r="G1764" s="13"/>
      <c r="H1764" s="13"/>
      <c r="I1764" s="13"/>
      <c r="J1764" s="13"/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6"/>
      <c r="W1764" s="13"/>
      <c r="X1764" s="13"/>
      <c r="Y1764" s="13"/>
      <c r="Z1764" s="13"/>
      <c r="AA1764" s="17"/>
      <c r="AB1764" s="17"/>
      <c r="AC1764" s="17"/>
      <c r="AD1764" s="17"/>
      <c r="AE1764" s="17"/>
    </row>
    <row r="1765">
      <c r="A1765" s="72"/>
      <c r="B1765" s="12"/>
      <c r="C1765" s="12"/>
      <c r="D1765" s="12"/>
      <c r="E1765" s="13"/>
      <c r="F1765" s="13"/>
      <c r="G1765" s="13"/>
      <c r="H1765" s="13"/>
      <c r="I1765" s="13"/>
      <c r="J1765" s="13"/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6"/>
      <c r="W1765" s="13"/>
      <c r="X1765" s="13"/>
      <c r="Y1765" s="13"/>
      <c r="Z1765" s="13"/>
      <c r="AA1765" s="17"/>
      <c r="AB1765" s="17"/>
      <c r="AC1765" s="17"/>
      <c r="AD1765" s="17"/>
      <c r="AE1765" s="17"/>
    </row>
    <row r="1766">
      <c r="A1766" s="72"/>
      <c r="B1766" s="12"/>
      <c r="C1766" s="12"/>
      <c r="D1766" s="12"/>
      <c r="E1766" s="13"/>
      <c r="F1766" s="13"/>
      <c r="G1766" s="13"/>
      <c r="H1766" s="13"/>
      <c r="I1766" s="13"/>
      <c r="J1766" s="13"/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6"/>
      <c r="W1766" s="13"/>
      <c r="X1766" s="13"/>
      <c r="Y1766" s="13"/>
      <c r="Z1766" s="13"/>
      <c r="AA1766" s="17"/>
      <c r="AB1766" s="17"/>
      <c r="AC1766" s="17"/>
      <c r="AD1766" s="17"/>
      <c r="AE1766" s="17"/>
    </row>
    <row r="1767">
      <c r="A1767" s="72"/>
      <c r="B1767" s="12"/>
      <c r="C1767" s="12"/>
      <c r="D1767" s="12"/>
      <c r="E1767" s="13"/>
      <c r="F1767" s="13"/>
      <c r="G1767" s="13"/>
      <c r="H1767" s="13"/>
      <c r="I1767" s="13"/>
      <c r="J1767" s="13"/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6"/>
      <c r="W1767" s="13"/>
      <c r="X1767" s="13"/>
      <c r="Y1767" s="13"/>
      <c r="Z1767" s="13"/>
      <c r="AA1767" s="17"/>
      <c r="AB1767" s="17"/>
      <c r="AC1767" s="17"/>
      <c r="AD1767" s="17"/>
      <c r="AE1767" s="17"/>
    </row>
    <row r="1768">
      <c r="A1768" s="72"/>
      <c r="B1768" s="12"/>
      <c r="C1768" s="12"/>
      <c r="D1768" s="12"/>
      <c r="E1768" s="13"/>
      <c r="F1768" s="13"/>
      <c r="G1768" s="13"/>
      <c r="H1768" s="13"/>
      <c r="I1768" s="13"/>
      <c r="J1768" s="13"/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6"/>
      <c r="W1768" s="13"/>
      <c r="X1768" s="13"/>
      <c r="Y1768" s="13"/>
      <c r="Z1768" s="13"/>
      <c r="AA1768" s="17"/>
      <c r="AB1768" s="17"/>
      <c r="AC1768" s="17"/>
      <c r="AD1768" s="17"/>
      <c r="AE1768" s="17"/>
    </row>
    <row r="1769">
      <c r="A1769" s="72"/>
      <c r="B1769" s="12"/>
      <c r="C1769" s="12"/>
      <c r="D1769" s="12"/>
      <c r="E1769" s="13"/>
      <c r="F1769" s="13"/>
      <c r="G1769" s="13"/>
      <c r="H1769" s="13"/>
      <c r="I1769" s="13"/>
      <c r="J1769" s="13"/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6"/>
      <c r="W1769" s="13"/>
      <c r="X1769" s="13"/>
      <c r="Y1769" s="13"/>
      <c r="Z1769" s="13"/>
      <c r="AA1769" s="17"/>
      <c r="AB1769" s="17"/>
      <c r="AC1769" s="17"/>
      <c r="AD1769" s="17"/>
      <c r="AE1769" s="17"/>
    </row>
    <row r="1770">
      <c r="A1770" s="72"/>
      <c r="B1770" s="12"/>
      <c r="C1770" s="12"/>
      <c r="D1770" s="12"/>
      <c r="E1770" s="13"/>
      <c r="F1770" s="13"/>
      <c r="G1770" s="13"/>
      <c r="H1770" s="13"/>
      <c r="I1770" s="13"/>
      <c r="J1770" s="13"/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6"/>
      <c r="W1770" s="13"/>
      <c r="X1770" s="13"/>
      <c r="Y1770" s="13"/>
      <c r="Z1770" s="13"/>
      <c r="AA1770" s="17"/>
      <c r="AB1770" s="17"/>
      <c r="AC1770" s="17"/>
      <c r="AD1770" s="17"/>
      <c r="AE1770" s="17"/>
    </row>
    <row r="1771">
      <c r="A1771" s="72"/>
      <c r="B1771" s="12"/>
      <c r="C1771" s="12"/>
      <c r="D1771" s="12"/>
      <c r="E1771" s="13"/>
      <c r="F1771" s="13"/>
      <c r="G1771" s="13"/>
      <c r="H1771" s="13"/>
      <c r="I1771" s="13"/>
      <c r="J1771" s="13"/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6"/>
      <c r="W1771" s="13"/>
      <c r="X1771" s="13"/>
      <c r="Y1771" s="13"/>
      <c r="Z1771" s="13"/>
      <c r="AA1771" s="17"/>
      <c r="AB1771" s="17"/>
      <c r="AC1771" s="17"/>
      <c r="AD1771" s="17"/>
      <c r="AE1771" s="17"/>
    </row>
    <row r="1772">
      <c r="A1772" s="72"/>
      <c r="B1772" s="12"/>
      <c r="C1772" s="12"/>
      <c r="D1772" s="12"/>
      <c r="E1772" s="13"/>
      <c r="F1772" s="13"/>
      <c r="G1772" s="13"/>
      <c r="H1772" s="13"/>
      <c r="I1772" s="13"/>
      <c r="J1772" s="13"/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6"/>
      <c r="W1772" s="13"/>
      <c r="X1772" s="13"/>
      <c r="Y1772" s="13"/>
      <c r="Z1772" s="13"/>
      <c r="AA1772" s="17"/>
      <c r="AB1772" s="17"/>
      <c r="AC1772" s="17"/>
      <c r="AD1772" s="17"/>
      <c r="AE1772" s="17"/>
    </row>
    <row r="1773">
      <c r="A1773" s="72"/>
      <c r="B1773" s="12"/>
      <c r="C1773" s="12"/>
      <c r="D1773" s="12"/>
      <c r="E1773" s="13"/>
      <c r="F1773" s="13"/>
      <c r="G1773" s="13"/>
      <c r="H1773" s="13"/>
      <c r="I1773" s="13"/>
      <c r="J1773" s="13"/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6"/>
      <c r="W1773" s="13"/>
      <c r="X1773" s="13"/>
      <c r="Y1773" s="13"/>
      <c r="Z1773" s="13"/>
      <c r="AA1773" s="17"/>
      <c r="AB1773" s="17"/>
      <c r="AC1773" s="17"/>
      <c r="AD1773" s="17"/>
      <c r="AE1773" s="17"/>
    </row>
    <row r="1774">
      <c r="A1774" s="72"/>
      <c r="B1774" s="12"/>
      <c r="C1774" s="12"/>
      <c r="D1774" s="12"/>
      <c r="E1774" s="13"/>
      <c r="F1774" s="13"/>
      <c r="G1774" s="13"/>
      <c r="H1774" s="13"/>
      <c r="I1774" s="13"/>
      <c r="J1774" s="13"/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6"/>
      <c r="W1774" s="13"/>
      <c r="X1774" s="13"/>
      <c r="Y1774" s="13"/>
      <c r="Z1774" s="13"/>
      <c r="AA1774" s="17"/>
      <c r="AB1774" s="17"/>
      <c r="AC1774" s="17"/>
      <c r="AD1774" s="17"/>
      <c r="AE1774" s="17"/>
    </row>
    <row r="1775">
      <c r="A1775" s="72"/>
      <c r="B1775" s="12"/>
      <c r="C1775" s="12"/>
      <c r="D1775" s="12"/>
      <c r="E1775" s="13"/>
      <c r="F1775" s="13"/>
      <c r="G1775" s="13"/>
      <c r="H1775" s="13"/>
      <c r="I1775" s="13"/>
      <c r="J1775" s="13"/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6"/>
      <c r="W1775" s="13"/>
      <c r="X1775" s="13"/>
      <c r="Y1775" s="13"/>
      <c r="Z1775" s="13"/>
      <c r="AA1775" s="17"/>
      <c r="AB1775" s="17"/>
      <c r="AC1775" s="17"/>
      <c r="AD1775" s="17"/>
      <c r="AE1775" s="17"/>
    </row>
    <row r="1776">
      <c r="A1776" s="72"/>
      <c r="B1776" s="12"/>
      <c r="C1776" s="12"/>
      <c r="D1776" s="12"/>
      <c r="E1776" s="13"/>
      <c r="F1776" s="13"/>
      <c r="G1776" s="13"/>
      <c r="H1776" s="13"/>
      <c r="I1776" s="13"/>
      <c r="J1776" s="13"/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6"/>
      <c r="W1776" s="13"/>
      <c r="X1776" s="13"/>
      <c r="Y1776" s="13"/>
      <c r="Z1776" s="13"/>
      <c r="AA1776" s="17"/>
      <c r="AB1776" s="17"/>
      <c r="AC1776" s="17"/>
      <c r="AD1776" s="17"/>
      <c r="AE1776" s="17"/>
    </row>
    <row r="1777">
      <c r="A1777" s="72"/>
      <c r="B1777" s="12"/>
      <c r="C1777" s="12"/>
      <c r="D1777" s="12"/>
      <c r="E1777" s="13"/>
      <c r="F1777" s="13"/>
      <c r="G1777" s="13"/>
      <c r="H1777" s="13"/>
      <c r="I1777" s="13"/>
      <c r="J1777" s="13"/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6"/>
      <c r="W1777" s="13"/>
      <c r="X1777" s="13"/>
      <c r="Y1777" s="13"/>
      <c r="Z1777" s="13"/>
      <c r="AA1777" s="17"/>
      <c r="AB1777" s="17"/>
      <c r="AC1777" s="17"/>
      <c r="AD1777" s="17"/>
      <c r="AE1777" s="17"/>
    </row>
    <row r="1778">
      <c r="A1778" s="72"/>
      <c r="B1778" s="12"/>
      <c r="C1778" s="12"/>
      <c r="D1778" s="12"/>
      <c r="E1778" s="13"/>
      <c r="F1778" s="13"/>
      <c r="G1778" s="13"/>
      <c r="H1778" s="13"/>
      <c r="I1778" s="13"/>
      <c r="J1778" s="13"/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6"/>
      <c r="W1778" s="13"/>
      <c r="X1778" s="13"/>
      <c r="Y1778" s="13"/>
      <c r="Z1778" s="13"/>
      <c r="AA1778" s="17"/>
      <c r="AB1778" s="17"/>
      <c r="AC1778" s="17"/>
      <c r="AD1778" s="17"/>
      <c r="AE1778" s="17"/>
    </row>
    <row r="1779">
      <c r="A1779" s="72"/>
      <c r="B1779" s="12"/>
      <c r="C1779" s="12"/>
      <c r="D1779" s="12"/>
      <c r="E1779" s="13"/>
      <c r="F1779" s="13"/>
      <c r="G1779" s="13"/>
      <c r="H1779" s="13"/>
      <c r="I1779" s="13"/>
      <c r="J1779" s="13"/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6"/>
      <c r="W1779" s="13"/>
      <c r="X1779" s="13"/>
      <c r="Y1779" s="13"/>
      <c r="Z1779" s="13"/>
      <c r="AA1779" s="17"/>
      <c r="AB1779" s="17"/>
      <c r="AC1779" s="17"/>
      <c r="AD1779" s="17"/>
      <c r="AE1779" s="17"/>
    </row>
    <row r="1780">
      <c r="A1780" s="72"/>
      <c r="B1780" s="12"/>
      <c r="C1780" s="12"/>
      <c r="D1780" s="12"/>
      <c r="E1780" s="13"/>
      <c r="F1780" s="13"/>
      <c r="G1780" s="13"/>
      <c r="H1780" s="13"/>
      <c r="I1780" s="13"/>
      <c r="J1780" s="13"/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6"/>
      <c r="W1780" s="13"/>
      <c r="X1780" s="13"/>
      <c r="Y1780" s="13"/>
      <c r="Z1780" s="13"/>
      <c r="AA1780" s="17"/>
      <c r="AB1780" s="17"/>
      <c r="AC1780" s="17"/>
      <c r="AD1780" s="17"/>
      <c r="AE1780" s="17"/>
    </row>
    <row r="1781">
      <c r="A1781" s="72"/>
      <c r="B1781" s="12"/>
      <c r="C1781" s="12"/>
      <c r="D1781" s="12"/>
      <c r="E1781" s="13"/>
      <c r="F1781" s="13"/>
      <c r="G1781" s="13"/>
      <c r="H1781" s="13"/>
      <c r="I1781" s="13"/>
      <c r="J1781" s="13"/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6"/>
      <c r="W1781" s="13"/>
      <c r="X1781" s="13"/>
      <c r="Y1781" s="13"/>
      <c r="Z1781" s="13"/>
      <c r="AA1781" s="17"/>
      <c r="AB1781" s="17"/>
      <c r="AC1781" s="17"/>
      <c r="AD1781" s="17"/>
      <c r="AE1781" s="17"/>
    </row>
    <row r="1782">
      <c r="A1782" s="72"/>
      <c r="B1782" s="12"/>
      <c r="C1782" s="12"/>
      <c r="D1782" s="12"/>
      <c r="E1782" s="13"/>
      <c r="F1782" s="13"/>
      <c r="G1782" s="13"/>
      <c r="H1782" s="13"/>
      <c r="I1782" s="13"/>
      <c r="J1782" s="13"/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6"/>
      <c r="W1782" s="13"/>
      <c r="X1782" s="13"/>
      <c r="Y1782" s="13"/>
      <c r="Z1782" s="13"/>
      <c r="AA1782" s="17"/>
      <c r="AB1782" s="17"/>
      <c r="AC1782" s="17"/>
      <c r="AD1782" s="17"/>
      <c r="AE1782" s="17"/>
    </row>
    <row r="1783">
      <c r="A1783" s="72"/>
      <c r="B1783" s="12"/>
      <c r="C1783" s="12"/>
      <c r="D1783" s="12"/>
      <c r="E1783" s="13"/>
      <c r="F1783" s="13"/>
      <c r="G1783" s="13"/>
      <c r="H1783" s="13"/>
      <c r="I1783" s="13"/>
      <c r="J1783" s="13"/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6"/>
      <c r="W1783" s="13"/>
      <c r="X1783" s="13"/>
      <c r="Y1783" s="13"/>
      <c r="Z1783" s="13"/>
      <c r="AA1783" s="17"/>
      <c r="AB1783" s="17"/>
      <c r="AC1783" s="17"/>
      <c r="AD1783" s="17"/>
      <c r="AE1783" s="17"/>
    </row>
    <row r="1784">
      <c r="A1784" s="72"/>
      <c r="B1784" s="12"/>
      <c r="C1784" s="12"/>
      <c r="D1784" s="12"/>
      <c r="E1784" s="13"/>
      <c r="F1784" s="13"/>
      <c r="G1784" s="13"/>
      <c r="H1784" s="13"/>
      <c r="I1784" s="13"/>
      <c r="J1784" s="13"/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6"/>
      <c r="W1784" s="13"/>
      <c r="X1784" s="13"/>
      <c r="Y1784" s="13"/>
      <c r="Z1784" s="13"/>
      <c r="AA1784" s="17"/>
      <c r="AB1784" s="17"/>
      <c r="AC1784" s="17"/>
      <c r="AD1784" s="17"/>
      <c r="AE1784" s="17"/>
    </row>
    <row r="1785">
      <c r="A1785" s="72"/>
      <c r="B1785" s="12"/>
      <c r="C1785" s="12"/>
      <c r="D1785" s="12"/>
      <c r="E1785" s="13"/>
      <c r="F1785" s="13"/>
      <c r="G1785" s="13"/>
      <c r="H1785" s="13"/>
      <c r="I1785" s="13"/>
      <c r="J1785" s="13"/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6"/>
      <c r="W1785" s="13"/>
      <c r="X1785" s="13"/>
      <c r="Y1785" s="13"/>
      <c r="Z1785" s="13"/>
      <c r="AA1785" s="17"/>
      <c r="AB1785" s="17"/>
      <c r="AC1785" s="17"/>
      <c r="AD1785" s="17"/>
      <c r="AE1785" s="17"/>
    </row>
    <row r="1786">
      <c r="A1786" s="72"/>
      <c r="B1786" s="12"/>
      <c r="C1786" s="12"/>
      <c r="D1786" s="12"/>
      <c r="E1786" s="13"/>
      <c r="F1786" s="13"/>
      <c r="G1786" s="13"/>
      <c r="H1786" s="13"/>
      <c r="I1786" s="13"/>
      <c r="J1786" s="13"/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6"/>
      <c r="W1786" s="13"/>
      <c r="X1786" s="13"/>
      <c r="Y1786" s="13"/>
      <c r="Z1786" s="13"/>
      <c r="AA1786" s="17"/>
      <c r="AB1786" s="17"/>
      <c r="AC1786" s="17"/>
      <c r="AD1786" s="17"/>
      <c r="AE1786" s="17"/>
    </row>
    <row r="1787">
      <c r="A1787" s="72"/>
      <c r="B1787" s="12"/>
      <c r="C1787" s="12"/>
      <c r="D1787" s="12"/>
      <c r="E1787" s="13"/>
      <c r="F1787" s="13"/>
      <c r="G1787" s="13"/>
      <c r="H1787" s="13"/>
      <c r="I1787" s="13"/>
      <c r="J1787" s="13"/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6"/>
      <c r="W1787" s="13"/>
      <c r="X1787" s="13"/>
      <c r="Y1787" s="13"/>
      <c r="Z1787" s="13"/>
      <c r="AA1787" s="17"/>
      <c r="AB1787" s="17"/>
      <c r="AC1787" s="17"/>
      <c r="AD1787" s="17"/>
      <c r="AE1787" s="17"/>
    </row>
    <row r="1788">
      <c r="A1788" s="72"/>
      <c r="B1788" s="12"/>
      <c r="C1788" s="12"/>
      <c r="D1788" s="12"/>
      <c r="E1788" s="13"/>
      <c r="F1788" s="13"/>
      <c r="G1788" s="13"/>
      <c r="H1788" s="13"/>
      <c r="I1788" s="13"/>
      <c r="J1788" s="13"/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6"/>
      <c r="W1788" s="13"/>
      <c r="X1788" s="13"/>
      <c r="Y1788" s="13"/>
      <c r="Z1788" s="13"/>
      <c r="AA1788" s="17"/>
      <c r="AB1788" s="17"/>
      <c r="AC1788" s="17"/>
      <c r="AD1788" s="17"/>
      <c r="AE1788" s="17"/>
    </row>
    <row r="1789">
      <c r="A1789" s="72"/>
      <c r="B1789" s="12"/>
      <c r="C1789" s="12"/>
      <c r="D1789" s="12"/>
      <c r="E1789" s="13"/>
      <c r="F1789" s="13"/>
      <c r="G1789" s="13"/>
      <c r="H1789" s="13"/>
      <c r="I1789" s="13"/>
      <c r="J1789" s="13"/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6"/>
      <c r="W1789" s="13"/>
      <c r="X1789" s="13"/>
      <c r="Y1789" s="13"/>
      <c r="Z1789" s="13"/>
      <c r="AA1789" s="17"/>
      <c r="AB1789" s="17"/>
      <c r="AC1789" s="17"/>
      <c r="AD1789" s="17"/>
      <c r="AE1789" s="17"/>
    </row>
    <row r="1790">
      <c r="A1790" s="72"/>
      <c r="B1790" s="12"/>
      <c r="C1790" s="12"/>
      <c r="D1790" s="12"/>
      <c r="E1790" s="13"/>
      <c r="F1790" s="13"/>
      <c r="G1790" s="13"/>
      <c r="H1790" s="13"/>
      <c r="I1790" s="13"/>
      <c r="J1790" s="13"/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6"/>
      <c r="W1790" s="13"/>
      <c r="X1790" s="13"/>
      <c r="Y1790" s="13"/>
      <c r="Z1790" s="13"/>
      <c r="AA1790" s="17"/>
      <c r="AB1790" s="17"/>
      <c r="AC1790" s="17"/>
      <c r="AD1790" s="17"/>
      <c r="AE1790" s="17"/>
    </row>
    <row r="1791">
      <c r="A1791" s="72"/>
      <c r="B1791" s="12"/>
      <c r="C1791" s="12"/>
      <c r="D1791" s="12"/>
      <c r="E1791" s="13"/>
      <c r="F1791" s="13"/>
      <c r="G1791" s="13"/>
      <c r="H1791" s="13"/>
      <c r="I1791" s="13"/>
      <c r="J1791" s="13"/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6"/>
      <c r="W1791" s="13"/>
      <c r="X1791" s="13"/>
      <c r="Y1791" s="13"/>
      <c r="Z1791" s="13"/>
      <c r="AA1791" s="17"/>
      <c r="AB1791" s="17"/>
      <c r="AC1791" s="17"/>
      <c r="AD1791" s="17"/>
      <c r="AE1791" s="17"/>
    </row>
    <row r="1792">
      <c r="A1792" s="72"/>
      <c r="B1792" s="12"/>
      <c r="C1792" s="12"/>
      <c r="D1792" s="12"/>
      <c r="E1792" s="13"/>
      <c r="F1792" s="13"/>
      <c r="G1792" s="13"/>
      <c r="H1792" s="13"/>
      <c r="I1792" s="13"/>
      <c r="J1792" s="13"/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6"/>
      <c r="W1792" s="13"/>
      <c r="X1792" s="13"/>
      <c r="Y1792" s="13"/>
      <c r="Z1792" s="13"/>
      <c r="AA1792" s="17"/>
      <c r="AB1792" s="17"/>
      <c r="AC1792" s="17"/>
      <c r="AD1792" s="17"/>
      <c r="AE1792" s="17"/>
    </row>
    <row r="1793">
      <c r="A1793" s="72"/>
      <c r="B1793" s="12"/>
      <c r="C1793" s="12"/>
      <c r="D1793" s="12"/>
      <c r="E1793" s="13"/>
      <c r="F1793" s="13"/>
      <c r="G1793" s="13"/>
      <c r="H1793" s="13"/>
      <c r="I1793" s="13"/>
      <c r="J1793" s="13"/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6"/>
      <c r="W1793" s="13"/>
      <c r="X1793" s="13"/>
      <c r="Y1793" s="13"/>
      <c r="Z1793" s="13"/>
      <c r="AA1793" s="17"/>
      <c r="AB1793" s="17"/>
      <c r="AC1793" s="17"/>
      <c r="AD1793" s="17"/>
      <c r="AE1793" s="17"/>
    </row>
    <row r="1794">
      <c r="A1794" s="72"/>
      <c r="B1794" s="12"/>
      <c r="C1794" s="12"/>
      <c r="D1794" s="12"/>
      <c r="E1794" s="13"/>
      <c r="F1794" s="13"/>
      <c r="G1794" s="13"/>
      <c r="H1794" s="13"/>
      <c r="I1794" s="13"/>
      <c r="J1794" s="13"/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6"/>
      <c r="W1794" s="13"/>
      <c r="X1794" s="13"/>
      <c r="Y1794" s="13"/>
      <c r="Z1794" s="13"/>
      <c r="AA1794" s="17"/>
      <c r="AB1794" s="17"/>
      <c r="AC1794" s="17"/>
      <c r="AD1794" s="17"/>
      <c r="AE1794" s="17"/>
    </row>
    <row r="1795">
      <c r="A1795" s="72"/>
      <c r="B1795" s="12"/>
      <c r="C1795" s="12"/>
      <c r="D1795" s="12"/>
      <c r="E1795" s="13"/>
      <c r="F1795" s="13"/>
      <c r="G1795" s="13"/>
      <c r="H1795" s="13"/>
      <c r="I1795" s="13"/>
      <c r="J1795" s="13"/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6"/>
      <c r="W1795" s="13"/>
      <c r="X1795" s="13"/>
      <c r="Y1795" s="13"/>
      <c r="Z1795" s="13"/>
      <c r="AA1795" s="17"/>
      <c r="AB1795" s="17"/>
      <c r="AC1795" s="17"/>
      <c r="AD1795" s="17"/>
      <c r="AE1795" s="17"/>
    </row>
    <row r="1796">
      <c r="A1796" s="72"/>
      <c r="B1796" s="12"/>
      <c r="C1796" s="12"/>
      <c r="D1796" s="12"/>
      <c r="E1796" s="13"/>
      <c r="F1796" s="13"/>
      <c r="G1796" s="13"/>
      <c r="H1796" s="13"/>
      <c r="I1796" s="13"/>
      <c r="J1796" s="13"/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6"/>
      <c r="W1796" s="13"/>
      <c r="X1796" s="13"/>
      <c r="Y1796" s="13"/>
      <c r="Z1796" s="13"/>
      <c r="AA1796" s="17"/>
      <c r="AB1796" s="17"/>
      <c r="AC1796" s="17"/>
      <c r="AD1796" s="17"/>
      <c r="AE1796" s="17"/>
    </row>
    <row r="1797">
      <c r="A1797" s="72"/>
      <c r="B1797" s="12"/>
      <c r="C1797" s="12"/>
      <c r="D1797" s="12"/>
      <c r="E1797" s="13"/>
      <c r="F1797" s="13"/>
      <c r="G1797" s="13"/>
      <c r="H1797" s="13"/>
      <c r="I1797" s="13"/>
      <c r="J1797" s="13"/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6"/>
      <c r="W1797" s="13"/>
      <c r="X1797" s="13"/>
      <c r="Y1797" s="13"/>
      <c r="Z1797" s="13"/>
      <c r="AA1797" s="17"/>
      <c r="AB1797" s="17"/>
      <c r="AC1797" s="17"/>
      <c r="AD1797" s="17"/>
      <c r="AE1797" s="17"/>
    </row>
    <row r="1798">
      <c r="A1798" s="72"/>
      <c r="B1798" s="12"/>
      <c r="C1798" s="12"/>
      <c r="D1798" s="12"/>
      <c r="E1798" s="13"/>
      <c r="F1798" s="13"/>
      <c r="G1798" s="13"/>
      <c r="H1798" s="13"/>
      <c r="I1798" s="13"/>
      <c r="J1798" s="13"/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6"/>
      <c r="W1798" s="13"/>
      <c r="X1798" s="13"/>
      <c r="Y1798" s="13"/>
      <c r="Z1798" s="13"/>
      <c r="AA1798" s="17"/>
      <c r="AB1798" s="17"/>
      <c r="AC1798" s="17"/>
      <c r="AD1798" s="17"/>
      <c r="AE1798" s="17"/>
    </row>
    <row r="1799">
      <c r="A1799" s="72"/>
      <c r="B1799" s="12"/>
      <c r="C1799" s="12"/>
      <c r="D1799" s="12"/>
      <c r="E1799" s="13"/>
      <c r="F1799" s="13"/>
      <c r="G1799" s="13"/>
      <c r="H1799" s="13"/>
      <c r="I1799" s="13"/>
      <c r="J1799" s="13"/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6"/>
      <c r="W1799" s="13"/>
      <c r="X1799" s="13"/>
      <c r="Y1799" s="13"/>
      <c r="Z1799" s="13"/>
      <c r="AA1799" s="17"/>
      <c r="AB1799" s="17"/>
      <c r="AC1799" s="17"/>
      <c r="AD1799" s="17"/>
      <c r="AE1799" s="17"/>
    </row>
    <row r="1800">
      <c r="A1800" s="72"/>
      <c r="B1800" s="12"/>
      <c r="C1800" s="12"/>
      <c r="D1800" s="12"/>
      <c r="E1800" s="13"/>
      <c r="F1800" s="13"/>
      <c r="G1800" s="13"/>
      <c r="H1800" s="13"/>
      <c r="I1800" s="13"/>
      <c r="J1800" s="13"/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6"/>
      <c r="W1800" s="13"/>
      <c r="X1800" s="13"/>
      <c r="Y1800" s="13"/>
      <c r="Z1800" s="13"/>
      <c r="AA1800" s="17"/>
      <c r="AB1800" s="17"/>
      <c r="AC1800" s="17"/>
      <c r="AD1800" s="17"/>
      <c r="AE1800" s="17"/>
    </row>
    <row r="1801">
      <c r="A1801" s="72"/>
      <c r="B1801" s="12"/>
      <c r="C1801" s="12"/>
      <c r="D1801" s="12"/>
      <c r="E1801" s="13"/>
      <c r="F1801" s="13"/>
      <c r="G1801" s="13"/>
      <c r="H1801" s="13"/>
      <c r="I1801" s="13"/>
      <c r="J1801" s="13"/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6"/>
      <c r="W1801" s="13"/>
      <c r="X1801" s="13"/>
      <c r="Y1801" s="13"/>
      <c r="Z1801" s="13"/>
      <c r="AA1801" s="17"/>
      <c r="AB1801" s="17"/>
      <c r="AC1801" s="17"/>
      <c r="AD1801" s="17"/>
      <c r="AE1801" s="17"/>
    </row>
    <row r="1802">
      <c r="A1802" s="72"/>
      <c r="B1802" s="12"/>
      <c r="C1802" s="12"/>
      <c r="D1802" s="12"/>
      <c r="E1802" s="13"/>
      <c r="F1802" s="13"/>
      <c r="G1802" s="13"/>
      <c r="H1802" s="13"/>
      <c r="I1802" s="13"/>
      <c r="J1802" s="13"/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6"/>
      <c r="W1802" s="13"/>
      <c r="X1802" s="13"/>
      <c r="Y1802" s="13"/>
      <c r="Z1802" s="13"/>
      <c r="AA1802" s="17"/>
      <c r="AB1802" s="17"/>
      <c r="AC1802" s="17"/>
      <c r="AD1802" s="17"/>
      <c r="AE1802" s="17"/>
    </row>
    <row r="1803">
      <c r="A1803" s="72"/>
      <c r="B1803" s="12"/>
      <c r="C1803" s="12"/>
      <c r="D1803" s="12"/>
      <c r="E1803" s="13"/>
      <c r="F1803" s="13"/>
      <c r="G1803" s="13"/>
      <c r="H1803" s="13"/>
      <c r="I1803" s="13"/>
      <c r="J1803" s="13"/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6"/>
      <c r="W1803" s="13"/>
      <c r="X1803" s="13"/>
      <c r="Y1803" s="13"/>
      <c r="Z1803" s="13"/>
      <c r="AA1803" s="17"/>
      <c r="AB1803" s="17"/>
      <c r="AC1803" s="17"/>
      <c r="AD1803" s="17"/>
      <c r="AE1803" s="17"/>
    </row>
    <row r="1804">
      <c r="A1804" s="72"/>
      <c r="B1804" s="12"/>
      <c r="C1804" s="12"/>
      <c r="D1804" s="12"/>
      <c r="E1804" s="13"/>
      <c r="F1804" s="13"/>
      <c r="G1804" s="13"/>
      <c r="H1804" s="13"/>
      <c r="I1804" s="13"/>
      <c r="J1804" s="13"/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6"/>
      <c r="W1804" s="13"/>
      <c r="X1804" s="13"/>
      <c r="Y1804" s="13"/>
      <c r="Z1804" s="13"/>
      <c r="AA1804" s="17"/>
      <c r="AB1804" s="17"/>
      <c r="AC1804" s="17"/>
      <c r="AD1804" s="17"/>
      <c r="AE1804" s="17"/>
    </row>
    <row r="1805">
      <c r="A1805" s="72"/>
      <c r="B1805" s="12"/>
      <c r="C1805" s="12"/>
      <c r="D1805" s="12"/>
      <c r="E1805" s="13"/>
      <c r="F1805" s="13"/>
      <c r="G1805" s="13"/>
      <c r="H1805" s="13"/>
      <c r="I1805" s="13"/>
      <c r="J1805" s="13"/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6"/>
      <c r="W1805" s="13"/>
      <c r="X1805" s="13"/>
      <c r="Y1805" s="13"/>
      <c r="Z1805" s="13"/>
      <c r="AA1805" s="17"/>
      <c r="AB1805" s="17"/>
      <c r="AC1805" s="17"/>
      <c r="AD1805" s="17"/>
      <c r="AE1805" s="17"/>
    </row>
    <row r="1806">
      <c r="A1806" s="72"/>
      <c r="B1806" s="12"/>
      <c r="C1806" s="12"/>
      <c r="D1806" s="12"/>
      <c r="E1806" s="13"/>
      <c r="F1806" s="13"/>
      <c r="G1806" s="13"/>
      <c r="H1806" s="13"/>
      <c r="I1806" s="13"/>
      <c r="J1806" s="13"/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6"/>
      <c r="W1806" s="13"/>
      <c r="X1806" s="13"/>
      <c r="Y1806" s="13"/>
      <c r="Z1806" s="13"/>
      <c r="AA1806" s="17"/>
      <c r="AB1806" s="17"/>
      <c r="AC1806" s="17"/>
      <c r="AD1806" s="17"/>
      <c r="AE1806" s="17"/>
    </row>
    <row r="1807">
      <c r="A1807" s="72"/>
      <c r="B1807" s="12"/>
      <c r="C1807" s="12"/>
      <c r="D1807" s="12"/>
      <c r="E1807" s="13"/>
      <c r="F1807" s="13"/>
      <c r="G1807" s="13"/>
      <c r="H1807" s="13"/>
      <c r="I1807" s="13"/>
      <c r="J1807" s="13"/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6"/>
      <c r="W1807" s="13"/>
      <c r="X1807" s="13"/>
      <c r="Y1807" s="13"/>
      <c r="Z1807" s="13"/>
      <c r="AA1807" s="17"/>
      <c r="AB1807" s="17"/>
      <c r="AC1807" s="17"/>
      <c r="AD1807" s="17"/>
      <c r="AE1807" s="17"/>
    </row>
    <row r="1808">
      <c r="A1808" s="72"/>
      <c r="B1808" s="12"/>
      <c r="C1808" s="12"/>
      <c r="D1808" s="12"/>
      <c r="E1808" s="13"/>
      <c r="F1808" s="13"/>
      <c r="G1808" s="13"/>
      <c r="H1808" s="13"/>
      <c r="I1808" s="13"/>
      <c r="J1808" s="13"/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6"/>
      <c r="W1808" s="13"/>
      <c r="X1808" s="13"/>
      <c r="Y1808" s="13"/>
      <c r="Z1808" s="13"/>
      <c r="AA1808" s="17"/>
      <c r="AB1808" s="17"/>
      <c r="AC1808" s="17"/>
      <c r="AD1808" s="17"/>
      <c r="AE1808" s="17"/>
    </row>
    <row r="1809">
      <c r="A1809" s="72"/>
      <c r="B1809" s="12"/>
      <c r="C1809" s="12"/>
      <c r="D1809" s="12"/>
      <c r="E1809" s="13"/>
      <c r="F1809" s="13"/>
      <c r="G1809" s="13"/>
      <c r="H1809" s="13"/>
      <c r="I1809" s="13"/>
      <c r="J1809" s="13"/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16"/>
      <c r="W1809" s="13"/>
      <c r="X1809" s="13"/>
      <c r="Y1809" s="13"/>
      <c r="Z1809" s="13"/>
      <c r="AA1809" s="17"/>
      <c r="AB1809" s="17"/>
      <c r="AC1809" s="17"/>
      <c r="AD1809" s="17"/>
      <c r="AE1809" s="17"/>
    </row>
    <row r="1810">
      <c r="A1810" s="72"/>
      <c r="B1810" s="12"/>
      <c r="C1810" s="12"/>
      <c r="D1810" s="12"/>
      <c r="E1810" s="13"/>
      <c r="F1810" s="13"/>
      <c r="G1810" s="13"/>
      <c r="H1810" s="13"/>
      <c r="I1810" s="13"/>
      <c r="J1810" s="13"/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16"/>
      <c r="W1810" s="13"/>
      <c r="X1810" s="13"/>
      <c r="Y1810" s="13"/>
      <c r="Z1810" s="13"/>
      <c r="AA1810" s="17"/>
      <c r="AB1810" s="17"/>
      <c r="AC1810" s="17"/>
      <c r="AD1810" s="17"/>
      <c r="AE1810" s="17"/>
    </row>
    <row r="1811">
      <c r="A1811" s="72"/>
      <c r="B1811" s="12"/>
      <c r="C1811" s="12"/>
      <c r="D1811" s="12"/>
      <c r="E1811" s="13"/>
      <c r="F1811" s="13"/>
      <c r="G1811" s="13"/>
      <c r="H1811" s="13"/>
      <c r="I1811" s="13"/>
      <c r="J1811" s="13"/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6"/>
      <c r="W1811" s="13"/>
      <c r="X1811" s="13"/>
      <c r="Y1811" s="13"/>
      <c r="Z1811" s="13"/>
      <c r="AA1811" s="17"/>
      <c r="AB1811" s="17"/>
      <c r="AC1811" s="17"/>
      <c r="AD1811" s="17"/>
      <c r="AE1811" s="17"/>
    </row>
    <row r="1812">
      <c r="A1812" s="72"/>
      <c r="B1812" s="12"/>
      <c r="C1812" s="12"/>
      <c r="D1812" s="12"/>
      <c r="E1812" s="13"/>
      <c r="F1812" s="13"/>
      <c r="G1812" s="13"/>
      <c r="H1812" s="13"/>
      <c r="I1812" s="13"/>
      <c r="J1812" s="13"/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6"/>
      <c r="W1812" s="13"/>
      <c r="X1812" s="13"/>
      <c r="Y1812" s="13"/>
      <c r="Z1812" s="13"/>
      <c r="AA1812" s="17"/>
      <c r="AB1812" s="17"/>
      <c r="AC1812" s="17"/>
      <c r="AD1812" s="17"/>
      <c r="AE1812" s="17"/>
    </row>
    <row r="1813">
      <c r="A1813" s="72"/>
      <c r="B1813" s="12"/>
      <c r="C1813" s="12"/>
      <c r="D1813" s="12"/>
      <c r="E1813" s="13"/>
      <c r="F1813" s="13"/>
      <c r="G1813" s="13"/>
      <c r="H1813" s="13"/>
      <c r="I1813" s="13"/>
      <c r="J1813" s="13"/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16"/>
      <c r="W1813" s="13"/>
      <c r="X1813" s="13"/>
      <c r="Y1813" s="13"/>
      <c r="Z1813" s="13"/>
      <c r="AA1813" s="17"/>
      <c r="AB1813" s="17"/>
      <c r="AC1813" s="17"/>
      <c r="AD1813" s="17"/>
      <c r="AE1813" s="17"/>
    </row>
    <row r="1814">
      <c r="A1814" s="72"/>
      <c r="B1814" s="12"/>
      <c r="C1814" s="12"/>
      <c r="D1814" s="12"/>
      <c r="E1814" s="13"/>
      <c r="F1814" s="13"/>
      <c r="G1814" s="13"/>
      <c r="H1814" s="13"/>
      <c r="I1814" s="13"/>
      <c r="J1814" s="13"/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6"/>
      <c r="W1814" s="13"/>
      <c r="X1814" s="13"/>
      <c r="Y1814" s="13"/>
      <c r="Z1814" s="13"/>
      <c r="AA1814" s="17"/>
      <c r="AB1814" s="17"/>
      <c r="AC1814" s="17"/>
      <c r="AD1814" s="17"/>
      <c r="AE1814" s="17"/>
    </row>
    <row r="1815">
      <c r="A1815" s="72"/>
      <c r="B1815" s="12"/>
      <c r="C1815" s="12"/>
      <c r="D1815" s="12"/>
      <c r="E1815" s="13"/>
      <c r="F1815" s="13"/>
      <c r="G1815" s="13"/>
      <c r="H1815" s="13"/>
      <c r="I1815" s="13"/>
      <c r="J1815" s="13"/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6"/>
      <c r="W1815" s="13"/>
      <c r="X1815" s="13"/>
      <c r="Y1815" s="13"/>
      <c r="Z1815" s="13"/>
      <c r="AA1815" s="17"/>
      <c r="AB1815" s="17"/>
      <c r="AC1815" s="17"/>
      <c r="AD1815" s="17"/>
      <c r="AE1815" s="17"/>
    </row>
    <row r="1816">
      <c r="A1816" s="72"/>
      <c r="B1816" s="12"/>
      <c r="C1816" s="12"/>
      <c r="D1816" s="12"/>
      <c r="E1816" s="13"/>
      <c r="F1816" s="13"/>
      <c r="G1816" s="13"/>
      <c r="H1816" s="13"/>
      <c r="I1816" s="13"/>
      <c r="J1816" s="13"/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6"/>
      <c r="W1816" s="13"/>
      <c r="X1816" s="13"/>
      <c r="Y1816" s="13"/>
      <c r="Z1816" s="13"/>
      <c r="AA1816" s="17"/>
      <c r="AB1816" s="17"/>
      <c r="AC1816" s="17"/>
      <c r="AD1816" s="17"/>
      <c r="AE1816" s="17"/>
    </row>
    <row r="1817">
      <c r="A1817" s="72"/>
      <c r="B1817" s="12"/>
      <c r="C1817" s="12"/>
      <c r="D1817" s="12"/>
      <c r="E1817" s="13"/>
      <c r="F1817" s="13"/>
      <c r="G1817" s="13"/>
      <c r="H1817" s="13"/>
      <c r="I1817" s="13"/>
      <c r="J1817" s="13"/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6"/>
      <c r="W1817" s="13"/>
      <c r="X1817" s="13"/>
      <c r="Y1817" s="13"/>
      <c r="Z1817" s="13"/>
      <c r="AA1817" s="17"/>
      <c r="AB1817" s="17"/>
      <c r="AC1817" s="17"/>
      <c r="AD1817" s="17"/>
      <c r="AE1817" s="17"/>
    </row>
    <row r="1818">
      <c r="A1818" s="72"/>
      <c r="B1818" s="12"/>
      <c r="C1818" s="12"/>
      <c r="D1818" s="12"/>
      <c r="E1818" s="13"/>
      <c r="F1818" s="13"/>
      <c r="G1818" s="13"/>
      <c r="H1818" s="13"/>
      <c r="I1818" s="13"/>
      <c r="J1818" s="13"/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6"/>
      <c r="W1818" s="13"/>
      <c r="X1818" s="13"/>
      <c r="Y1818" s="13"/>
      <c r="Z1818" s="13"/>
      <c r="AA1818" s="17"/>
      <c r="AB1818" s="17"/>
      <c r="AC1818" s="17"/>
      <c r="AD1818" s="17"/>
      <c r="AE1818" s="17"/>
    </row>
    <row r="1819">
      <c r="A1819" s="72"/>
      <c r="B1819" s="12"/>
      <c r="C1819" s="12"/>
      <c r="D1819" s="12"/>
      <c r="E1819" s="13"/>
      <c r="F1819" s="13"/>
      <c r="G1819" s="13"/>
      <c r="H1819" s="13"/>
      <c r="I1819" s="13"/>
      <c r="J1819" s="13"/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6"/>
      <c r="W1819" s="13"/>
      <c r="X1819" s="13"/>
      <c r="Y1819" s="13"/>
      <c r="Z1819" s="13"/>
      <c r="AA1819" s="17"/>
      <c r="AB1819" s="17"/>
      <c r="AC1819" s="17"/>
      <c r="AD1819" s="17"/>
      <c r="AE1819" s="17"/>
    </row>
    <row r="1820">
      <c r="A1820" s="72"/>
      <c r="B1820" s="12"/>
      <c r="C1820" s="12"/>
      <c r="D1820" s="12"/>
      <c r="E1820" s="13"/>
      <c r="F1820" s="13"/>
      <c r="G1820" s="13"/>
      <c r="H1820" s="13"/>
      <c r="I1820" s="13"/>
      <c r="J1820" s="13"/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6"/>
      <c r="W1820" s="13"/>
      <c r="X1820" s="13"/>
      <c r="Y1820" s="13"/>
      <c r="Z1820" s="13"/>
      <c r="AA1820" s="17"/>
      <c r="AB1820" s="17"/>
      <c r="AC1820" s="17"/>
      <c r="AD1820" s="17"/>
      <c r="AE1820" s="17"/>
    </row>
    <row r="1821">
      <c r="A1821" s="72"/>
      <c r="B1821" s="12"/>
      <c r="C1821" s="12"/>
      <c r="D1821" s="12"/>
      <c r="E1821" s="13"/>
      <c r="F1821" s="13"/>
      <c r="G1821" s="13"/>
      <c r="H1821" s="13"/>
      <c r="I1821" s="13"/>
      <c r="J1821" s="13"/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6"/>
      <c r="W1821" s="13"/>
      <c r="X1821" s="13"/>
      <c r="Y1821" s="13"/>
      <c r="Z1821" s="13"/>
      <c r="AA1821" s="17"/>
      <c r="AB1821" s="17"/>
      <c r="AC1821" s="17"/>
      <c r="AD1821" s="17"/>
      <c r="AE1821" s="17"/>
    </row>
    <row r="1822">
      <c r="A1822" s="72"/>
      <c r="B1822" s="12"/>
      <c r="C1822" s="12"/>
      <c r="D1822" s="12"/>
      <c r="E1822" s="13"/>
      <c r="F1822" s="13"/>
      <c r="G1822" s="13"/>
      <c r="H1822" s="13"/>
      <c r="I1822" s="13"/>
      <c r="J1822" s="13"/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6"/>
      <c r="W1822" s="13"/>
      <c r="X1822" s="13"/>
      <c r="Y1822" s="13"/>
      <c r="Z1822" s="13"/>
      <c r="AA1822" s="17"/>
      <c r="AB1822" s="17"/>
      <c r="AC1822" s="17"/>
      <c r="AD1822" s="17"/>
      <c r="AE1822" s="17"/>
    </row>
    <row r="1823">
      <c r="A1823" s="72"/>
      <c r="B1823" s="12"/>
      <c r="C1823" s="12"/>
      <c r="D1823" s="12"/>
      <c r="E1823" s="13"/>
      <c r="F1823" s="13"/>
      <c r="G1823" s="13"/>
      <c r="H1823" s="13"/>
      <c r="I1823" s="13"/>
      <c r="J1823" s="13"/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6"/>
      <c r="W1823" s="13"/>
      <c r="X1823" s="13"/>
      <c r="Y1823" s="13"/>
      <c r="Z1823" s="13"/>
      <c r="AA1823" s="17"/>
      <c r="AB1823" s="17"/>
      <c r="AC1823" s="17"/>
      <c r="AD1823" s="17"/>
      <c r="AE1823" s="17"/>
    </row>
    <row r="1824">
      <c r="A1824" s="72"/>
      <c r="B1824" s="12"/>
      <c r="C1824" s="12"/>
      <c r="D1824" s="12"/>
      <c r="E1824" s="13"/>
      <c r="F1824" s="13"/>
      <c r="G1824" s="13"/>
      <c r="H1824" s="13"/>
      <c r="I1824" s="13"/>
      <c r="J1824" s="13"/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6"/>
      <c r="W1824" s="13"/>
      <c r="X1824" s="13"/>
      <c r="Y1824" s="13"/>
      <c r="Z1824" s="13"/>
      <c r="AA1824" s="17"/>
      <c r="AB1824" s="17"/>
      <c r="AC1824" s="17"/>
      <c r="AD1824" s="17"/>
      <c r="AE1824" s="17"/>
    </row>
    <row r="1825">
      <c r="A1825" s="72"/>
      <c r="B1825" s="12"/>
      <c r="C1825" s="12"/>
      <c r="D1825" s="12"/>
      <c r="E1825" s="13"/>
      <c r="F1825" s="13"/>
      <c r="G1825" s="13"/>
      <c r="H1825" s="13"/>
      <c r="I1825" s="13"/>
      <c r="J1825" s="13"/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16"/>
      <c r="W1825" s="13"/>
      <c r="X1825" s="13"/>
      <c r="Y1825" s="13"/>
      <c r="Z1825" s="13"/>
      <c r="AA1825" s="17"/>
      <c r="AB1825" s="17"/>
      <c r="AC1825" s="17"/>
      <c r="AD1825" s="17"/>
      <c r="AE1825" s="17"/>
    </row>
    <row r="1826">
      <c r="A1826" s="72"/>
      <c r="B1826" s="12"/>
      <c r="C1826" s="12"/>
      <c r="D1826" s="12"/>
      <c r="E1826" s="13"/>
      <c r="F1826" s="13"/>
      <c r="G1826" s="13"/>
      <c r="H1826" s="13"/>
      <c r="I1826" s="13"/>
      <c r="J1826" s="13"/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6"/>
      <c r="W1826" s="13"/>
      <c r="X1826" s="13"/>
      <c r="Y1826" s="13"/>
      <c r="Z1826" s="13"/>
      <c r="AA1826" s="17"/>
      <c r="AB1826" s="17"/>
      <c r="AC1826" s="17"/>
      <c r="AD1826" s="17"/>
      <c r="AE1826" s="17"/>
    </row>
    <row r="1827">
      <c r="A1827" s="72"/>
      <c r="B1827" s="12"/>
      <c r="C1827" s="12"/>
      <c r="D1827" s="12"/>
      <c r="E1827" s="13"/>
      <c r="F1827" s="13"/>
      <c r="G1827" s="13"/>
      <c r="H1827" s="13"/>
      <c r="I1827" s="13"/>
      <c r="J1827" s="13"/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6"/>
      <c r="W1827" s="13"/>
      <c r="X1827" s="13"/>
      <c r="Y1827" s="13"/>
      <c r="Z1827" s="13"/>
      <c r="AA1827" s="17"/>
      <c r="AB1827" s="17"/>
      <c r="AC1827" s="17"/>
      <c r="AD1827" s="17"/>
      <c r="AE1827" s="17"/>
    </row>
    <row r="1828">
      <c r="A1828" s="72"/>
      <c r="B1828" s="12"/>
      <c r="C1828" s="12"/>
      <c r="D1828" s="12"/>
      <c r="E1828" s="13"/>
      <c r="F1828" s="13"/>
      <c r="G1828" s="13"/>
      <c r="H1828" s="13"/>
      <c r="I1828" s="13"/>
      <c r="J1828" s="13"/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16"/>
      <c r="W1828" s="13"/>
      <c r="X1828" s="13"/>
      <c r="Y1828" s="13"/>
      <c r="Z1828" s="13"/>
      <c r="AA1828" s="17"/>
      <c r="AB1828" s="17"/>
      <c r="AC1828" s="17"/>
      <c r="AD1828" s="17"/>
      <c r="AE1828" s="17"/>
    </row>
    <row r="1829">
      <c r="A1829" s="72"/>
      <c r="B1829" s="12"/>
      <c r="C1829" s="12"/>
      <c r="D1829" s="12"/>
      <c r="E1829" s="13"/>
      <c r="F1829" s="13"/>
      <c r="G1829" s="13"/>
      <c r="H1829" s="13"/>
      <c r="I1829" s="13"/>
      <c r="J1829" s="13"/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16"/>
      <c r="W1829" s="13"/>
      <c r="X1829" s="13"/>
      <c r="Y1829" s="13"/>
      <c r="Z1829" s="13"/>
      <c r="AA1829" s="17"/>
      <c r="AB1829" s="17"/>
      <c r="AC1829" s="17"/>
      <c r="AD1829" s="17"/>
      <c r="AE1829" s="17"/>
    </row>
    <row r="1830">
      <c r="A1830" s="72"/>
      <c r="B1830" s="12"/>
      <c r="C1830" s="12"/>
      <c r="D1830" s="12"/>
      <c r="E1830" s="13"/>
      <c r="F1830" s="13"/>
      <c r="G1830" s="13"/>
      <c r="H1830" s="13"/>
      <c r="I1830" s="13"/>
      <c r="J1830" s="13"/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16"/>
      <c r="W1830" s="13"/>
      <c r="X1830" s="13"/>
      <c r="Y1830" s="13"/>
      <c r="Z1830" s="13"/>
      <c r="AA1830" s="17"/>
      <c r="AB1830" s="17"/>
      <c r="AC1830" s="17"/>
      <c r="AD1830" s="17"/>
      <c r="AE1830" s="17"/>
    </row>
    <row r="1831">
      <c r="A1831" s="72"/>
      <c r="B1831" s="12"/>
      <c r="C1831" s="12"/>
      <c r="D1831" s="12"/>
      <c r="E1831" s="13"/>
      <c r="F1831" s="13"/>
      <c r="G1831" s="13"/>
      <c r="H1831" s="13"/>
      <c r="I1831" s="13"/>
      <c r="J1831" s="13"/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16"/>
      <c r="W1831" s="13"/>
      <c r="X1831" s="13"/>
      <c r="Y1831" s="13"/>
      <c r="Z1831" s="13"/>
      <c r="AA1831" s="17"/>
      <c r="AB1831" s="17"/>
      <c r="AC1831" s="17"/>
      <c r="AD1831" s="17"/>
      <c r="AE1831" s="17"/>
    </row>
    <row r="1832">
      <c r="A1832" s="72"/>
      <c r="B1832" s="12"/>
      <c r="C1832" s="12"/>
      <c r="D1832" s="12"/>
      <c r="E1832" s="13"/>
      <c r="F1832" s="13"/>
      <c r="G1832" s="13"/>
      <c r="H1832" s="13"/>
      <c r="I1832" s="13"/>
      <c r="J1832" s="13"/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6"/>
      <c r="W1832" s="13"/>
      <c r="X1832" s="13"/>
      <c r="Y1832" s="13"/>
      <c r="Z1832" s="13"/>
      <c r="AA1832" s="17"/>
      <c r="AB1832" s="17"/>
      <c r="AC1832" s="17"/>
      <c r="AD1832" s="17"/>
      <c r="AE1832" s="17"/>
    </row>
    <row r="1833">
      <c r="A1833" s="72"/>
      <c r="B1833" s="12"/>
      <c r="C1833" s="12"/>
      <c r="D1833" s="12"/>
      <c r="E1833" s="13"/>
      <c r="F1833" s="13"/>
      <c r="G1833" s="13"/>
      <c r="H1833" s="13"/>
      <c r="I1833" s="13"/>
      <c r="J1833" s="13"/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16"/>
      <c r="W1833" s="13"/>
      <c r="X1833" s="13"/>
      <c r="Y1833" s="13"/>
      <c r="Z1833" s="13"/>
      <c r="AA1833" s="17"/>
      <c r="AB1833" s="17"/>
      <c r="AC1833" s="17"/>
      <c r="AD1833" s="17"/>
      <c r="AE1833" s="17"/>
    </row>
    <row r="1834">
      <c r="A1834" s="72"/>
      <c r="B1834" s="12"/>
      <c r="C1834" s="12"/>
      <c r="D1834" s="12"/>
      <c r="E1834" s="13"/>
      <c r="F1834" s="13"/>
      <c r="G1834" s="13"/>
      <c r="H1834" s="13"/>
      <c r="I1834" s="13"/>
      <c r="J1834" s="13"/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16"/>
      <c r="W1834" s="13"/>
      <c r="X1834" s="13"/>
      <c r="Y1834" s="13"/>
      <c r="Z1834" s="13"/>
      <c r="AA1834" s="17"/>
      <c r="AB1834" s="17"/>
      <c r="AC1834" s="17"/>
      <c r="AD1834" s="17"/>
      <c r="AE1834" s="17"/>
    </row>
    <row r="1835">
      <c r="A1835" s="72"/>
      <c r="B1835" s="12"/>
      <c r="C1835" s="12"/>
      <c r="D1835" s="12"/>
      <c r="E1835" s="13"/>
      <c r="F1835" s="13"/>
      <c r="G1835" s="13"/>
      <c r="H1835" s="13"/>
      <c r="I1835" s="13"/>
      <c r="J1835" s="13"/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6"/>
      <c r="W1835" s="13"/>
      <c r="X1835" s="13"/>
      <c r="Y1835" s="13"/>
      <c r="Z1835" s="13"/>
      <c r="AA1835" s="17"/>
      <c r="AB1835" s="17"/>
      <c r="AC1835" s="17"/>
      <c r="AD1835" s="17"/>
      <c r="AE1835" s="17"/>
    </row>
    <row r="1836">
      <c r="A1836" s="72"/>
      <c r="B1836" s="12"/>
      <c r="C1836" s="12"/>
      <c r="D1836" s="12"/>
      <c r="E1836" s="13"/>
      <c r="F1836" s="13"/>
      <c r="G1836" s="13"/>
      <c r="H1836" s="13"/>
      <c r="I1836" s="13"/>
      <c r="J1836" s="13"/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6"/>
      <c r="W1836" s="13"/>
      <c r="X1836" s="13"/>
      <c r="Y1836" s="13"/>
      <c r="Z1836" s="13"/>
      <c r="AA1836" s="17"/>
      <c r="AB1836" s="17"/>
      <c r="AC1836" s="17"/>
      <c r="AD1836" s="17"/>
      <c r="AE1836" s="17"/>
    </row>
    <row r="1837">
      <c r="A1837" s="72"/>
      <c r="B1837" s="12"/>
      <c r="C1837" s="12"/>
      <c r="D1837" s="12"/>
      <c r="E1837" s="13"/>
      <c r="F1837" s="13"/>
      <c r="G1837" s="13"/>
      <c r="H1837" s="13"/>
      <c r="I1837" s="13"/>
      <c r="J1837" s="13"/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16"/>
      <c r="W1837" s="13"/>
      <c r="X1837" s="13"/>
      <c r="Y1837" s="13"/>
      <c r="Z1837" s="13"/>
      <c r="AA1837" s="17"/>
      <c r="AB1837" s="17"/>
      <c r="AC1837" s="17"/>
      <c r="AD1837" s="17"/>
      <c r="AE1837" s="17"/>
    </row>
    <row r="1838">
      <c r="A1838" s="72"/>
      <c r="B1838" s="12"/>
      <c r="C1838" s="12"/>
      <c r="D1838" s="12"/>
      <c r="E1838" s="13"/>
      <c r="F1838" s="13"/>
      <c r="G1838" s="13"/>
      <c r="H1838" s="13"/>
      <c r="I1838" s="13"/>
      <c r="J1838" s="13"/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16"/>
      <c r="W1838" s="13"/>
      <c r="X1838" s="13"/>
      <c r="Y1838" s="13"/>
      <c r="Z1838" s="13"/>
      <c r="AA1838" s="17"/>
      <c r="AB1838" s="17"/>
      <c r="AC1838" s="17"/>
      <c r="AD1838" s="17"/>
      <c r="AE1838" s="17"/>
    </row>
    <row r="1839">
      <c r="A1839" s="72"/>
      <c r="B1839" s="12"/>
      <c r="C1839" s="12"/>
      <c r="D1839" s="12"/>
      <c r="E1839" s="13"/>
      <c r="F1839" s="13"/>
      <c r="G1839" s="13"/>
      <c r="H1839" s="13"/>
      <c r="I1839" s="13"/>
      <c r="J1839" s="13"/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6"/>
      <c r="W1839" s="13"/>
      <c r="X1839" s="13"/>
      <c r="Y1839" s="13"/>
      <c r="Z1839" s="13"/>
      <c r="AA1839" s="17"/>
      <c r="AB1839" s="17"/>
      <c r="AC1839" s="17"/>
      <c r="AD1839" s="17"/>
      <c r="AE1839" s="17"/>
    </row>
    <row r="1840">
      <c r="A1840" s="72"/>
      <c r="B1840" s="12"/>
      <c r="C1840" s="12"/>
      <c r="D1840" s="12"/>
      <c r="E1840" s="13"/>
      <c r="F1840" s="13"/>
      <c r="G1840" s="13"/>
      <c r="H1840" s="13"/>
      <c r="I1840" s="13"/>
      <c r="J1840" s="13"/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16"/>
      <c r="W1840" s="13"/>
      <c r="X1840" s="13"/>
      <c r="Y1840" s="13"/>
      <c r="Z1840" s="13"/>
      <c r="AA1840" s="17"/>
      <c r="AB1840" s="17"/>
      <c r="AC1840" s="17"/>
      <c r="AD1840" s="17"/>
      <c r="AE1840" s="17"/>
    </row>
    <row r="1841">
      <c r="A1841" s="72"/>
      <c r="B1841" s="12"/>
      <c r="C1841" s="12"/>
      <c r="D1841" s="12"/>
      <c r="E1841" s="13"/>
      <c r="F1841" s="13"/>
      <c r="G1841" s="13"/>
      <c r="H1841" s="13"/>
      <c r="I1841" s="13"/>
      <c r="J1841" s="13"/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6"/>
      <c r="W1841" s="13"/>
      <c r="X1841" s="13"/>
      <c r="Y1841" s="13"/>
      <c r="Z1841" s="13"/>
      <c r="AA1841" s="17"/>
      <c r="AB1841" s="17"/>
      <c r="AC1841" s="17"/>
      <c r="AD1841" s="17"/>
      <c r="AE1841" s="17"/>
    </row>
    <row r="1842">
      <c r="A1842" s="72"/>
      <c r="B1842" s="12"/>
      <c r="C1842" s="12"/>
      <c r="D1842" s="12"/>
      <c r="E1842" s="13"/>
      <c r="F1842" s="13"/>
      <c r="G1842" s="13"/>
      <c r="H1842" s="13"/>
      <c r="I1842" s="13"/>
      <c r="J1842" s="13"/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16"/>
      <c r="W1842" s="13"/>
      <c r="X1842" s="13"/>
      <c r="Y1842" s="13"/>
      <c r="Z1842" s="13"/>
      <c r="AA1842" s="17"/>
      <c r="AB1842" s="17"/>
      <c r="AC1842" s="17"/>
      <c r="AD1842" s="17"/>
      <c r="AE1842" s="17"/>
    </row>
    <row r="1843">
      <c r="A1843" s="72"/>
      <c r="B1843" s="12"/>
      <c r="C1843" s="12"/>
      <c r="D1843" s="12"/>
      <c r="E1843" s="13"/>
      <c r="F1843" s="13"/>
      <c r="G1843" s="13"/>
      <c r="H1843" s="13"/>
      <c r="I1843" s="13"/>
      <c r="J1843" s="13"/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6"/>
      <c r="W1843" s="13"/>
      <c r="X1843" s="13"/>
      <c r="Y1843" s="13"/>
      <c r="Z1843" s="13"/>
      <c r="AA1843" s="17"/>
      <c r="AB1843" s="17"/>
      <c r="AC1843" s="17"/>
      <c r="AD1843" s="17"/>
      <c r="AE1843" s="17"/>
    </row>
    <row r="1844">
      <c r="A1844" s="72"/>
      <c r="B1844" s="12"/>
      <c r="C1844" s="12"/>
      <c r="D1844" s="12"/>
      <c r="E1844" s="13"/>
      <c r="F1844" s="13"/>
      <c r="G1844" s="13"/>
      <c r="H1844" s="13"/>
      <c r="I1844" s="13"/>
      <c r="J1844" s="13"/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16"/>
      <c r="W1844" s="13"/>
      <c r="X1844" s="13"/>
      <c r="Y1844" s="13"/>
      <c r="Z1844" s="13"/>
      <c r="AA1844" s="17"/>
      <c r="AB1844" s="17"/>
      <c r="AC1844" s="17"/>
      <c r="AD1844" s="17"/>
      <c r="AE1844" s="17"/>
    </row>
    <row r="1845">
      <c r="A1845" s="72"/>
      <c r="B1845" s="12"/>
      <c r="C1845" s="12"/>
      <c r="D1845" s="12"/>
      <c r="E1845" s="13"/>
      <c r="F1845" s="13"/>
      <c r="G1845" s="13"/>
      <c r="H1845" s="13"/>
      <c r="I1845" s="13"/>
      <c r="J1845" s="13"/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6"/>
      <c r="W1845" s="13"/>
      <c r="X1845" s="13"/>
      <c r="Y1845" s="13"/>
      <c r="Z1845" s="13"/>
      <c r="AA1845" s="17"/>
      <c r="AB1845" s="17"/>
      <c r="AC1845" s="17"/>
      <c r="AD1845" s="17"/>
      <c r="AE1845" s="17"/>
    </row>
    <row r="1846">
      <c r="A1846" s="72"/>
      <c r="B1846" s="12"/>
      <c r="C1846" s="12"/>
      <c r="D1846" s="12"/>
      <c r="E1846" s="13"/>
      <c r="F1846" s="13"/>
      <c r="G1846" s="13"/>
      <c r="H1846" s="13"/>
      <c r="I1846" s="13"/>
      <c r="J1846" s="13"/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6"/>
      <c r="W1846" s="13"/>
      <c r="X1846" s="13"/>
      <c r="Y1846" s="13"/>
      <c r="Z1846" s="13"/>
      <c r="AA1846" s="17"/>
      <c r="AB1846" s="17"/>
      <c r="AC1846" s="17"/>
      <c r="AD1846" s="17"/>
      <c r="AE1846" s="17"/>
    </row>
    <row r="1847">
      <c r="A1847" s="72"/>
      <c r="B1847" s="12"/>
      <c r="C1847" s="12"/>
      <c r="D1847" s="12"/>
      <c r="E1847" s="13"/>
      <c r="F1847" s="13"/>
      <c r="G1847" s="13"/>
      <c r="H1847" s="13"/>
      <c r="I1847" s="13"/>
      <c r="J1847" s="13"/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16"/>
      <c r="W1847" s="13"/>
      <c r="X1847" s="13"/>
      <c r="Y1847" s="13"/>
      <c r="Z1847" s="13"/>
      <c r="AA1847" s="17"/>
      <c r="AB1847" s="17"/>
      <c r="AC1847" s="17"/>
      <c r="AD1847" s="17"/>
      <c r="AE1847" s="17"/>
    </row>
    <row r="1848">
      <c r="A1848" s="72"/>
      <c r="B1848" s="12"/>
      <c r="C1848" s="12"/>
      <c r="D1848" s="12"/>
      <c r="E1848" s="13"/>
      <c r="F1848" s="13"/>
      <c r="G1848" s="13"/>
      <c r="H1848" s="13"/>
      <c r="I1848" s="13"/>
      <c r="J1848" s="13"/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16"/>
      <c r="W1848" s="13"/>
      <c r="X1848" s="13"/>
      <c r="Y1848" s="13"/>
      <c r="Z1848" s="13"/>
      <c r="AA1848" s="17"/>
      <c r="AB1848" s="17"/>
      <c r="AC1848" s="17"/>
      <c r="AD1848" s="17"/>
      <c r="AE1848" s="17"/>
    </row>
    <row r="1849">
      <c r="A1849" s="72"/>
      <c r="B1849" s="12"/>
      <c r="C1849" s="12"/>
      <c r="D1849" s="12"/>
      <c r="E1849" s="13"/>
      <c r="F1849" s="13"/>
      <c r="G1849" s="13"/>
      <c r="H1849" s="13"/>
      <c r="I1849" s="13"/>
      <c r="J1849" s="13"/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16"/>
      <c r="W1849" s="13"/>
      <c r="X1849" s="13"/>
      <c r="Y1849" s="13"/>
      <c r="Z1849" s="13"/>
      <c r="AA1849" s="17"/>
      <c r="AB1849" s="17"/>
      <c r="AC1849" s="17"/>
      <c r="AD1849" s="17"/>
      <c r="AE1849" s="17"/>
    </row>
    <row r="1850">
      <c r="A1850" s="72"/>
      <c r="B1850" s="12"/>
      <c r="C1850" s="12"/>
      <c r="D1850" s="12"/>
      <c r="E1850" s="13"/>
      <c r="F1850" s="13"/>
      <c r="G1850" s="13"/>
      <c r="H1850" s="13"/>
      <c r="I1850" s="13"/>
      <c r="J1850" s="13"/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6"/>
      <c r="W1850" s="13"/>
      <c r="X1850" s="13"/>
      <c r="Y1850" s="13"/>
      <c r="Z1850" s="13"/>
      <c r="AA1850" s="17"/>
      <c r="AB1850" s="17"/>
      <c r="AC1850" s="17"/>
      <c r="AD1850" s="17"/>
      <c r="AE1850" s="17"/>
    </row>
    <row r="1851">
      <c r="A1851" s="72"/>
      <c r="B1851" s="12"/>
      <c r="C1851" s="12"/>
      <c r="D1851" s="12"/>
      <c r="E1851" s="13"/>
      <c r="F1851" s="13"/>
      <c r="G1851" s="13"/>
      <c r="H1851" s="13"/>
      <c r="I1851" s="13"/>
      <c r="J1851" s="13"/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16"/>
      <c r="W1851" s="13"/>
      <c r="X1851" s="13"/>
      <c r="Y1851" s="13"/>
      <c r="Z1851" s="13"/>
      <c r="AA1851" s="17"/>
      <c r="AB1851" s="17"/>
      <c r="AC1851" s="17"/>
      <c r="AD1851" s="17"/>
      <c r="AE1851" s="17"/>
    </row>
    <row r="1852">
      <c r="A1852" s="72"/>
      <c r="B1852" s="12"/>
      <c r="C1852" s="12"/>
      <c r="D1852" s="12"/>
      <c r="E1852" s="13"/>
      <c r="F1852" s="13"/>
      <c r="G1852" s="13"/>
      <c r="H1852" s="13"/>
      <c r="I1852" s="13"/>
      <c r="J1852" s="13"/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6"/>
      <c r="W1852" s="13"/>
      <c r="X1852" s="13"/>
      <c r="Y1852" s="13"/>
      <c r="Z1852" s="13"/>
      <c r="AA1852" s="17"/>
      <c r="AB1852" s="17"/>
      <c r="AC1852" s="17"/>
      <c r="AD1852" s="17"/>
      <c r="AE1852" s="17"/>
    </row>
    <row r="1853">
      <c r="A1853" s="72"/>
      <c r="B1853" s="12"/>
      <c r="C1853" s="12"/>
      <c r="D1853" s="12"/>
      <c r="E1853" s="13"/>
      <c r="F1853" s="13"/>
      <c r="G1853" s="13"/>
      <c r="H1853" s="13"/>
      <c r="I1853" s="13"/>
      <c r="J1853" s="13"/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6"/>
      <c r="W1853" s="13"/>
      <c r="X1853" s="13"/>
      <c r="Y1853" s="13"/>
      <c r="Z1853" s="13"/>
      <c r="AA1853" s="17"/>
      <c r="AB1853" s="17"/>
      <c r="AC1853" s="17"/>
      <c r="AD1853" s="17"/>
      <c r="AE1853" s="17"/>
    </row>
    <row r="1854">
      <c r="A1854" s="72"/>
      <c r="B1854" s="12"/>
      <c r="C1854" s="12"/>
      <c r="D1854" s="12"/>
      <c r="E1854" s="13"/>
      <c r="F1854" s="13"/>
      <c r="G1854" s="13"/>
      <c r="H1854" s="13"/>
      <c r="I1854" s="13"/>
      <c r="J1854" s="13"/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16"/>
      <c r="W1854" s="13"/>
      <c r="X1854" s="13"/>
      <c r="Y1854" s="13"/>
      <c r="Z1854" s="13"/>
      <c r="AA1854" s="17"/>
      <c r="AB1854" s="17"/>
      <c r="AC1854" s="17"/>
      <c r="AD1854" s="17"/>
      <c r="AE1854" s="17"/>
    </row>
    <row r="1855">
      <c r="A1855" s="72"/>
      <c r="B1855" s="12"/>
      <c r="C1855" s="12"/>
      <c r="D1855" s="12"/>
      <c r="E1855" s="13"/>
      <c r="F1855" s="13"/>
      <c r="G1855" s="13"/>
      <c r="H1855" s="13"/>
      <c r="I1855" s="13"/>
      <c r="J1855" s="13"/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16"/>
      <c r="W1855" s="13"/>
      <c r="X1855" s="13"/>
      <c r="Y1855" s="13"/>
      <c r="Z1855" s="13"/>
      <c r="AA1855" s="17"/>
      <c r="AB1855" s="17"/>
      <c r="AC1855" s="17"/>
      <c r="AD1855" s="17"/>
      <c r="AE1855" s="17"/>
    </row>
    <row r="1856">
      <c r="A1856" s="72"/>
      <c r="B1856" s="12"/>
      <c r="C1856" s="12"/>
      <c r="D1856" s="12"/>
      <c r="E1856" s="13"/>
      <c r="F1856" s="13"/>
      <c r="G1856" s="13"/>
      <c r="H1856" s="13"/>
      <c r="I1856" s="13"/>
      <c r="J1856" s="13"/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16"/>
      <c r="W1856" s="13"/>
      <c r="X1856" s="13"/>
      <c r="Y1856" s="13"/>
      <c r="Z1856" s="13"/>
      <c r="AA1856" s="17"/>
      <c r="AB1856" s="17"/>
      <c r="AC1856" s="17"/>
      <c r="AD1856" s="17"/>
      <c r="AE1856" s="17"/>
    </row>
    <row r="1857">
      <c r="A1857" s="72"/>
      <c r="B1857" s="12"/>
      <c r="C1857" s="12"/>
      <c r="D1857" s="12"/>
      <c r="E1857" s="13"/>
      <c r="F1857" s="13"/>
      <c r="G1857" s="13"/>
      <c r="H1857" s="13"/>
      <c r="I1857" s="13"/>
      <c r="J1857" s="13"/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6"/>
      <c r="W1857" s="13"/>
      <c r="X1857" s="13"/>
      <c r="Y1857" s="13"/>
      <c r="Z1857" s="13"/>
      <c r="AA1857" s="17"/>
      <c r="AB1857" s="17"/>
      <c r="AC1857" s="17"/>
      <c r="AD1857" s="17"/>
      <c r="AE1857" s="17"/>
    </row>
    <row r="1858">
      <c r="A1858" s="72"/>
      <c r="B1858" s="12"/>
      <c r="C1858" s="12"/>
      <c r="D1858" s="12"/>
      <c r="E1858" s="13"/>
      <c r="F1858" s="13"/>
      <c r="G1858" s="13"/>
      <c r="H1858" s="13"/>
      <c r="I1858" s="13"/>
      <c r="J1858" s="13"/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6"/>
      <c r="W1858" s="13"/>
      <c r="X1858" s="13"/>
      <c r="Y1858" s="13"/>
      <c r="Z1858" s="13"/>
      <c r="AA1858" s="17"/>
      <c r="AB1858" s="17"/>
      <c r="AC1858" s="17"/>
      <c r="AD1858" s="17"/>
      <c r="AE1858" s="17"/>
    </row>
    <row r="1859">
      <c r="A1859" s="72"/>
      <c r="B1859" s="12"/>
      <c r="C1859" s="12"/>
      <c r="D1859" s="12"/>
      <c r="E1859" s="13"/>
      <c r="F1859" s="13"/>
      <c r="G1859" s="13"/>
      <c r="H1859" s="13"/>
      <c r="I1859" s="13"/>
      <c r="J1859" s="13"/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6"/>
      <c r="W1859" s="13"/>
      <c r="X1859" s="13"/>
      <c r="Y1859" s="13"/>
      <c r="Z1859" s="13"/>
      <c r="AA1859" s="17"/>
      <c r="AB1859" s="17"/>
      <c r="AC1859" s="17"/>
      <c r="AD1859" s="17"/>
      <c r="AE1859" s="17"/>
    </row>
    <row r="1860">
      <c r="A1860" s="72"/>
      <c r="B1860" s="12"/>
      <c r="C1860" s="12"/>
      <c r="D1860" s="12"/>
      <c r="E1860" s="13"/>
      <c r="F1860" s="13"/>
      <c r="G1860" s="13"/>
      <c r="H1860" s="13"/>
      <c r="I1860" s="13"/>
      <c r="J1860" s="13"/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16"/>
      <c r="W1860" s="13"/>
      <c r="X1860" s="13"/>
      <c r="Y1860" s="13"/>
      <c r="Z1860" s="13"/>
      <c r="AA1860" s="17"/>
      <c r="AB1860" s="17"/>
      <c r="AC1860" s="17"/>
      <c r="AD1860" s="17"/>
      <c r="AE1860" s="17"/>
    </row>
    <row r="1861">
      <c r="A1861" s="72"/>
      <c r="B1861" s="12"/>
      <c r="C1861" s="12"/>
      <c r="D1861" s="12"/>
      <c r="E1861" s="13"/>
      <c r="F1861" s="13"/>
      <c r="G1861" s="13"/>
      <c r="H1861" s="13"/>
      <c r="I1861" s="13"/>
      <c r="J1861" s="13"/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16"/>
      <c r="W1861" s="13"/>
      <c r="X1861" s="13"/>
      <c r="Y1861" s="13"/>
      <c r="Z1861" s="13"/>
      <c r="AA1861" s="17"/>
      <c r="AB1861" s="17"/>
      <c r="AC1861" s="17"/>
      <c r="AD1861" s="17"/>
      <c r="AE1861" s="17"/>
    </row>
    <row r="1862">
      <c r="A1862" s="72"/>
      <c r="B1862" s="12"/>
      <c r="C1862" s="12"/>
      <c r="D1862" s="12"/>
      <c r="E1862" s="13"/>
      <c r="F1862" s="13"/>
      <c r="G1862" s="13"/>
      <c r="H1862" s="13"/>
      <c r="I1862" s="13"/>
      <c r="J1862" s="13"/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16"/>
      <c r="W1862" s="13"/>
      <c r="X1862" s="13"/>
      <c r="Y1862" s="13"/>
      <c r="Z1862" s="13"/>
      <c r="AA1862" s="17"/>
      <c r="AB1862" s="17"/>
      <c r="AC1862" s="17"/>
      <c r="AD1862" s="17"/>
      <c r="AE1862" s="17"/>
    </row>
    <row r="1863">
      <c r="A1863" s="72"/>
      <c r="B1863" s="12"/>
      <c r="C1863" s="12"/>
      <c r="D1863" s="12"/>
      <c r="E1863" s="13"/>
      <c r="F1863" s="13"/>
      <c r="G1863" s="13"/>
      <c r="H1863" s="13"/>
      <c r="I1863" s="13"/>
      <c r="J1863" s="13"/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16"/>
      <c r="W1863" s="13"/>
      <c r="X1863" s="13"/>
      <c r="Y1863" s="13"/>
      <c r="Z1863" s="13"/>
      <c r="AA1863" s="17"/>
      <c r="AB1863" s="17"/>
      <c r="AC1863" s="17"/>
      <c r="AD1863" s="17"/>
      <c r="AE1863" s="17"/>
    </row>
    <row r="1864">
      <c r="A1864" s="72"/>
      <c r="B1864" s="12"/>
      <c r="C1864" s="12"/>
      <c r="D1864" s="12"/>
      <c r="E1864" s="13"/>
      <c r="F1864" s="13"/>
      <c r="G1864" s="13"/>
      <c r="H1864" s="13"/>
      <c r="I1864" s="13"/>
      <c r="J1864" s="13"/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16"/>
      <c r="W1864" s="13"/>
      <c r="X1864" s="13"/>
      <c r="Y1864" s="13"/>
      <c r="Z1864" s="13"/>
      <c r="AA1864" s="17"/>
      <c r="AB1864" s="17"/>
      <c r="AC1864" s="17"/>
      <c r="AD1864" s="17"/>
      <c r="AE1864" s="17"/>
    </row>
    <row r="1865">
      <c r="A1865" s="72"/>
      <c r="B1865" s="12"/>
      <c r="C1865" s="12"/>
      <c r="D1865" s="12"/>
      <c r="E1865" s="13"/>
      <c r="F1865" s="13"/>
      <c r="G1865" s="13"/>
      <c r="H1865" s="13"/>
      <c r="I1865" s="13"/>
      <c r="J1865" s="13"/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16"/>
      <c r="W1865" s="13"/>
      <c r="X1865" s="13"/>
      <c r="Y1865" s="13"/>
      <c r="Z1865" s="13"/>
      <c r="AA1865" s="17"/>
      <c r="AB1865" s="17"/>
      <c r="AC1865" s="17"/>
      <c r="AD1865" s="17"/>
      <c r="AE1865" s="17"/>
    </row>
    <row r="1866">
      <c r="A1866" s="72"/>
      <c r="B1866" s="12"/>
      <c r="C1866" s="12"/>
      <c r="D1866" s="12"/>
      <c r="E1866" s="13"/>
      <c r="F1866" s="13"/>
      <c r="G1866" s="13"/>
      <c r="H1866" s="13"/>
      <c r="I1866" s="13"/>
      <c r="J1866" s="13"/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16"/>
      <c r="W1866" s="13"/>
      <c r="X1866" s="13"/>
      <c r="Y1866" s="13"/>
      <c r="Z1866" s="13"/>
      <c r="AA1866" s="17"/>
      <c r="AB1866" s="17"/>
      <c r="AC1866" s="17"/>
      <c r="AD1866" s="17"/>
      <c r="AE1866" s="17"/>
    </row>
    <row r="1867">
      <c r="A1867" s="72"/>
      <c r="B1867" s="12"/>
      <c r="C1867" s="12"/>
      <c r="D1867" s="12"/>
      <c r="E1867" s="13"/>
      <c r="F1867" s="13"/>
      <c r="G1867" s="13"/>
      <c r="H1867" s="13"/>
      <c r="I1867" s="13"/>
      <c r="J1867" s="13"/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16"/>
      <c r="W1867" s="13"/>
      <c r="X1867" s="13"/>
      <c r="Y1867" s="13"/>
      <c r="Z1867" s="13"/>
      <c r="AA1867" s="17"/>
      <c r="AB1867" s="17"/>
      <c r="AC1867" s="17"/>
      <c r="AD1867" s="17"/>
      <c r="AE1867" s="17"/>
    </row>
    <row r="1868">
      <c r="A1868" s="72"/>
      <c r="B1868" s="12"/>
      <c r="C1868" s="12"/>
      <c r="D1868" s="12"/>
      <c r="E1868" s="13"/>
      <c r="F1868" s="13"/>
      <c r="G1868" s="13"/>
      <c r="H1868" s="13"/>
      <c r="I1868" s="13"/>
      <c r="J1868" s="13"/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16"/>
      <c r="W1868" s="13"/>
      <c r="X1868" s="13"/>
      <c r="Y1868" s="13"/>
      <c r="Z1868" s="13"/>
      <c r="AA1868" s="17"/>
      <c r="AB1868" s="17"/>
      <c r="AC1868" s="17"/>
      <c r="AD1868" s="17"/>
      <c r="AE1868" s="17"/>
    </row>
    <row r="1869">
      <c r="A1869" s="72"/>
      <c r="B1869" s="12"/>
      <c r="C1869" s="12"/>
      <c r="D1869" s="12"/>
      <c r="E1869" s="13"/>
      <c r="F1869" s="13"/>
      <c r="G1869" s="13"/>
      <c r="H1869" s="13"/>
      <c r="I1869" s="13"/>
      <c r="J1869" s="13"/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6"/>
      <c r="W1869" s="13"/>
      <c r="X1869" s="13"/>
      <c r="Y1869" s="13"/>
      <c r="Z1869" s="13"/>
      <c r="AA1869" s="17"/>
      <c r="AB1869" s="17"/>
      <c r="AC1869" s="17"/>
      <c r="AD1869" s="17"/>
      <c r="AE1869" s="17"/>
    </row>
    <row r="1870">
      <c r="A1870" s="72"/>
      <c r="B1870" s="12"/>
      <c r="C1870" s="12"/>
      <c r="D1870" s="12"/>
      <c r="E1870" s="13"/>
      <c r="F1870" s="13"/>
      <c r="G1870" s="13"/>
      <c r="H1870" s="13"/>
      <c r="I1870" s="13"/>
      <c r="J1870" s="13"/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6"/>
      <c r="W1870" s="13"/>
      <c r="X1870" s="13"/>
      <c r="Y1870" s="13"/>
      <c r="Z1870" s="13"/>
      <c r="AA1870" s="17"/>
      <c r="AB1870" s="17"/>
      <c r="AC1870" s="17"/>
      <c r="AD1870" s="17"/>
      <c r="AE1870" s="17"/>
    </row>
    <row r="1871">
      <c r="A1871" s="72"/>
      <c r="B1871" s="12"/>
      <c r="C1871" s="12"/>
      <c r="D1871" s="12"/>
      <c r="E1871" s="13"/>
      <c r="F1871" s="13"/>
      <c r="G1871" s="13"/>
      <c r="H1871" s="13"/>
      <c r="I1871" s="13"/>
      <c r="J1871" s="13"/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6"/>
      <c r="W1871" s="13"/>
      <c r="X1871" s="13"/>
      <c r="Y1871" s="13"/>
      <c r="Z1871" s="13"/>
      <c r="AA1871" s="17"/>
      <c r="AB1871" s="17"/>
      <c r="AC1871" s="17"/>
      <c r="AD1871" s="17"/>
      <c r="AE1871" s="17"/>
    </row>
    <row r="1872">
      <c r="A1872" s="72"/>
      <c r="B1872" s="12"/>
      <c r="C1872" s="12"/>
      <c r="D1872" s="12"/>
      <c r="E1872" s="13"/>
      <c r="F1872" s="13"/>
      <c r="G1872" s="13"/>
      <c r="H1872" s="13"/>
      <c r="I1872" s="13"/>
      <c r="J1872" s="13"/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16"/>
      <c r="W1872" s="13"/>
      <c r="X1872" s="13"/>
      <c r="Y1872" s="13"/>
      <c r="Z1872" s="13"/>
      <c r="AA1872" s="17"/>
      <c r="AB1872" s="17"/>
      <c r="AC1872" s="17"/>
      <c r="AD1872" s="17"/>
      <c r="AE1872" s="17"/>
    </row>
    <row r="1873">
      <c r="A1873" s="72"/>
      <c r="B1873" s="12"/>
      <c r="C1873" s="12"/>
      <c r="D1873" s="12"/>
      <c r="E1873" s="13"/>
      <c r="F1873" s="13"/>
      <c r="G1873" s="13"/>
      <c r="H1873" s="13"/>
      <c r="I1873" s="13"/>
      <c r="J1873" s="13"/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16"/>
      <c r="W1873" s="13"/>
      <c r="X1873" s="13"/>
      <c r="Y1873" s="13"/>
      <c r="Z1873" s="13"/>
      <c r="AA1873" s="17"/>
      <c r="AB1873" s="17"/>
      <c r="AC1873" s="17"/>
      <c r="AD1873" s="17"/>
      <c r="AE1873" s="17"/>
    </row>
    <row r="1874">
      <c r="A1874" s="72"/>
      <c r="B1874" s="12"/>
      <c r="C1874" s="12"/>
      <c r="D1874" s="12"/>
      <c r="E1874" s="13"/>
      <c r="F1874" s="13"/>
      <c r="G1874" s="13"/>
      <c r="H1874" s="13"/>
      <c r="I1874" s="13"/>
      <c r="J1874" s="13"/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16"/>
      <c r="W1874" s="13"/>
      <c r="X1874" s="13"/>
      <c r="Y1874" s="13"/>
      <c r="Z1874" s="13"/>
      <c r="AA1874" s="17"/>
      <c r="AB1874" s="17"/>
      <c r="AC1874" s="17"/>
      <c r="AD1874" s="17"/>
      <c r="AE1874" s="17"/>
    </row>
    <row r="1875">
      <c r="A1875" s="72"/>
      <c r="B1875" s="12"/>
      <c r="C1875" s="12"/>
      <c r="D1875" s="12"/>
      <c r="E1875" s="13"/>
      <c r="F1875" s="13"/>
      <c r="G1875" s="13"/>
      <c r="H1875" s="13"/>
      <c r="I1875" s="13"/>
      <c r="J1875" s="13"/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16"/>
      <c r="W1875" s="13"/>
      <c r="X1875" s="13"/>
      <c r="Y1875" s="13"/>
      <c r="Z1875" s="13"/>
      <c r="AA1875" s="17"/>
      <c r="AB1875" s="17"/>
      <c r="AC1875" s="17"/>
      <c r="AD1875" s="17"/>
      <c r="AE1875" s="17"/>
    </row>
    <row r="1876">
      <c r="A1876" s="72"/>
      <c r="B1876" s="12"/>
      <c r="C1876" s="12"/>
      <c r="D1876" s="12"/>
      <c r="E1876" s="13"/>
      <c r="F1876" s="13"/>
      <c r="G1876" s="13"/>
      <c r="H1876" s="13"/>
      <c r="I1876" s="13"/>
      <c r="J1876" s="13"/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16"/>
      <c r="W1876" s="13"/>
      <c r="X1876" s="13"/>
      <c r="Y1876" s="13"/>
      <c r="Z1876" s="13"/>
      <c r="AA1876" s="17"/>
      <c r="AB1876" s="17"/>
      <c r="AC1876" s="17"/>
      <c r="AD1876" s="17"/>
      <c r="AE1876" s="17"/>
    </row>
    <row r="1877">
      <c r="A1877" s="72"/>
      <c r="B1877" s="12"/>
      <c r="C1877" s="12"/>
      <c r="D1877" s="12"/>
      <c r="E1877" s="13"/>
      <c r="F1877" s="13"/>
      <c r="G1877" s="13"/>
      <c r="H1877" s="13"/>
      <c r="I1877" s="13"/>
      <c r="J1877" s="13"/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6"/>
      <c r="W1877" s="13"/>
      <c r="X1877" s="13"/>
      <c r="Y1877" s="13"/>
      <c r="Z1877" s="13"/>
      <c r="AA1877" s="17"/>
      <c r="AB1877" s="17"/>
      <c r="AC1877" s="17"/>
      <c r="AD1877" s="17"/>
      <c r="AE1877" s="17"/>
    </row>
    <row r="1878">
      <c r="A1878" s="72"/>
      <c r="B1878" s="12"/>
      <c r="C1878" s="12"/>
      <c r="D1878" s="12"/>
      <c r="E1878" s="13"/>
      <c r="F1878" s="13"/>
      <c r="G1878" s="13"/>
      <c r="H1878" s="13"/>
      <c r="I1878" s="13"/>
      <c r="J1878" s="13"/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16"/>
      <c r="W1878" s="13"/>
      <c r="X1878" s="13"/>
      <c r="Y1878" s="13"/>
      <c r="Z1878" s="13"/>
      <c r="AA1878" s="17"/>
      <c r="AB1878" s="17"/>
      <c r="AC1878" s="17"/>
      <c r="AD1878" s="17"/>
      <c r="AE1878" s="17"/>
    </row>
    <row r="1879">
      <c r="A1879" s="72"/>
      <c r="B1879" s="12"/>
      <c r="C1879" s="12"/>
      <c r="D1879" s="12"/>
      <c r="E1879" s="13"/>
      <c r="F1879" s="13"/>
      <c r="G1879" s="13"/>
      <c r="H1879" s="13"/>
      <c r="I1879" s="13"/>
      <c r="J1879" s="13"/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6"/>
      <c r="W1879" s="13"/>
      <c r="X1879" s="13"/>
      <c r="Y1879" s="13"/>
      <c r="Z1879" s="13"/>
      <c r="AA1879" s="17"/>
      <c r="AB1879" s="17"/>
      <c r="AC1879" s="17"/>
      <c r="AD1879" s="17"/>
      <c r="AE1879" s="17"/>
    </row>
    <row r="1880">
      <c r="A1880" s="72"/>
      <c r="B1880" s="12"/>
      <c r="C1880" s="12"/>
      <c r="D1880" s="12"/>
      <c r="E1880" s="13"/>
      <c r="F1880" s="13"/>
      <c r="G1880" s="13"/>
      <c r="H1880" s="13"/>
      <c r="I1880" s="13"/>
      <c r="J1880" s="13"/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16"/>
      <c r="W1880" s="13"/>
      <c r="X1880" s="13"/>
      <c r="Y1880" s="13"/>
      <c r="Z1880" s="13"/>
      <c r="AA1880" s="17"/>
      <c r="AB1880" s="17"/>
      <c r="AC1880" s="17"/>
      <c r="AD1880" s="17"/>
      <c r="AE1880" s="17"/>
    </row>
    <row r="1881">
      <c r="A1881" s="72"/>
      <c r="B1881" s="12"/>
      <c r="C1881" s="12"/>
      <c r="D1881" s="12"/>
      <c r="E1881" s="13"/>
      <c r="F1881" s="13"/>
      <c r="G1881" s="13"/>
      <c r="H1881" s="13"/>
      <c r="I1881" s="13"/>
      <c r="J1881" s="13"/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6"/>
      <c r="W1881" s="13"/>
      <c r="X1881" s="13"/>
      <c r="Y1881" s="13"/>
      <c r="Z1881" s="13"/>
      <c r="AA1881" s="17"/>
      <c r="AB1881" s="17"/>
      <c r="AC1881" s="17"/>
      <c r="AD1881" s="17"/>
      <c r="AE1881" s="17"/>
    </row>
    <row r="1882">
      <c r="A1882" s="72"/>
      <c r="B1882" s="12"/>
      <c r="C1882" s="12"/>
      <c r="D1882" s="12"/>
      <c r="E1882" s="13"/>
      <c r="F1882" s="13"/>
      <c r="G1882" s="13"/>
      <c r="H1882" s="13"/>
      <c r="I1882" s="13"/>
      <c r="J1882" s="13"/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16"/>
      <c r="W1882" s="13"/>
      <c r="X1882" s="13"/>
      <c r="Y1882" s="13"/>
      <c r="Z1882" s="13"/>
      <c r="AA1882" s="17"/>
      <c r="AB1882" s="17"/>
      <c r="AC1882" s="17"/>
      <c r="AD1882" s="17"/>
      <c r="AE1882" s="17"/>
    </row>
    <row r="1883">
      <c r="A1883" s="72"/>
      <c r="B1883" s="12"/>
      <c r="C1883" s="12"/>
      <c r="D1883" s="12"/>
      <c r="E1883" s="13"/>
      <c r="F1883" s="13"/>
      <c r="G1883" s="13"/>
      <c r="H1883" s="13"/>
      <c r="I1883" s="13"/>
      <c r="J1883" s="13"/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6"/>
      <c r="W1883" s="13"/>
      <c r="X1883" s="13"/>
      <c r="Y1883" s="13"/>
      <c r="Z1883" s="13"/>
      <c r="AA1883" s="17"/>
      <c r="AB1883" s="17"/>
      <c r="AC1883" s="17"/>
      <c r="AD1883" s="17"/>
      <c r="AE1883" s="17"/>
    </row>
    <row r="1884">
      <c r="A1884" s="72"/>
      <c r="B1884" s="12"/>
      <c r="C1884" s="12"/>
      <c r="D1884" s="12"/>
      <c r="E1884" s="13"/>
      <c r="F1884" s="13"/>
      <c r="G1884" s="13"/>
      <c r="H1884" s="13"/>
      <c r="I1884" s="13"/>
      <c r="J1884" s="13"/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16"/>
      <c r="W1884" s="13"/>
      <c r="X1884" s="13"/>
      <c r="Y1884" s="13"/>
      <c r="Z1884" s="13"/>
      <c r="AA1884" s="17"/>
      <c r="AB1884" s="17"/>
      <c r="AC1884" s="17"/>
      <c r="AD1884" s="17"/>
      <c r="AE1884" s="17"/>
    </row>
    <row r="1885">
      <c r="A1885" s="72"/>
      <c r="B1885" s="12"/>
      <c r="C1885" s="12"/>
      <c r="D1885" s="12"/>
      <c r="E1885" s="13"/>
      <c r="F1885" s="13"/>
      <c r="G1885" s="13"/>
      <c r="H1885" s="13"/>
      <c r="I1885" s="13"/>
      <c r="J1885" s="13"/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16"/>
      <c r="W1885" s="13"/>
      <c r="X1885" s="13"/>
      <c r="Y1885" s="13"/>
      <c r="Z1885" s="13"/>
      <c r="AA1885" s="17"/>
      <c r="AB1885" s="17"/>
      <c r="AC1885" s="17"/>
      <c r="AD1885" s="17"/>
      <c r="AE1885" s="17"/>
    </row>
    <row r="1886">
      <c r="A1886" s="72"/>
      <c r="B1886" s="12"/>
      <c r="C1886" s="12"/>
      <c r="D1886" s="12"/>
      <c r="E1886" s="13"/>
      <c r="F1886" s="13"/>
      <c r="G1886" s="13"/>
      <c r="H1886" s="13"/>
      <c r="I1886" s="13"/>
      <c r="J1886" s="13"/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6"/>
      <c r="W1886" s="13"/>
      <c r="X1886" s="13"/>
      <c r="Y1886" s="13"/>
      <c r="Z1886" s="13"/>
      <c r="AA1886" s="17"/>
      <c r="AB1886" s="17"/>
      <c r="AC1886" s="17"/>
      <c r="AD1886" s="17"/>
      <c r="AE1886" s="17"/>
    </row>
    <row r="1887">
      <c r="A1887" s="72"/>
      <c r="B1887" s="12"/>
      <c r="C1887" s="12"/>
      <c r="D1887" s="12"/>
      <c r="E1887" s="13"/>
      <c r="F1887" s="13"/>
      <c r="G1887" s="13"/>
      <c r="H1887" s="13"/>
      <c r="I1887" s="13"/>
      <c r="J1887" s="13"/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6"/>
      <c r="W1887" s="13"/>
      <c r="X1887" s="13"/>
      <c r="Y1887" s="13"/>
      <c r="Z1887" s="13"/>
      <c r="AA1887" s="17"/>
      <c r="AB1887" s="17"/>
      <c r="AC1887" s="17"/>
      <c r="AD1887" s="17"/>
      <c r="AE1887" s="17"/>
    </row>
    <row r="1888">
      <c r="A1888" s="72"/>
      <c r="B1888" s="12"/>
      <c r="C1888" s="12"/>
      <c r="D1888" s="12"/>
      <c r="E1888" s="13"/>
      <c r="F1888" s="13"/>
      <c r="G1888" s="13"/>
      <c r="H1888" s="13"/>
      <c r="I1888" s="13"/>
      <c r="J1888" s="13"/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6"/>
      <c r="W1888" s="13"/>
      <c r="X1888" s="13"/>
      <c r="Y1888" s="13"/>
      <c r="Z1888" s="13"/>
      <c r="AA1888" s="17"/>
      <c r="AB1888" s="17"/>
      <c r="AC1888" s="17"/>
      <c r="AD1888" s="17"/>
      <c r="AE1888" s="17"/>
    </row>
    <row r="1889">
      <c r="A1889" s="72"/>
      <c r="B1889" s="12"/>
      <c r="C1889" s="12"/>
      <c r="D1889" s="12"/>
      <c r="E1889" s="13"/>
      <c r="F1889" s="13"/>
      <c r="G1889" s="13"/>
      <c r="H1889" s="13"/>
      <c r="I1889" s="13"/>
      <c r="J1889" s="13"/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6"/>
      <c r="W1889" s="13"/>
      <c r="X1889" s="13"/>
      <c r="Y1889" s="13"/>
      <c r="Z1889" s="13"/>
      <c r="AA1889" s="17"/>
      <c r="AB1889" s="17"/>
      <c r="AC1889" s="17"/>
      <c r="AD1889" s="17"/>
      <c r="AE1889" s="17"/>
    </row>
  </sheetData>
  <customSheetViews>
    <customSheetView guid="{BEC4E199-EA47-4F7C-B7F2-B67A3BA024A0}" filter="1" showAutoFilter="1">
      <autoFilter ref="$A$6:$Z$889">
        <sortState ref="A6:Z889">
          <sortCondition ref="A6:A889"/>
          <sortCondition ref="J6:J889"/>
          <sortCondition descending="1" ref="H6:H889"/>
          <sortCondition descending="1" ref="E6:E889"/>
        </sortState>
      </autoFilter>
    </customSheetView>
  </customSheetViews>
  <mergeCells count="3">
    <mergeCell ref="D1:V1"/>
    <mergeCell ref="C4:F4"/>
    <mergeCell ref="E5:G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25"/>
    <col customWidth="1" hidden="1" min="2" max="2" width="5.5"/>
    <col customWidth="1" min="3" max="3" width="28.25"/>
    <col customWidth="1" min="4" max="4" width="8.75"/>
    <col customWidth="1" min="5" max="5" width="9.25"/>
    <col customWidth="1" hidden="1" min="6" max="6" width="8.88"/>
    <col customWidth="1" min="7" max="7" width="4.25"/>
    <col customWidth="1" min="8" max="8" width="6.38"/>
    <col customWidth="1" min="9" max="9" width="8.5"/>
    <col customWidth="1" min="10" max="10" width="24.63"/>
    <col customWidth="1" min="11" max="13" width="14.75"/>
    <col customWidth="1" min="14" max="14" width="14.5"/>
    <col customWidth="1" min="15" max="15" width="14.75"/>
    <col customWidth="1" min="16" max="17" width="1.13"/>
    <col customWidth="1" min="19" max="19" width="8.88"/>
    <col customWidth="1" min="20" max="20" width="17.25"/>
    <col customWidth="1" min="21" max="24" width="8.88"/>
    <col customWidth="1" min="25" max="45" width="2.5"/>
    <col customWidth="1" min="46" max="49" width="8.88"/>
    <col customWidth="1" min="50" max="70" width="2.75"/>
    <col customWidth="1" min="71" max="71" width="4.63"/>
  </cols>
  <sheetData>
    <row r="1">
      <c r="H1" s="9"/>
      <c r="J1" s="73"/>
      <c r="K1" s="74"/>
      <c r="L1" s="74"/>
      <c r="M1" s="74"/>
      <c r="N1" s="74"/>
      <c r="S1" s="75"/>
      <c r="T1" s="76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8"/>
      <c r="AU1" s="78"/>
      <c r="AV1" s="78"/>
      <c r="AW1" s="78"/>
      <c r="AX1" s="78"/>
      <c r="AY1" s="78"/>
      <c r="AZ1" s="78"/>
      <c r="BA1" s="78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</row>
    <row r="2">
      <c r="H2" s="9"/>
      <c r="J2" s="73"/>
      <c r="K2" s="74"/>
      <c r="L2" s="74"/>
      <c r="M2" s="74"/>
      <c r="N2" s="74"/>
      <c r="S2" s="75"/>
      <c r="T2" s="80">
        <v>1000000.0</v>
      </c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8"/>
      <c r="AU2" s="78"/>
      <c r="AV2" s="78"/>
      <c r="AW2" s="78"/>
      <c r="AX2" s="78"/>
      <c r="AY2" s="78"/>
      <c r="AZ2" s="78"/>
      <c r="BA2" s="78"/>
      <c r="BB2" s="79"/>
      <c r="BC2" s="79"/>
      <c r="BD2" s="79"/>
      <c r="BE2" s="79"/>
      <c r="BF2" s="79"/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79"/>
      <c r="BT2" s="79"/>
    </row>
    <row r="3" ht="22.5" hidden="1" customHeight="1">
      <c r="H3" s="9"/>
      <c r="I3" s="81"/>
      <c r="J3" s="82"/>
      <c r="K3" s="83"/>
      <c r="L3" s="83"/>
      <c r="M3" s="83"/>
      <c r="N3" s="83"/>
      <c r="O3" s="81"/>
      <c r="P3" s="81"/>
      <c r="Q3" s="81"/>
      <c r="R3" s="81"/>
      <c r="S3" s="84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6" t="str">
        <f t="shared" ref="AT3:BR3" si="1">VLOOKUP(AT6,$C:$F,3,0)</f>
        <v>Menor</v>
      </c>
      <c r="AU3" s="86" t="str">
        <f t="shared" si="1"/>
        <v>Maior</v>
      </c>
      <c r="AV3" s="86" t="str">
        <f t="shared" si="1"/>
        <v>#N/A</v>
      </c>
      <c r="AW3" s="86" t="str">
        <f t="shared" si="1"/>
        <v>#N/A</v>
      </c>
      <c r="AX3" s="86" t="str">
        <f t="shared" si="1"/>
        <v>#N/A</v>
      </c>
      <c r="AY3" s="86" t="str">
        <f t="shared" si="1"/>
        <v>#N/A</v>
      </c>
      <c r="AZ3" s="86" t="str">
        <f t="shared" si="1"/>
        <v>#N/A</v>
      </c>
      <c r="BA3" s="86" t="str">
        <f t="shared" si="1"/>
        <v>#N/A</v>
      </c>
      <c r="BB3" s="87" t="str">
        <f t="shared" si="1"/>
        <v>#N/A</v>
      </c>
      <c r="BC3" s="87" t="str">
        <f t="shared" si="1"/>
        <v>#N/A</v>
      </c>
      <c r="BD3" s="87" t="str">
        <f t="shared" si="1"/>
        <v>#N/A</v>
      </c>
      <c r="BE3" s="87" t="str">
        <f t="shared" si="1"/>
        <v>#N/A</v>
      </c>
      <c r="BF3" s="87" t="str">
        <f t="shared" si="1"/>
        <v>#N/A</v>
      </c>
      <c r="BG3" s="87" t="str">
        <f t="shared" si="1"/>
        <v>#N/A</v>
      </c>
      <c r="BH3" s="87" t="str">
        <f t="shared" si="1"/>
        <v>#N/A</v>
      </c>
      <c r="BI3" s="87" t="str">
        <f t="shared" si="1"/>
        <v>#N/A</v>
      </c>
      <c r="BJ3" s="87" t="str">
        <f t="shared" si="1"/>
        <v>#N/A</v>
      </c>
      <c r="BK3" s="87" t="str">
        <f t="shared" si="1"/>
        <v>#N/A</v>
      </c>
      <c r="BL3" s="87" t="str">
        <f t="shared" si="1"/>
        <v>#N/A</v>
      </c>
      <c r="BM3" s="87" t="str">
        <f t="shared" si="1"/>
        <v>#N/A</v>
      </c>
      <c r="BN3" s="87" t="str">
        <f t="shared" si="1"/>
        <v>#N/A</v>
      </c>
      <c r="BO3" s="87" t="str">
        <f t="shared" si="1"/>
        <v>#N/A</v>
      </c>
      <c r="BP3" s="87" t="str">
        <f t="shared" si="1"/>
        <v>#N/A</v>
      </c>
      <c r="BQ3" s="87" t="str">
        <f t="shared" si="1"/>
        <v>#N/A</v>
      </c>
      <c r="BR3" s="87" t="str">
        <f t="shared" si="1"/>
        <v>#N/A</v>
      </c>
      <c r="BS3" s="88"/>
    </row>
    <row r="4" ht="22.5" hidden="1" customHeight="1">
      <c r="H4" s="9"/>
      <c r="I4" s="81"/>
      <c r="J4" s="82"/>
      <c r="K4" s="83"/>
      <c r="L4" s="83"/>
      <c r="M4" s="83"/>
      <c r="N4" s="83"/>
      <c r="O4" s="81"/>
      <c r="P4" s="81"/>
      <c r="Q4" s="81"/>
      <c r="R4" s="81"/>
      <c r="S4" s="84"/>
      <c r="T4" s="89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6">
        <v>1.0</v>
      </c>
      <c r="AU4" s="86">
        <v>2.0</v>
      </c>
      <c r="AV4" s="86">
        <v>3.0</v>
      </c>
      <c r="AW4" s="86">
        <v>4.0</v>
      </c>
      <c r="AX4" s="86">
        <v>5.0</v>
      </c>
      <c r="AY4" s="86">
        <v>6.0</v>
      </c>
      <c r="AZ4" s="86">
        <v>7.0</v>
      </c>
      <c r="BA4" s="86">
        <v>8.0</v>
      </c>
      <c r="BB4" s="87">
        <v>9.0</v>
      </c>
      <c r="BC4" s="87">
        <v>10.0</v>
      </c>
      <c r="BD4" s="87">
        <v>11.0</v>
      </c>
      <c r="BE4" s="87">
        <v>12.0</v>
      </c>
      <c r="BF4" s="87">
        <v>13.0</v>
      </c>
      <c r="BG4" s="87">
        <v>14.0</v>
      </c>
      <c r="BH4" s="87">
        <v>15.0</v>
      </c>
      <c r="BI4" s="87">
        <v>16.0</v>
      </c>
      <c r="BJ4" s="87">
        <v>17.0</v>
      </c>
      <c r="BK4" s="87">
        <v>18.0</v>
      </c>
      <c r="BL4" s="87">
        <v>19.0</v>
      </c>
      <c r="BM4" s="87">
        <v>20.0</v>
      </c>
      <c r="BN4" s="87">
        <v>21.0</v>
      </c>
      <c r="BO4" s="87">
        <v>22.0</v>
      </c>
      <c r="BP4" s="87">
        <v>23.0</v>
      </c>
      <c r="BQ4" s="87">
        <v>24.0</v>
      </c>
      <c r="BR4" s="87">
        <v>25.0</v>
      </c>
      <c r="BS4" s="88"/>
    </row>
    <row r="5" ht="22.5" hidden="1" customHeight="1">
      <c r="G5" s="81"/>
      <c r="H5" s="9"/>
      <c r="I5" s="81"/>
      <c r="J5" s="82"/>
      <c r="K5" s="83"/>
      <c r="L5" s="83"/>
      <c r="M5" s="83"/>
      <c r="N5" s="83"/>
      <c r="O5" s="81"/>
      <c r="P5" s="81"/>
      <c r="Q5" s="81"/>
      <c r="R5" s="81"/>
      <c r="S5" s="90"/>
      <c r="T5" s="89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78">
        <f t="shared" ref="AT5:BR5" si="2">VLOOKUP(AT4,$B$19:$F$41,5,0)</f>
        <v>10</v>
      </c>
      <c r="AU5" s="78">
        <f t="shared" si="2"/>
        <v>18</v>
      </c>
      <c r="AV5" s="78" t="str">
        <f t="shared" si="2"/>
        <v>#N/A</v>
      </c>
      <c r="AW5" s="78" t="str">
        <f t="shared" si="2"/>
        <v>#N/A</v>
      </c>
      <c r="AX5" s="78" t="str">
        <f t="shared" si="2"/>
        <v>#N/A</v>
      </c>
      <c r="AY5" s="78" t="str">
        <f t="shared" si="2"/>
        <v>#N/A</v>
      </c>
      <c r="AZ5" s="78" t="str">
        <f t="shared" si="2"/>
        <v>#N/A</v>
      </c>
      <c r="BA5" s="78" t="str">
        <f t="shared" si="2"/>
        <v>#N/A</v>
      </c>
      <c r="BB5" s="92" t="str">
        <f t="shared" si="2"/>
        <v>#N/A</v>
      </c>
      <c r="BC5" s="92" t="str">
        <f t="shared" si="2"/>
        <v>#N/A</v>
      </c>
      <c r="BD5" s="92" t="str">
        <f t="shared" si="2"/>
        <v>#N/A</v>
      </c>
      <c r="BE5" s="92" t="str">
        <f t="shared" si="2"/>
        <v>#N/A</v>
      </c>
      <c r="BF5" s="92" t="str">
        <f t="shared" si="2"/>
        <v>#N/A</v>
      </c>
      <c r="BG5" s="92" t="str">
        <f t="shared" si="2"/>
        <v>#N/A</v>
      </c>
      <c r="BH5" s="92" t="str">
        <f t="shared" si="2"/>
        <v>#N/A</v>
      </c>
      <c r="BI5" s="92" t="str">
        <f t="shared" si="2"/>
        <v>#N/A</v>
      </c>
      <c r="BJ5" s="92" t="str">
        <f t="shared" si="2"/>
        <v>#N/A</v>
      </c>
      <c r="BK5" s="92" t="str">
        <f t="shared" si="2"/>
        <v>#N/A</v>
      </c>
      <c r="BL5" s="92" t="str">
        <f t="shared" si="2"/>
        <v>#N/A</v>
      </c>
      <c r="BM5" s="92" t="str">
        <f t="shared" si="2"/>
        <v>#N/A</v>
      </c>
      <c r="BN5" s="92" t="str">
        <f t="shared" si="2"/>
        <v>#N/A</v>
      </c>
      <c r="BO5" s="92" t="str">
        <f t="shared" si="2"/>
        <v>#N/A</v>
      </c>
      <c r="BP5" s="92" t="str">
        <f t="shared" si="2"/>
        <v>#N/A</v>
      </c>
      <c r="BQ5" s="92" t="str">
        <f t="shared" si="2"/>
        <v>#N/A</v>
      </c>
      <c r="BR5" s="92" t="str">
        <f t="shared" si="2"/>
        <v>#N/A</v>
      </c>
      <c r="BS5" s="92"/>
      <c r="BT5" s="92"/>
    </row>
    <row r="6" ht="66.0" customHeight="1">
      <c r="A6" s="13"/>
      <c r="B6" s="13"/>
      <c r="C6" s="93"/>
      <c r="D6" s="13"/>
      <c r="E6" s="13"/>
      <c r="F6" s="13"/>
      <c r="G6" s="94"/>
      <c r="H6" s="95" t="s">
        <v>231</v>
      </c>
      <c r="I6" s="96"/>
      <c r="J6" s="95" t="s">
        <v>10</v>
      </c>
      <c r="K6" s="97" t="str">
        <f t="shared" ref="K6:N6" si="3">U6</f>
        <v>P/VPA</v>
      </c>
      <c r="L6" s="97" t="str">
        <f t="shared" si="3"/>
        <v>Yield de Distribuição 12 Meses</v>
      </c>
      <c r="M6" s="97" t="str">
        <f t="shared" si="3"/>
        <v/>
      </c>
      <c r="N6" s="97" t="str">
        <f t="shared" si="3"/>
        <v/>
      </c>
      <c r="O6" s="98" t="s">
        <v>232</v>
      </c>
      <c r="P6" s="9"/>
      <c r="Q6" s="9"/>
      <c r="R6" s="99" t="s">
        <v>233</v>
      </c>
      <c r="S6" s="100" t="s">
        <v>234</v>
      </c>
      <c r="T6" s="101" t="s">
        <v>235</v>
      </c>
      <c r="U6" s="102" t="str">
        <f t="shared" ref="U6:AS6" si="4">AT6</f>
        <v>P/VPA</v>
      </c>
      <c r="V6" s="103" t="str">
        <f t="shared" si="4"/>
        <v>Yield de Distribuição 12 Meses</v>
      </c>
      <c r="W6" s="103" t="str">
        <f t="shared" si="4"/>
        <v/>
      </c>
      <c r="X6" s="103" t="str">
        <f t="shared" si="4"/>
        <v/>
      </c>
      <c r="Y6" s="103" t="str">
        <f t="shared" si="4"/>
        <v/>
      </c>
      <c r="Z6" s="103" t="str">
        <f t="shared" si="4"/>
        <v/>
      </c>
      <c r="AA6" s="103" t="str">
        <f t="shared" si="4"/>
        <v/>
      </c>
      <c r="AB6" s="103" t="str">
        <f t="shared" si="4"/>
        <v/>
      </c>
      <c r="AC6" s="104" t="str">
        <f t="shared" si="4"/>
        <v/>
      </c>
      <c r="AD6" s="104" t="str">
        <f t="shared" si="4"/>
        <v/>
      </c>
      <c r="AE6" s="104" t="str">
        <f t="shared" si="4"/>
        <v/>
      </c>
      <c r="AF6" s="104" t="str">
        <f t="shared" si="4"/>
        <v/>
      </c>
      <c r="AG6" s="104" t="str">
        <f t="shared" si="4"/>
        <v/>
      </c>
      <c r="AH6" s="104" t="str">
        <f t="shared" si="4"/>
        <v/>
      </c>
      <c r="AI6" s="104" t="str">
        <f t="shared" si="4"/>
        <v/>
      </c>
      <c r="AJ6" s="104" t="str">
        <f t="shared" si="4"/>
        <v/>
      </c>
      <c r="AK6" s="104" t="str">
        <f t="shared" si="4"/>
        <v/>
      </c>
      <c r="AL6" s="104" t="str">
        <f t="shared" si="4"/>
        <v/>
      </c>
      <c r="AM6" s="104" t="str">
        <f t="shared" si="4"/>
        <v/>
      </c>
      <c r="AN6" s="104" t="str">
        <f t="shared" si="4"/>
        <v/>
      </c>
      <c r="AO6" s="104" t="str">
        <f t="shared" si="4"/>
        <v/>
      </c>
      <c r="AP6" s="104" t="str">
        <f t="shared" si="4"/>
        <v/>
      </c>
      <c r="AQ6" s="104" t="str">
        <f t="shared" si="4"/>
        <v/>
      </c>
      <c r="AR6" s="104" t="str">
        <f t="shared" si="4"/>
        <v/>
      </c>
      <c r="AS6" s="104" t="str">
        <f t="shared" si="4"/>
        <v/>
      </c>
      <c r="AT6" s="105" t="str">
        <f t="shared" ref="AT6:BR6" si="5">IF(ISERROR(VLOOKUP(AT4,$B:$E,2,0)),"",VLOOKUP(AT4,$B:$E,2,0))</f>
        <v>P/VPA</v>
      </c>
      <c r="AU6" s="106" t="str">
        <f t="shared" si="5"/>
        <v>Yield de Distribuição 12 Meses</v>
      </c>
      <c r="AV6" s="106" t="str">
        <f t="shared" si="5"/>
        <v/>
      </c>
      <c r="AW6" s="106" t="str">
        <f t="shared" si="5"/>
        <v/>
      </c>
      <c r="AX6" s="106" t="str">
        <f t="shared" si="5"/>
        <v/>
      </c>
      <c r="AY6" s="106" t="str">
        <f t="shared" si="5"/>
        <v/>
      </c>
      <c r="AZ6" s="106" t="str">
        <f t="shared" si="5"/>
        <v/>
      </c>
      <c r="BA6" s="106" t="str">
        <f t="shared" si="5"/>
        <v/>
      </c>
      <c r="BB6" s="107" t="str">
        <f t="shared" si="5"/>
        <v/>
      </c>
      <c r="BC6" s="107" t="str">
        <f t="shared" si="5"/>
        <v/>
      </c>
      <c r="BD6" s="107" t="str">
        <f t="shared" si="5"/>
        <v/>
      </c>
      <c r="BE6" s="107" t="str">
        <f t="shared" si="5"/>
        <v/>
      </c>
      <c r="BF6" s="107" t="str">
        <f t="shared" si="5"/>
        <v/>
      </c>
      <c r="BG6" s="107" t="str">
        <f t="shared" si="5"/>
        <v/>
      </c>
      <c r="BH6" s="107" t="str">
        <f t="shared" si="5"/>
        <v/>
      </c>
      <c r="BI6" s="107" t="str">
        <f t="shared" si="5"/>
        <v/>
      </c>
      <c r="BJ6" s="107" t="str">
        <f t="shared" si="5"/>
        <v/>
      </c>
      <c r="BK6" s="107" t="str">
        <f t="shared" si="5"/>
        <v/>
      </c>
      <c r="BL6" s="107" t="str">
        <f t="shared" si="5"/>
        <v/>
      </c>
      <c r="BM6" s="107" t="str">
        <f t="shared" si="5"/>
        <v/>
      </c>
      <c r="BN6" s="107" t="str">
        <f t="shared" si="5"/>
        <v/>
      </c>
      <c r="BO6" s="107" t="str">
        <f t="shared" si="5"/>
        <v/>
      </c>
      <c r="BP6" s="107" t="str">
        <f t="shared" si="5"/>
        <v/>
      </c>
      <c r="BQ6" s="107" t="str">
        <f t="shared" si="5"/>
        <v/>
      </c>
      <c r="BR6" s="108" t="str">
        <f t="shared" si="5"/>
        <v/>
      </c>
      <c r="BS6" s="109"/>
      <c r="BT6" s="109" t="str">
        <f>IF(ISERROR(VLOOKUP(BT4,$B:$E,3,0)),"",VLOOKUP(BT4,$B:$E,3,0))</f>
        <v/>
      </c>
      <c r="BU6" s="13"/>
      <c r="BV6" s="13"/>
    </row>
    <row r="7">
      <c r="C7" s="110" t="s">
        <v>236</v>
      </c>
      <c r="G7" s="9"/>
      <c r="H7" s="7">
        <v>1.0</v>
      </c>
      <c r="I7" s="111" t="str">
        <f t="shared" ref="I7:I162" si="7">index(R:R,match(SMALL(S:S,H7),S:S,0))</f>
        <v>HCTR11</v>
      </c>
      <c r="J7" s="112" t="str">
        <f>VLOOKUP(I7,Capa!A:G,7,0)</f>
        <v>Recebíveis Imobiliários</v>
      </c>
      <c r="K7" s="113">
        <f t="shared" ref="K7:K162" si="8">IFERROR(IF(AT$3="Maior",VLOOKUP($I7,$R$1:$BR$287,29,0),1/VLOOKUP($I7,$R$1:$BR$287,29,0)),"")</f>
        <v>0.6220440651</v>
      </c>
      <c r="L7" s="113">
        <f t="shared" ref="L7:L162" si="9">IFERROR(IF(AU$3="Maior",VLOOKUP($I7,$R$1:$BR$287,30,0),1/VLOOKUP($I7,$R$1:$BR$287,30,0)),"")</f>
        <v>0.1436507094</v>
      </c>
      <c r="M7" s="113" t="str">
        <f t="shared" ref="M7:M154" si="10">IFERROR(IF(AV$3="Maior",VLOOKUP($I7,$R$1:$BR$287,31,0),1/VLOOKUP($I7,$R$1:$BR$287,31,0)),"")</f>
        <v/>
      </c>
      <c r="N7" s="113" t="str">
        <f t="shared" ref="N7:N154" si="11">IFERROR(IF(AW$3="Maior",VLOOKUP($I7,$R$1:$BR$287,32,0),1/VLOOKUP($I7,$R$1:$BR$287,32,0)),"")</f>
        <v/>
      </c>
      <c r="O7" s="114">
        <f t="shared" ref="O7:O154" si="12">VLOOKUP(I7,R:T,3,0)</f>
        <v>3594320.74</v>
      </c>
      <c r="P7" s="9"/>
      <c r="Q7" s="9"/>
      <c r="R7" s="115" t="s">
        <v>237</v>
      </c>
      <c r="S7" s="116">
        <f t="shared" ref="S7:S201" si="13">SUM(U7:AS7)+IF(T7&gt;$T$2,0,1000)</f>
        <v>1367.018781</v>
      </c>
      <c r="T7" s="117">
        <f>MID(VLOOKUP($R7,'Dados ClubeFII'!$A:$AU,23,0),3,100)/1</f>
        <v>0</v>
      </c>
      <c r="U7" s="118">
        <f t="shared" ref="U7:U201" si="14">IF(AT7="","", RANK(AT7,AT$7:AT$405,0)+RANK(AT7,AT$7:AT$405,0)/10000)</f>
        <v>186.0186</v>
      </c>
      <c r="V7" s="118">
        <f t="shared" ref="V7:V201" si="15">IF(AU7="","", RANK(AU7,AU$7:AU$405,0)+RANK(AU7,AU$7:AU$405,0)/1000000)</f>
        <v>181.000181</v>
      </c>
      <c r="W7" s="118" t="str">
        <f t="shared" ref="W7:AS7" si="6">IF(AV7="","", RANK(AV7,AV$7:AV$405,0))</f>
        <v/>
      </c>
      <c r="X7" s="118" t="str">
        <f t="shared" si="6"/>
        <v/>
      </c>
      <c r="Y7" s="118" t="str">
        <f t="shared" si="6"/>
        <v/>
      </c>
      <c r="Z7" s="118" t="str">
        <f t="shared" si="6"/>
        <v/>
      </c>
      <c r="AA7" s="118" t="str">
        <f t="shared" si="6"/>
        <v/>
      </c>
      <c r="AB7" s="118" t="str">
        <f t="shared" si="6"/>
        <v/>
      </c>
      <c r="AC7" s="118" t="str">
        <f t="shared" si="6"/>
        <v/>
      </c>
      <c r="AD7" s="118" t="str">
        <f t="shared" si="6"/>
        <v/>
      </c>
      <c r="AE7" s="118" t="str">
        <f t="shared" si="6"/>
        <v/>
      </c>
      <c r="AF7" s="118" t="str">
        <f t="shared" si="6"/>
        <v/>
      </c>
      <c r="AG7" s="118" t="str">
        <f t="shared" si="6"/>
        <v/>
      </c>
      <c r="AH7" s="118" t="str">
        <f t="shared" si="6"/>
        <v/>
      </c>
      <c r="AI7" s="118" t="str">
        <f t="shared" si="6"/>
        <v/>
      </c>
      <c r="AJ7" s="118" t="str">
        <f t="shared" si="6"/>
        <v/>
      </c>
      <c r="AK7" s="118" t="str">
        <f t="shared" si="6"/>
        <v/>
      </c>
      <c r="AL7" s="118" t="str">
        <f t="shared" si="6"/>
        <v/>
      </c>
      <c r="AM7" s="118" t="str">
        <f t="shared" si="6"/>
        <v/>
      </c>
      <c r="AN7" s="118" t="str">
        <f t="shared" si="6"/>
        <v/>
      </c>
      <c r="AO7" s="118" t="str">
        <f t="shared" si="6"/>
        <v/>
      </c>
      <c r="AP7" s="118" t="str">
        <f t="shared" si="6"/>
        <v/>
      </c>
      <c r="AQ7" s="118" t="str">
        <f t="shared" si="6"/>
        <v/>
      </c>
      <c r="AR7" s="118" t="str">
        <f t="shared" si="6"/>
        <v/>
      </c>
      <c r="AS7" s="118" t="str">
        <f t="shared" si="6"/>
        <v/>
      </c>
      <c r="AT7" s="119">
        <f>IF(AT$6="","",IF(AT$3="Maior",iferror(VLOOKUP($R7,Capa!$A:$Z,AT$5,0),0),IF(ISERROR(1/VLOOKUP($R7,Capa!$A:$Z,AT$5,0)),0,1/VLOOKUP($R7,Capa!$A:$Z,AT$5,0))))</f>
        <v>0</v>
      </c>
      <c r="AU7" s="120">
        <f>IF(AU$6="","",IF(AU$3="Maior",iferror(VLOOKUP($R7,Capa!$A:$Z,AU$5,0),0),IF(ISERROR(1/VLOOKUP($R7,Capa!$A:$Z,AU$5,0)),0,1/VLOOKUP($R7,Capa!$A:$Z,AU$5,0))))</f>
        <v>0</v>
      </c>
      <c r="AV7" s="120" t="str">
        <f>IF(AV$6="","",IF(AV$3="Maior",iferror(VLOOKUP($R7,Capa!$A:$Z,AV$5,0),0),IF(ISERROR(1/VLOOKUP($R7,Capa!$A:$Z,AV$5,0)),0,1/VLOOKUP($R7,Capa!$A:$Z,AV$5,0))))</f>
        <v/>
      </c>
      <c r="AW7" s="120" t="str">
        <f>IF(AW$6="","",IF(AW$3="Maior",iferror(VLOOKUP($R7,Capa!$A:$Z,AW$5,0),0),IF(ISERROR(1/VLOOKUP($R7,Capa!$A:$Z,AW$5,0)),0,1/VLOOKUP($R7,Capa!$A:$Z,AW$5,0))))</f>
        <v/>
      </c>
      <c r="AX7" s="120" t="str">
        <f>IF(AX$6="","",IF(AX$3="Maior",iferror(VLOOKUP($R7,Capa!$A:$Z,AX$5,0),0),IF(ISERROR(1/VLOOKUP($R7,Capa!$A:$Z,AX$5,0)),0,1/VLOOKUP($R7,Capa!$A:$Z,AX$5,0))))</f>
        <v/>
      </c>
      <c r="AY7" s="120" t="str">
        <f>IF(AY$6="","",IF(AY$3="Maior",iferror(VLOOKUP($R7,Capa!$A:$Z,AY$5,0),0),IF(ISERROR(1/VLOOKUP($R7,Capa!$A:$Z,AY$5,0)),0,1/VLOOKUP($R7,Capa!$A:$Z,AY$5,0))))</f>
        <v/>
      </c>
      <c r="AZ7" s="120" t="str">
        <f>IF(AZ$6="","",IF(AZ$3="Maior",iferror(VLOOKUP($R7,Capa!$A:$Z,AZ$5,0),0),IF(ISERROR(1/VLOOKUP($R7,Capa!$A:$Z,AZ$5,0)),0,1/VLOOKUP($R7,Capa!$A:$Z,AZ$5,0))))</f>
        <v/>
      </c>
      <c r="BA7" s="120" t="str">
        <f>IF(BA$6="","",IF(BA$3="Maior",iferror(VLOOKUP($R7,Capa!$A:$Z,BA$5,0),0),IF(ISERROR(1/VLOOKUP($R7,Capa!$A:$Z,BA$5,0)),0,1/VLOOKUP($R7,Capa!$A:$Z,BA$5,0))))</f>
        <v/>
      </c>
      <c r="BB7" s="120" t="str">
        <f>IF(BB$6="","",IF(BB$3="Maior",iferror(VLOOKUP($R7,Capa!$A:$Z,BB$5,0),0),IF(ISERROR(1/VLOOKUP($R7,Capa!$A:$Z,BB$5,0)),0,1/VLOOKUP($R7,Capa!$A:$Z,BB$5,0))))</f>
        <v/>
      </c>
      <c r="BC7" s="120" t="str">
        <f>IF(BC$6="","",IF(BC$3="Maior",iferror(VLOOKUP($R7,Capa!$A:$Z,BC$5,0),0),IF(ISERROR(1/VLOOKUP($R7,Capa!$A:$Z,BC$5,0)),0,1/VLOOKUP($R7,Capa!$A:$Z,BC$5,0))))</f>
        <v/>
      </c>
      <c r="BD7" s="120" t="str">
        <f>IF(BD$6="","",IF(BD$3="Maior",iferror(VLOOKUP($R7,Capa!$A:$Z,BD$5,0),0),IF(ISERROR(1/VLOOKUP($R7,Capa!$A:$Z,BD$5,0)),0,1/VLOOKUP($R7,Capa!$A:$Z,BD$5,0))))</f>
        <v/>
      </c>
      <c r="BE7" s="120" t="str">
        <f>IF(BE$6="","",IF(BE$3="Maior",iferror(VLOOKUP($R7,Capa!$A:$Z,BE$5,0),0),IF(ISERROR(1/VLOOKUP($R7,Capa!$A:$Z,BE$5,0)),0,1/VLOOKUP($R7,Capa!$A:$Z,BE$5,0))))</f>
        <v/>
      </c>
      <c r="BF7" s="120" t="str">
        <f>IF(BF$6="","",IF(BF$3="Maior",iferror(VLOOKUP($R7,Capa!$A:$Z,BF$5,0),0),IF(ISERROR(1/VLOOKUP($R7,Capa!$A:$Z,BF$5,0)),0,1/VLOOKUP($R7,Capa!$A:$Z,BF$5,0))))</f>
        <v/>
      </c>
      <c r="BG7" s="120" t="str">
        <f>IF(BG$6="","",IF(BG$3="Maior",iferror(VLOOKUP($R7,Capa!$A:$Z,BG$5,0),0),IF(ISERROR(1/VLOOKUP($R7,Capa!$A:$Z,BG$5,0)),0,1/VLOOKUP($R7,Capa!$A:$Z,BG$5,0))))</f>
        <v/>
      </c>
      <c r="BH7" s="120" t="str">
        <f>IF(BH$6="","",IF(BH$3="Maior",iferror(VLOOKUP($R7,Capa!$A:$Z,BH$5,0),0),IF(ISERROR(1/VLOOKUP($R7,Capa!$A:$Z,BH$5,0)),0,1/VLOOKUP($R7,Capa!$A:$Z,BH$5,0))))</f>
        <v/>
      </c>
      <c r="BI7" s="120" t="str">
        <f>IF(BI$6="","",IF(BI$3="Maior",iferror(VLOOKUP($R7,Capa!$A:$Z,BI$5,0),0),IF(ISERROR(1/VLOOKUP($R7,Capa!$A:$Z,BI$5,0)),0,1/VLOOKUP($R7,Capa!$A:$Z,BI$5,0))))</f>
        <v/>
      </c>
      <c r="BJ7" s="120" t="str">
        <f>IF(BJ$6="","",IF(BJ$3="Maior",iferror(VLOOKUP($R7,Capa!$A:$Z,BJ$5,0),0),IF(ISERROR(1/VLOOKUP($R7,Capa!$A:$Z,BJ$5,0)),0,1/VLOOKUP($R7,Capa!$A:$Z,BJ$5,0))))</f>
        <v/>
      </c>
      <c r="BK7" s="120" t="str">
        <f>IF(BK$6="","",IF(BK$3="Maior",iferror(VLOOKUP($R7,Capa!$A:$Z,BK$5,0),0),IF(ISERROR(1/VLOOKUP($R7,Capa!$A:$Z,BK$5,0)),0,1/VLOOKUP($R7,Capa!$A:$Z,BK$5,0))))</f>
        <v/>
      </c>
      <c r="BL7" s="120" t="str">
        <f>IF(BL$6="","",IF(BL$3="Maior",iferror(VLOOKUP($R7,Capa!$A:$Z,BL$5,0),0),IF(ISERROR(1/VLOOKUP($R7,Capa!$A:$Z,BL$5,0)),0,1/VLOOKUP($R7,Capa!$A:$Z,BL$5,0))))</f>
        <v/>
      </c>
      <c r="BM7" s="120" t="str">
        <f>IF(BM$6="","",IF(BM$3="Maior",iferror(VLOOKUP($R7,Capa!$A:$Z,BM$5,0),0),IF(ISERROR(1/VLOOKUP($R7,Capa!$A:$Z,BM$5,0)),0,1/VLOOKUP($R7,Capa!$A:$Z,BM$5,0))))</f>
        <v/>
      </c>
      <c r="BN7" s="120" t="str">
        <f>IF(BN$6="","",IF(BN$3="Maior",iferror(VLOOKUP($R7,Capa!$A:$Z,BN$5,0),0),IF(ISERROR(1/VLOOKUP($R7,Capa!$A:$Z,BN$5,0)),0,1/VLOOKUP($R7,Capa!$A:$Z,BN$5,0))))</f>
        <v/>
      </c>
      <c r="BO7" s="120" t="str">
        <f>IF(BO$6="","",IF(BO$3="Maior",iferror(VLOOKUP($R7,Capa!$A:$Z,BO$5,0),0),IF(ISERROR(1/VLOOKUP($R7,Capa!$A:$Z,BO$5,0)),0,1/VLOOKUP($R7,Capa!$A:$Z,BO$5,0))))</f>
        <v/>
      </c>
      <c r="BP7" s="120" t="str">
        <f>IF(BP$6="","",IF(BP$3="Maior",iferror(VLOOKUP($R7,Capa!$A:$Z,BP$5,0),0),IF(ISERROR(1/VLOOKUP($R7,Capa!$A:$Z,BP$5,0)),0,1/VLOOKUP($R7,Capa!$A:$Z,BP$5,0))))</f>
        <v/>
      </c>
      <c r="BQ7" s="120" t="str">
        <f>IF(BQ$6="","",IF(BQ$3="Maior",iferror(VLOOKUP($R7,Capa!$A:$Z,BQ$5,0),0),IF(ISERROR(1/VLOOKUP($R7,Capa!$A:$Z,BQ$5,0)),0,1/VLOOKUP($R7,Capa!$A:$Z,BQ$5,0))))</f>
        <v/>
      </c>
      <c r="BR7" s="121" t="str">
        <f>IF(BR$6="","",IF(BR$3="Maior",iferror(VLOOKUP($R7,Capa!$A:$Z,BR$5,0),0),IF(ISERROR(1/VLOOKUP($R7,Capa!$A:$Z,BR$5,0)),0,1/VLOOKUP($R7,Capa!$A:$Z,BR$5,0))))</f>
        <v/>
      </c>
      <c r="BS7" s="88"/>
    </row>
    <row r="8">
      <c r="G8" s="9"/>
      <c r="H8" s="7">
        <v>2.0</v>
      </c>
      <c r="I8" s="122" t="str">
        <f t="shared" si="7"/>
        <v>SARE11</v>
      </c>
      <c r="J8" s="112" t="str">
        <f>VLOOKUP(I8,Capa!A:G,7,0)</f>
        <v>Híbrido</v>
      </c>
      <c r="K8" s="113">
        <f t="shared" si="8"/>
        <v>0.6351591111</v>
      </c>
      <c r="L8" s="113">
        <f t="shared" si="9"/>
        <v>0.1394226311</v>
      </c>
      <c r="M8" s="113" t="str">
        <f t="shared" si="10"/>
        <v/>
      </c>
      <c r="N8" s="113" t="str">
        <f t="shared" si="11"/>
        <v/>
      </c>
      <c r="O8" s="114">
        <f t="shared" si="12"/>
        <v>1385200.12</v>
      </c>
      <c r="P8" s="9"/>
      <c r="Q8" s="9"/>
      <c r="R8" s="115" t="s">
        <v>238</v>
      </c>
      <c r="S8" s="116">
        <f t="shared" si="13"/>
        <v>1367.018781</v>
      </c>
      <c r="T8" s="117">
        <f>MID(VLOOKUP($R8,'Dados ClubeFII'!$A:$AU,23,0),3,100)/1</f>
        <v>0</v>
      </c>
      <c r="U8" s="118">
        <f t="shared" si="14"/>
        <v>186.0186</v>
      </c>
      <c r="V8" s="118">
        <f t="shared" si="15"/>
        <v>181.000181</v>
      </c>
      <c r="W8" s="118" t="str">
        <f t="shared" ref="W8:AS8" si="16">IF(AV8="","", RANK(AV8,AV$7:AV$405,0))</f>
        <v/>
      </c>
      <c r="X8" s="118" t="str">
        <f t="shared" si="16"/>
        <v/>
      </c>
      <c r="Y8" s="118" t="str">
        <f t="shared" si="16"/>
        <v/>
      </c>
      <c r="Z8" s="118" t="str">
        <f t="shared" si="16"/>
        <v/>
      </c>
      <c r="AA8" s="118" t="str">
        <f t="shared" si="16"/>
        <v/>
      </c>
      <c r="AB8" s="118" t="str">
        <f t="shared" si="16"/>
        <v/>
      </c>
      <c r="AC8" s="118" t="str">
        <f t="shared" si="16"/>
        <v/>
      </c>
      <c r="AD8" s="118" t="str">
        <f t="shared" si="16"/>
        <v/>
      </c>
      <c r="AE8" s="118" t="str">
        <f t="shared" si="16"/>
        <v/>
      </c>
      <c r="AF8" s="118" t="str">
        <f t="shared" si="16"/>
        <v/>
      </c>
      <c r="AG8" s="118" t="str">
        <f t="shared" si="16"/>
        <v/>
      </c>
      <c r="AH8" s="118" t="str">
        <f t="shared" si="16"/>
        <v/>
      </c>
      <c r="AI8" s="118" t="str">
        <f t="shared" si="16"/>
        <v/>
      </c>
      <c r="AJ8" s="118" t="str">
        <f t="shared" si="16"/>
        <v/>
      </c>
      <c r="AK8" s="118" t="str">
        <f t="shared" si="16"/>
        <v/>
      </c>
      <c r="AL8" s="118" t="str">
        <f t="shared" si="16"/>
        <v/>
      </c>
      <c r="AM8" s="118" t="str">
        <f t="shared" si="16"/>
        <v/>
      </c>
      <c r="AN8" s="118" t="str">
        <f t="shared" si="16"/>
        <v/>
      </c>
      <c r="AO8" s="118" t="str">
        <f t="shared" si="16"/>
        <v/>
      </c>
      <c r="AP8" s="118" t="str">
        <f t="shared" si="16"/>
        <v/>
      </c>
      <c r="AQ8" s="118" t="str">
        <f t="shared" si="16"/>
        <v/>
      </c>
      <c r="AR8" s="118" t="str">
        <f t="shared" si="16"/>
        <v/>
      </c>
      <c r="AS8" s="118" t="str">
        <f t="shared" si="16"/>
        <v/>
      </c>
      <c r="AT8" s="123">
        <f>IF(AT$6="","",IF(AT$3="Maior",iferror(VLOOKUP($R8,Capa!$A:$Z,AT$5,0),0),IF(ISERROR(1/VLOOKUP($R8,Capa!$A:$Z,AT$5,0)),0,1/VLOOKUP($R8,Capa!$A:$Z,AT$5,0))))</f>
        <v>0</v>
      </c>
      <c r="AU8" s="124">
        <f>IF(AU$6="","",IF(AU$3="Maior",iferror(VLOOKUP($R8,Capa!$A:$Z,AU$5,0),0),IF(ISERROR(1/VLOOKUP($R8,Capa!$A:$Z,AU$5,0)),0,1/VLOOKUP($R8,Capa!$A:$Z,AU$5,0))))</f>
        <v>0</v>
      </c>
      <c r="AV8" s="124" t="str">
        <f>IF(AV$6="","",IF(AV$3="Maior",iferror(VLOOKUP($R8,Capa!$A:$Z,AV$5,0),0),IF(ISERROR(1/VLOOKUP($R8,Capa!$A:$Z,AV$5,0)),0,1/VLOOKUP($R8,Capa!$A:$Z,AV$5,0))))</f>
        <v/>
      </c>
      <c r="AW8" s="124" t="str">
        <f>IF(AW$6="","",IF(AW$3="Maior",iferror(VLOOKUP($R8,Capa!$A:$Z,AW$5,0),0),IF(ISERROR(1/VLOOKUP($R8,Capa!$A:$Z,AW$5,0)),0,1/VLOOKUP($R8,Capa!$A:$Z,AW$5,0))))</f>
        <v/>
      </c>
      <c r="AX8" s="124" t="str">
        <f>IF(AX$6="","",IF(AX$3="Maior",iferror(VLOOKUP($R8,Capa!$A:$Z,AX$5,0),0),IF(ISERROR(1/VLOOKUP($R8,Capa!$A:$Z,AX$5,0)),0,1/VLOOKUP($R8,Capa!$A:$Z,AX$5,0))))</f>
        <v/>
      </c>
      <c r="AY8" s="124" t="str">
        <f>IF(AY$6="","",IF(AY$3="Maior",iferror(VLOOKUP($R8,Capa!$A:$Z,AY$5,0),0),IF(ISERROR(1/VLOOKUP($R8,Capa!$A:$Z,AY$5,0)),0,1/VLOOKUP($R8,Capa!$A:$Z,AY$5,0))))</f>
        <v/>
      </c>
      <c r="AZ8" s="124" t="str">
        <f>IF(AZ$6="","",IF(AZ$3="Maior",iferror(VLOOKUP($R8,Capa!$A:$Z,AZ$5,0),0),IF(ISERROR(1/VLOOKUP($R8,Capa!$A:$Z,AZ$5,0)),0,1/VLOOKUP($R8,Capa!$A:$Z,AZ$5,0))))</f>
        <v/>
      </c>
      <c r="BA8" s="124" t="str">
        <f>IF(BA$6="","",IF(BA$3="Maior",iferror(VLOOKUP($R8,Capa!$A:$Z,BA$5,0),0),IF(ISERROR(1/VLOOKUP($R8,Capa!$A:$Z,BA$5,0)),0,1/VLOOKUP($R8,Capa!$A:$Z,BA$5,0))))</f>
        <v/>
      </c>
      <c r="BB8" s="124" t="str">
        <f>IF(BB$6="","",IF(BB$3="Maior",iferror(VLOOKUP($R8,Capa!$A:$Z,BB$5,0),0),IF(ISERROR(1/VLOOKUP($R8,Capa!$A:$Z,BB$5,0)),0,1/VLOOKUP($R8,Capa!$A:$Z,BB$5,0))))</f>
        <v/>
      </c>
      <c r="BC8" s="124" t="str">
        <f>IF(BC$6="","",IF(BC$3="Maior",iferror(VLOOKUP($R8,Capa!$A:$Z,BC$5,0),0),IF(ISERROR(1/VLOOKUP($R8,Capa!$A:$Z,BC$5,0)),0,1/VLOOKUP($R8,Capa!$A:$Z,BC$5,0))))</f>
        <v/>
      </c>
      <c r="BD8" s="124" t="str">
        <f>IF(BD$6="","",IF(BD$3="Maior",iferror(VLOOKUP($R8,Capa!$A:$Z,BD$5,0),0),IF(ISERROR(1/VLOOKUP($R8,Capa!$A:$Z,BD$5,0)),0,1/VLOOKUP($R8,Capa!$A:$Z,BD$5,0))))</f>
        <v/>
      </c>
      <c r="BE8" s="124" t="str">
        <f>IF(BE$6="","",IF(BE$3="Maior",iferror(VLOOKUP($R8,Capa!$A:$Z,BE$5,0),0),IF(ISERROR(1/VLOOKUP($R8,Capa!$A:$Z,BE$5,0)),0,1/VLOOKUP($R8,Capa!$A:$Z,BE$5,0))))</f>
        <v/>
      </c>
      <c r="BF8" s="124" t="str">
        <f>IF(BF$6="","",IF(BF$3="Maior",iferror(VLOOKUP($R8,Capa!$A:$Z,BF$5,0),0),IF(ISERROR(1/VLOOKUP($R8,Capa!$A:$Z,BF$5,0)),0,1/VLOOKUP($R8,Capa!$A:$Z,BF$5,0))))</f>
        <v/>
      </c>
      <c r="BG8" s="124" t="str">
        <f>IF(BG$6="","",IF(BG$3="Maior",iferror(VLOOKUP($R8,Capa!$A:$Z,BG$5,0),0),IF(ISERROR(1/VLOOKUP($R8,Capa!$A:$Z,BG$5,0)),0,1/VLOOKUP($R8,Capa!$A:$Z,BG$5,0))))</f>
        <v/>
      </c>
      <c r="BH8" s="124" t="str">
        <f>IF(BH$6="","",IF(BH$3="Maior",iferror(VLOOKUP($R8,Capa!$A:$Z,BH$5,0),0),IF(ISERROR(1/VLOOKUP($R8,Capa!$A:$Z,BH$5,0)),0,1/VLOOKUP($R8,Capa!$A:$Z,BH$5,0))))</f>
        <v/>
      </c>
      <c r="BI8" s="124" t="str">
        <f>IF(BI$6="","",IF(BI$3="Maior",iferror(VLOOKUP($R8,Capa!$A:$Z,BI$5,0),0),IF(ISERROR(1/VLOOKUP($R8,Capa!$A:$Z,BI$5,0)),0,1/VLOOKUP($R8,Capa!$A:$Z,BI$5,0))))</f>
        <v/>
      </c>
      <c r="BJ8" s="124" t="str">
        <f>IF(BJ$6="","",IF(BJ$3="Maior",iferror(VLOOKUP($R8,Capa!$A:$Z,BJ$5,0),0),IF(ISERROR(1/VLOOKUP($R8,Capa!$A:$Z,BJ$5,0)),0,1/VLOOKUP($R8,Capa!$A:$Z,BJ$5,0))))</f>
        <v/>
      </c>
      <c r="BK8" s="124" t="str">
        <f>IF(BK$6="","",IF(BK$3="Maior",iferror(VLOOKUP($R8,Capa!$A:$Z,BK$5,0),0),IF(ISERROR(1/VLOOKUP($R8,Capa!$A:$Z,BK$5,0)),0,1/VLOOKUP($R8,Capa!$A:$Z,BK$5,0))))</f>
        <v/>
      </c>
      <c r="BL8" s="124" t="str">
        <f>IF(BL$6="","",IF(BL$3="Maior",iferror(VLOOKUP($R8,Capa!$A:$Z,BL$5,0),0),IF(ISERROR(1/VLOOKUP($R8,Capa!$A:$Z,BL$5,0)),0,1/VLOOKUP($R8,Capa!$A:$Z,BL$5,0))))</f>
        <v/>
      </c>
      <c r="BM8" s="124" t="str">
        <f>IF(BM$6="","",IF(BM$3="Maior",iferror(VLOOKUP($R8,Capa!$A:$Z,BM$5,0),0),IF(ISERROR(1/VLOOKUP($R8,Capa!$A:$Z,BM$5,0)),0,1/VLOOKUP($R8,Capa!$A:$Z,BM$5,0))))</f>
        <v/>
      </c>
      <c r="BN8" s="124" t="str">
        <f>IF(BN$6="","",IF(BN$3="Maior",iferror(VLOOKUP($R8,Capa!$A:$Z,BN$5,0),0),IF(ISERROR(1/VLOOKUP($R8,Capa!$A:$Z,BN$5,0)),0,1/VLOOKUP($R8,Capa!$A:$Z,BN$5,0))))</f>
        <v/>
      </c>
      <c r="BO8" s="124" t="str">
        <f>IF(BO$6="","",IF(BO$3="Maior",iferror(VLOOKUP($R8,Capa!$A:$Z,BO$5,0),0),IF(ISERROR(1/VLOOKUP($R8,Capa!$A:$Z,BO$5,0)),0,1/VLOOKUP($R8,Capa!$A:$Z,BO$5,0))))</f>
        <v/>
      </c>
      <c r="BP8" s="124" t="str">
        <f>IF(BP$6="","",IF(BP$3="Maior",iferror(VLOOKUP($R8,Capa!$A:$Z,BP$5,0),0),IF(ISERROR(1/VLOOKUP($R8,Capa!$A:$Z,BP$5,0)),0,1/VLOOKUP($R8,Capa!$A:$Z,BP$5,0))))</f>
        <v/>
      </c>
      <c r="BQ8" s="124" t="str">
        <f>IF(BQ$6="","",IF(BQ$3="Maior",iferror(VLOOKUP($R8,Capa!$A:$Z,BQ$5,0),0),IF(ISERROR(1/VLOOKUP($R8,Capa!$A:$Z,BQ$5,0)),0,1/VLOOKUP($R8,Capa!$A:$Z,BQ$5,0))))</f>
        <v/>
      </c>
      <c r="BR8" s="125" t="str">
        <f>IF(BR$6="","",IF(BR$3="Maior",iferror(VLOOKUP($R8,Capa!$A:$Z,BR$5,0),0),IF(ISERROR(1/VLOOKUP($R8,Capa!$A:$Z,BR$5,0)),0,1/VLOOKUP($R8,Capa!$A:$Z,BR$5,0))))</f>
        <v/>
      </c>
      <c r="BS8" s="88"/>
    </row>
    <row r="9">
      <c r="C9" s="126" t="s">
        <v>239</v>
      </c>
      <c r="G9" s="9"/>
      <c r="H9" s="7">
        <v>3.0</v>
      </c>
      <c r="I9" s="122" t="str">
        <f t="shared" si="7"/>
        <v>DEVA11</v>
      </c>
      <c r="J9" s="112" t="str">
        <f>VLOOKUP(I9,Capa!A:G,7,0)</f>
        <v>Recebíveis Imobiliários</v>
      </c>
      <c r="K9" s="113">
        <f t="shared" si="8"/>
        <v>0.71625</v>
      </c>
      <c r="L9" s="113">
        <f t="shared" si="9"/>
        <v>0.1337852679</v>
      </c>
      <c r="M9" s="113" t="str">
        <f t="shared" si="10"/>
        <v/>
      </c>
      <c r="N9" s="113" t="str">
        <f t="shared" si="11"/>
        <v/>
      </c>
      <c r="O9" s="114">
        <f t="shared" si="12"/>
        <v>2579674.47</v>
      </c>
      <c r="P9" s="9"/>
      <c r="Q9" s="9"/>
      <c r="R9" s="127" t="s">
        <v>49</v>
      </c>
      <c r="S9" s="116">
        <f t="shared" si="13"/>
        <v>1078.000573</v>
      </c>
      <c r="T9" s="117">
        <f>MID(VLOOKUP($R9,'Dados ClubeFII'!$A:$AU,23,0),3,100)/1</f>
        <v>74223.38</v>
      </c>
      <c r="U9" s="118">
        <f t="shared" si="14"/>
        <v>5.0005</v>
      </c>
      <c r="V9" s="118">
        <f t="shared" si="15"/>
        <v>73.000073</v>
      </c>
      <c r="W9" s="118" t="str">
        <f t="shared" ref="W9:AS9" si="17">IF(AV9="","", RANK(AV9,AV$7:AV$405,0))</f>
        <v/>
      </c>
      <c r="X9" s="118" t="str">
        <f t="shared" si="17"/>
        <v/>
      </c>
      <c r="Y9" s="118" t="str">
        <f t="shared" si="17"/>
        <v/>
      </c>
      <c r="Z9" s="118" t="str">
        <f t="shared" si="17"/>
        <v/>
      </c>
      <c r="AA9" s="118" t="str">
        <f t="shared" si="17"/>
        <v/>
      </c>
      <c r="AB9" s="118" t="str">
        <f t="shared" si="17"/>
        <v/>
      </c>
      <c r="AC9" s="118" t="str">
        <f t="shared" si="17"/>
        <v/>
      </c>
      <c r="AD9" s="118" t="str">
        <f t="shared" si="17"/>
        <v/>
      </c>
      <c r="AE9" s="118" t="str">
        <f t="shared" si="17"/>
        <v/>
      </c>
      <c r="AF9" s="118" t="str">
        <f t="shared" si="17"/>
        <v/>
      </c>
      <c r="AG9" s="118" t="str">
        <f t="shared" si="17"/>
        <v/>
      </c>
      <c r="AH9" s="118" t="str">
        <f t="shared" si="17"/>
        <v/>
      </c>
      <c r="AI9" s="118" t="str">
        <f t="shared" si="17"/>
        <v/>
      </c>
      <c r="AJ9" s="118" t="str">
        <f t="shared" si="17"/>
        <v/>
      </c>
      <c r="AK9" s="118" t="str">
        <f t="shared" si="17"/>
        <v/>
      </c>
      <c r="AL9" s="118" t="str">
        <f t="shared" si="17"/>
        <v/>
      </c>
      <c r="AM9" s="118" t="str">
        <f t="shared" si="17"/>
        <v/>
      </c>
      <c r="AN9" s="118" t="str">
        <f t="shared" si="17"/>
        <v/>
      </c>
      <c r="AO9" s="118" t="str">
        <f t="shared" si="17"/>
        <v/>
      </c>
      <c r="AP9" s="118" t="str">
        <f t="shared" si="17"/>
        <v/>
      </c>
      <c r="AQ9" s="118" t="str">
        <f t="shared" si="17"/>
        <v/>
      </c>
      <c r="AR9" s="118" t="str">
        <f t="shared" si="17"/>
        <v/>
      </c>
      <c r="AS9" s="118" t="str">
        <f t="shared" si="17"/>
        <v/>
      </c>
      <c r="AT9" s="123">
        <f>IF(AT$6="","",IF(AT$3="Maior",iferror(VLOOKUP($R9,Capa!$A:$Z,AT$5,0),0),IF(ISERROR(1/VLOOKUP($R9,Capa!$A:$Z,AT$5,0)),0,1/VLOOKUP($R9,Capa!$A:$Z,AT$5,0))))</f>
        <v>3.006219765</v>
      </c>
      <c r="AU9" s="124">
        <f>IF(AU$6="","",IF(AU$3="Maior",iferror(VLOOKUP($R9,Capa!$A:$Z,AU$5,0),0),IF(ISERROR(1/VLOOKUP($R9,Capa!$A:$Z,AU$5,0)),0,1/VLOOKUP($R9,Capa!$A:$Z,AU$5,0))))</f>
        <v>0.1229803245</v>
      </c>
      <c r="AV9" s="124" t="str">
        <f>IF(AV$6="","",IF(AV$3="Maior",iferror(VLOOKUP($R9,Capa!$A:$Z,AV$5,0),0),IF(ISERROR(1/VLOOKUP($R9,Capa!$A:$Z,AV$5,0)),0,1/VLOOKUP($R9,Capa!$A:$Z,AV$5,0))))</f>
        <v/>
      </c>
      <c r="AW9" s="124" t="str">
        <f>IF(AW$6="","",IF(AW$3="Maior",iferror(VLOOKUP($R9,Capa!$A:$Z,AW$5,0),0),IF(ISERROR(1/VLOOKUP($R9,Capa!$A:$Z,AW$5,0)),0,1/VLOOKUP($R9,Capa!$A:$Z,AW$5,0))))</f>
        <v/>
      </c>
      <c r="AX9" s="124" t="str">
        <f>IF(AX$6="","",IF(AX$3="Maior",iferror(VLOOKUP($R9,Capa!$A:$Z,AX$5,0),0),IF(ISERROR(1/VLOOKUP($R9,Capa!$A:$Z,AX$5,0)),0,1/VLOOKUP($R9,Capa!$A:$Z,AX$5,0))))</f>
        <v/>
      </c>
      <c r="AY9" s="124" t="str">
        <f>IF(AY$6="","",IF(AY$3="Maior",iferror(VLOOKUP($R9,Capa!$A:$Z,AY$5,0),0),IF(ISERROR(1/VLOOKUP($R9,Capa!$A:$Z,AY$5,0)),0,1/VLOOKUP($R9,Capa!$A:$Z,AY$5,0))))</f>
        <v/>
      </c>
      <c r="AZ9" s="124" t="str">
        <f>IF(AZ$6="","",IF(AZ$3="Maior",iferror(VLOOKUP($R9,Capa!$A:$Z,AZ$5,0),0),IF(ISERROR(1/VLOOKUP($R9,Capa!$A:$Z,AZ$5,0)),0,1/VLOOKUP($R9,Capa!$A:$Z,AZ$5,0))))</f>
        <v/>
      </c>
      <c r="BA9" s="124" t="str">
        <f>IF(BA$6="","",IF(BA$3="Maior",iferror(VLOOKUP($R9,Capa!$A:$Z,BA$5,0),0),IF(ISERROR(1/VLOOKUP($R9,Capa!$A:$Z,BA$5,0)),0,1/VLOOKUP($R9,Capa!$A:$Z,BA$5,0))))</f>
        <v/>
      </c>
      <c r="BB9" s="124" t="str">
        <f>IF(BB$6="","",IF(BB$3="Maior",iferror(VLOOKUP($R9,Capa!$A:$Z,BB$5,0),0),IF(ISERROR(1/VLOOKUP($R9,Capa!$A:$Z,BB$5,0)),0,1/VLOOKUP($R9,Capa!$A:$Z,BB$5,0))))</f>
        <v/>
      </c>
      <c r="BC9" s="124" t="str">
        <f>IF(BC$6="","",IF(BC$3="Maior",iferror(VLOOKUP($R9,Capa!$A:$Z,BC$5,0),0),IF(ISERROR(1/VLOOKUP($R9,Capa!$A:$Z,BC$5,0)),0,1/VLOOKUP($R9,Capa!$A:$Z,BC$5,0))))</f>
        <v/>
      </c>
      <c r="BD9" s="124" t="str">
        <f>IF(BD$6="","",IF(BD$3="Maior",iferror(VLOOKUP($R9,Capa!$A:$Z,BD$5,0),0),IF(ISERROR(1/VLOOKUP($R9,Capa!$A:$Z,BD$5,0)),0,1/VLOOKUP($R9,Capa!$A:$Z,BD$5,0))))</f>
        <v/>
      </c>
      <c r="BE9" s="124" t="str">
        <f>IF(BE$6="","",IF(BE$3="Maior",iferror(VLOOKUP($R9,Capa!$A:$Z,BE$5,0),0),IF(ISERROR(1/VLOOKUP($R9,Capa!$A:$Z,BE$5,0)),0,1/VLOOKUP($R9,Capa!$A:$Z,BE$5,0))))</f>
        <v/>
      </c>
      <c r="BF9" s="124" t="str">
        <f>IF(BF$6="","",IF(BF$3="Maior",iferror(VLOOKUP($R9,Capa!$A:$Z,BF$5,0),0),IF(ISERROR(1/VLOOKUP($R9,Capa!$A:$Z,BF$5,0)),0,1/VLOOKUP($R9,Capa!$A:$Z,BF$5,0))))</f>
        <v/>
      </c>
      <c r="BG9" s="124" t="str">
        <f>IF(BG$6="","",IF(BG$3="Maior",iferror(VLOOKUP($R9,Capa!$A:$Z,BG$5,0),0),IF(ISERROR(1/VLOOKUP($R9,Capa!$A:$Z,BG$5,0)),0,1/VLOOKUP($R9,Capa!$A:$Z,BG$5,0))))</f>
        <v/>
      </c>
      <c r="BH9" s="124" t="str">
        <f>IF(BH$6="","",IF(BH$3="Maior",iferror(VLOOKUP($R9,Capa!$A:$Z,BH$5,0),0),IF(ISERROR(1/VLOOKUP($R9,Capa!$A:$Z,BH$5,0)),0,1/VLOOKUP($R9,Capa!$A:$Z,BH$5,0))))</f>
        <v/>
      </c>
      <c r="BI9" s="124" t="str">
        <f>IF(BI$6="","",IF(BI$3="Maior",iferror(VLOOKUP($R9,Capa!$A:$Z,BI$5,0),0),IF(ISERROR(1/VLOOKUP($R9,Capa!$A:$Z,BI$5,0)),0,1/VLOOKUP($R9,Capa!$A:$Z,BI$5,0))))</f>
        <v/>
      </c>
      <c r="BJ9" s="124" t="str">
        <f>IF(BJ$6="","",IF(BJ$3="Maior",iferror(VLOOKUP($R9,Capa!$A:$Z,BJ$5,0),0),IF(ISERROR(1/VLOOKUP($R9,Capa!$A:$Z,BJ$5,0)),0,1/VLOOKUP($R9,Capa!$A:$Z,BJ$5,0))))</f>
        <v/>
      </c>
      <c r="BK9" s="124" t="str">
        <f>IF(BK$6="","",IF(BK$3="Maior",iferror(VLOOKUP($R9,Capa!$A:$Z,BK$5,0),0),IF(ISERROR(1/VLOOKUP($R9,Capa!$A:$Z,BK$5,0)),0,1/VLOOKUP($R9,Capa!$A:$Z,BK$5,0))))</f>
        <v/>
      </c>
      <c r="BL9" s="124" t="str">
        <f>IF(BL$6="","",IF(BL$3="Maior",iferror(VLOOKUP($R9,Capa!$A:$Z,BL$5,0),0),IF(ISERROR(1/VLOOKUP($R9,Capa!$A:$Z,BL$5,0)),0,1/VLOOKUP($R9,Capa!$A:$Z,BL$5,0))))</f>
        <v/>
      </c>
      <c r="BM9" s="124" t="str">
        <f>IF(BM$6="","",IF(BM$3="Maior",iferror(VLOOKUP($R9,Capa!$A:$Z,BM$5,0),0),IF(ISERROR(1/VLOOKUP($R9,Capa!$A:$Z,BM$5,0)),0,1/VLOOKUP($R9,Capa!$A:$Z,BM$5,0))))</f>
        <v/>
      </c>
      <c r="BN9" s="124" t="str">
        <f>IF(BN$6="","",IF(BN$3="Maior",iferror(VLOOKUP($R9,Capa!$A:$Z,BN$5,0),0),IF(ISERROR(1/VLOOKUP($R9,Capa!$A:$Z,BN$5,0)),0,1/VLOOKUP($R9,Capa!$A:$Z,BN$5,0))))</f>
        <v/>
      </c>
      <c r="BO9" s="124" t="str">
        <f>IF(BO$6="","",IF(BO$3="Maior",iferror(VLOOKUP($R9,Capa!$A:$Z,BO$5,0),0),IF(ISERROR(1/VLOOKUP($R9,Capa!$A:$Z,BO$5,0)),0,1/VLOOKUP($R9,Capa!$A:$Z,BO$5,0))))</f>
        <v/>
      </c>
      <c r="BP9" s="124" t="str">
        <f>IF(BP$6="","",IF(BP$3="Maior",iferror(VLOOKUP($R9,Capa!$A:$Z,BP$5,0),0),IF(ISERROR(1/VLOOKUP($R9,Capa!$A:$Z,BP$5,0)),0,1/VLOOKUP($R9,Capa!$A:$Z,BP$5,0))))</f>
        <v/>
      </c>
      <c r="BQ9" s="124" t="str">
        <f>IF(BQ$6="","",IF(BQ$3="Maior",iferror(VLOOKUP($R9,Capa!$A:$Z,BQ$5,0),0),IF(ISERROR(1/VLOOKUP($R9,Capa!$A:$Z,BQ$5,0)),0,1/VLOOKUP($R9,Capa!$A:$Z,BQ$5,0))))</f>
        <v/>
      </c>
      <c r="BR9" s="125" t="str">
        <f>IF(BR$6="","",IF(BR$3="Maior",iferror(VLOOKUP($R9,Capa!$A:$Z,BR$5,0),0),IF(ISERROR(1/VLOOKUP($R9,Capa!$A:$Z,BR$5,0)),0,1/VLOOKUP($R9,Capa!$A:$Z,BR$5,0))))</f>
        <v/>
      </c>
      <c r="BS9" s="88"/>
    </row>
    <row r="10">
      <c r="C10" s="126" t="s">
        <v>240</v>
      </c>
      <c r="G10" s="9"/>
      <c r="H10" s="7">
        <v>4.0</v>
      </c>
      <c r="I10" s="128" t="str">
        <f t="shared" si="7"/>
        <v>RZTR11</v>
      </c>
      <c r="J10" s="112" t="str">
        <f>VLOOKUP(I10,Capa!A:G,7,0)</f>
        <v>Agronegócio</v>
      </c>
      <c r="K10" s="113">
        <f t="shared" si="8"/>
        <v>0.8701635487</v>
      </c>
      <c r="L10" s="113">
        <f t="shared" si="9"/>
        <v>0.1649355454</v>
      </c>
      <c r="M10" s="113" t="str">
        <f t="shared" si="10"/>
        <v/>
      </c>
      <c r="N10" s="113" t="str">
        <f t="shared" si="11"/>
        <v/>
      </c>
      <c r="O10" s="114">
        <f t="shared" si="12"/>
        <v>3134663.99</v>
      </c>
      <c r="P10" s="9"/>
      <c r="Q10" s="9"/>
      <c r="R10" s="115" t="s">
        <v>34</v>
      </c>
      <c r="S10" s="116">
        <f t="shared" si="13"/>
        <v>106.005254</v>
      </c>
      <c r="T10" s="117">
        <f>MID(VLOOKUP($R10,'Dados ClubeFII'!$A:$AU,23,0),3,100)/1</f>
        <v>2579674.47</v>
      </c>
      <c r="U10" s="118">
        <f t="shared" si="14"/>
        <v>52.0052</v>
      </c>
      <c r="V10" s="118">
        <f t="shared" si="15"/>
        <v>54.000054</v>
      </c>
      <c r="W10" s="118" t="str">
        <f t="shared" ref="W10:AS10" si="18">IF(AV10="","", RANK(AV10,AV$7:AV$405,0))</f>
        <v/>
      </c>
      <c r="X10" s="118" t="str">
        <f t="shared" si="18"/>
        <v/>
      </c>
      <c r="Y10" s="118" t="str">
        <f t="shared" si="18"/>
        <v/>
      </c>
      <c r="Z10" s="118" t="str">
        <f t="shared" si="18"/>
        <v/>
      </c>
      <c r="AA10" s="118" t="str">
        <f t="shared" si="18"/>
        <v/>
      </c>
      <c r="AB10" s="118" t="str">
        <f t="shared" si="18"/>
        <v/>
      </c>
      <c r="AC10" s="118" t="str">
        <f t="shared" si="18"/>
        <v/>
      </c>
      <c r="AD10" s="118" t="str">
        <f t="shared" si="18"/>
        <v/>
      </c>
      <c r="AE10" s="118" t="str">
        <f t="shared" si="18"/>
        <v/>
      </c>
      <c r="AF10" s="118" t="str">
        <f t="shared" si="18"/>
        <v/>
      </c>
      <c r="AG10" s="118" t="str">
        <f t="shared" si="18"/>
        <v/>
      </c>
      <c r="AH10" s="118" t="str">
        <f t="shared" si="18"/>
        <v/>
      </c>
      <c r="AI10" s="118" t="str">
        <f t="shared" si="18"/>
        <v/>
      </c>
      <c r="AJ10" s="118" t="str">
        <f t="shared" si="18"/>
        <v/>
      </c>
      <c r="AK10" s="118" t="str">
        <f t="shared" si="18"/>
        <v/>
      </c>
      <c r="AL10" s="118" t="str">
        <f t="shared" si="18"/>
        <v/>
      </c>
      <c r="AM10" s="118" t="str">
        <f t="shared" si="18"/>
        <v/>
      </c>
      <c r="AN10" s="118" t="str">
        <f t="shared" si="18"/>
        <v/>
      </c>
      <c r="AO10" s="118" t="str">
        <f t="shared" si="18"/>
        <v/>
      </c>
      <c r="AP10" s="118" t="str">
        <f t="shared" si="18"/>
        <v/>
      </c>
      <c r="AQ10" s="118" t="str">
        <f t="shared" si="18"/>
        <v/>
      </c>
      <c r="AR10" s="118" t="str">
        <f t="shared" si="18"/>
        <v/>
      </c>
      <c r="AS10" s="118" t="str">
        <f t="shared" si="18"/>
        <v/>
      </c>
      <c r="AT10" s="123">
        <f>IF(AT$6="","",IF(AT$3="Maior",iferror(VLOOKUP($R10,Capa!$A:$Z,AT$5,0),0),IF(ISERROR(1/VLOOKUP($R10,Capa!$A:$Z,AT$5,0)),0,1/VLOOKUP($R10,Capa!$A:$Z,AT$5,0))))</f>
        <v>1.396160558</v>
      </c>
      <c r="AU10" s="124">
        <f>IF(AU$6="","",IF(AU$3="Maior",iferror(VLOOKUP($R10,Capa!$A:$Z,AU$5,0),0),IF(ISERROR(1/VLOOKUP($R10,Capa!$A:$Z,AU$5,0)),0,1/VLOOKUP($R10,Capa!$A:$Z,AU$5,0))))</f>
        <v>0.1337852679</v>
      </c>
      <c r="AV10" s="124" t="str">
        <f>IF(AV$6="","",IF(AV$3="Maior",iferror(VLOOKUP($R10,Capa!$A:$Z,AV$5,0),0),IF(ISERROR(1/VLOOKUP($R10,Capa!$A:$Z,AV$5,0)),0,1/VLOOKUP($R10,Capa!$A:$Z,AV$5,0))))</f>
        <v/>
      </c>
      <c r="AW10" s="124" t="str">
        <f>IF(AW$6="","",IF(AW$3="Maior",iferror(VLOOKUP($R10,Capa!$A:$Z,AW$5,0),0),IF(ISERROR(1/VLOOKUP($R10,Capa!$A:$Z,AW$5,0)),0,1/VLOOKUP($R10,Capa!$A:$Z,AW$5,0))))</f>
        <v/>
      </c>
      <c r="AX10" s="124" t="str">
        <f>IF(AX$6="","",IF(AX$3="Maior",iferror(VLOOKUP($R10,Capa!$A:$Z,AX$5,0),0),IF(ISERROR(1/VLOOKUP($R10,Capa!$A:$Z,AX$5,0)),0,1/VLOOKUP($R10,Capa!$A:$Z,AX$5,0))))</f>
        <v/>
      </c>
      <c r="AY10" s="124" t="str">
        <f>IF(AY$6="","",IF(AY$3="Maior",iferror(VLOOKUP($R10,Capa!$A:$Z,AY$5,0),0),IF(ISERROR(1/VLOOKUP($R10,Capa!$A:$Z,AY$5,0)),0,1/VLOOKUP($R10,Capa!$A:$Z,AY$5,0))))</f>
        <v/>
      </c>
      <c r="AZ10" s="124" t="str">
        <f>IF(AZ$6="","",IF(AZ$3="Maior",iferror(VLOOKUP($R10,Capa!$A:$Z,AZ$5,0),0),IF(ISERROR(1/VLOOKUP($R10,Capa!$A:$Z,AZ$5,0)),0,1/VLOOKUP($R10,Capa!$A:$Z,AZ$5,0))))</f>
        <v/>
      </c>
      <c r="BA10" s="124" t="str">
        <f>IF(BA$6="","",IF(BA$3="Maior",iferror(VLOOKUP($R10,Capa!$A:$Z,BA$5,0),0),IF(ISERROR(1/VLOOKUP($R10,Capa!$A:$Z,BA$5,0)),0,1/VLOOKUP($R10,Capa!$A:$Z,BA$5,0))))</f>
        <v/>
      </c>
      <c r="BB10" s="124" t="str">
        <f>IF(BB$6="","",IF(BB$3="Maior",iferror(VLOOKUP($R10,Capa!$A:$Z,BB$5,0),0),IF(ISERROR(1/VLOOKUP($R10,Capa!$A:$Z,BB$5,0)),0,1/VLOOKUP($R10,Capa!$A:$Z,BB$5,0))))</f>
        <v/>
      </c>
      <c r="BC10" s="124" t="str">
        <f>IF(BC$6="","",IF(BC$3="Maior",iferror(VLOOKUP($R10,Capa!$A:$Z,BC$5,0),0),IF(ISERROR(1/VLOOKUP($R10,Capa!$A:$Z,BC$5,0)),0,1/VLOOKUP($R10,Capa!$A:$Z,BC$5,0))))</f>
        <v/>
      </c>
      <c r="BD10" s="124" t="str">
        <f>IF(BD$6="","",IF(BD$3="Maior",iferror(VLOOKUP($R10,Capa!$A:$Z,BD$5,0),0),IF(ISERROR(1/VLOOKUP($R10,Capa!$A:$Z,BD$5,0)),0,1/VLOOKUP($R10,Capa!$A:$Z,BD$5,0))))</f>
        <v/>
      </c>
      <c r="BE10" s="124" t="str">
        <f>IF(BE$6="","",IF(BE$3="Maior",iferror(VLOOKUP($R10,Capa!$A:$Z,BE$5,0),0),IF(ISERROR(1/VLOOKUP($R10,Capa!$A:$Z,BE$5,0)),0,1/VLOOKUP($R10,Capa!$A:$Z,BE$5,0))))</f>
        <v/>
      </c>
      <c r="BF10" s="124" t="str">
        <f>IF(BF$6="","",IF(BF$3="Maior",iferror(VLOOKUP($R10,Capa!$A:$Z,BF$5,0),0),IF(ISERROR(1/VLOOKUP($R10,Capa!$A:$Z,BF$5,0)),0,1/VLOOKUP($R10,Capa!$A:$Z,BF$5,0))))</f>
        <v/>
      </c>
      <c r="BG10" s="124" t="str">
        <f>IF(BG$6="","",IF(BG$3="Maior",iferror(VLOOKUP($R10,Capa!$A:$Z,BG$5,0),0),IF(ISERROR(1/VLOOKUP($R10,Capa!$A:$Z,BG$5,0)),0,1/VLOOKUP($R10,Capa!$A:$Z,BG$5,0))))</f>
        <v/>
      </c>
      <c r="BH10" s="124" t="str">
        <f>IF(BH$6="","",IF(BH$3="Maior",iferror(VLOOKUP($R10,Capa!$A:$Z,BH$5,0),0),IF(ISERROR(1/VLOOKUP($R10,Capa!$A:$Z,BH$5,0)),0,1/VLOOKUP($R10,Capa!$A:$Z,BH$5,0))))</f>
        <v/>
      </c>
      <c r="BI10" s="124" t="str">
        <f>IF(BI$6="","",IF(BI$3="Maior",iferror(VLOOKUP($R10,Capa!$A:$Z,BI$5,0),0),IF(ISERROR(1/VLOOKUP($R10,Capa!$A:$Z,BI$5,0)),0,1/VLOOKUP($R10,Capa!$A:$Z,BI$5,0))))</f>
        <v/>
      </c>
      <c r="BJ10" s="124" t="str">
        <f>IF(BJ$6="","",IF(BJ$3="Maior",iferror(VLOOKUP($R10,Capa!$A:$Z,BJ$5,0),0),IF(ISERROR(1/VLOOKUP($R10,Capa!$A:$Z,BJ$5,0)),0,1/VLOOKUP($R10,Capa!$A:$Z,BJ$5,0))))</f>
        <v/>
      </c>
      <c r="BK10" s="124" t="str">
        <f>IF(BK$6="","",IF(BK$3="Maior",iferror(VLOOKUP($R10,Capa!$A:$Z,BK$5,0),0),IF(ISERROR(1/VLOOKUP($R10,Capa!$A:$Z,BK$5,0)),0,1/VLOOKUP($R10,Capa!$A:$Z,BK$5,0))))</f>
        <v/>
      </c>
      <c r="BL10" s="124" t="str">
        <f>IF(BL$6="","",IF(BL$3="Maior",iferror(VLOOKUP($R10,Capa!$A:$Z,BL$5,0),0),IF(ISERROR(1/VLOOKUP($R10,Capa!$A:$Z,BL$5,0)),0,1/VLOOKUP($R10,Capa!$A:$Z,BL$5,0))))</f>
        <v/>
      </c>
      <c r="BM10" s="124" t="str">
        <f>IF(BM$6="","",IF(BM$3="Maior",iferror(VLOOKUP($R10,Capa!$A:$Z,BM$5,0),0),IF(ISERROR(1/VLOOKUP($R10,Capa!$A:$Z,BM$5,0)),0,1/VLOOKUP($R10,Capa!$A:$Z,BM$5,0))))</f>
        <v/>
      </c>
      <c r="BN10" s="124" t="str">
        <f>IF(BN$6="","",IF(BN$3="Maior",iferror(VLOOKUP($R10,Capa!$A:$Z,BN$5,0),0),IF(ISERROR(1/VLOOKUP($R10,Capa!$A:$Z,BN$5,0)),0,1/VLOOKUP($R10,Capa!$A:$Z,BN$5,0))))</f>
        <v/>
      </c>
      <c r="BO10" s="124" t="str">
        <f>IF(BO$6="","",IF(BO$3="Maior",iferror(VLOOKUP($R10,Capa!$A:$Z,BO$5,0),0),IF(ISERROR(1/VLOOKUP($R10,Capa!$A:$Z,BO$5,0)),0,1/VLOOKUP($R10,Capa!$A:$Z,BO$5,0))))</f>
        <v/>
      </c>
      <c r="BP10" s="124" t="str">
        <f>IF(BP$6="","",IF(BP$3="Maior",iferror(VLOOKUP($R10,Capa!$A:$Z,BP$5,0),0),IF(ISERROR(1/VLOOKUP($R10,Capa!$A:$Z,BP$5,0)),0,1/VLOOKUP($R10,Capa!$A:$Z,BP$5,0))))</f>
        <v/>
      </c>
      <c r="BQ10" s="124" t="str">
        <f>IF(BQ$6="","",IF(BQ$3="Maior",iferror(VLOOKUP($R10,Capa!$A:$Z,BQ$5,0),0),IF(ISERROR(1/VLOOKUP($R10,Capa!$A:$Z,BQ$5,0)),0,1/VLOOKUP($R10,Capa!$A:$Z,BQ$5,0))))</f>
        <v/>
      </c>
      <c r="BR10" s="125" t="str">
        <f>IF(BR$6="","",IF(BR$3="Maior",iferror(VLOOKUP($R10,Capa!$A:$Z,BR$5,0),0),IF(ISERROR(1/VLOOKUP($R10,Capa!$A:$Z,BR$5,0)),0,1/VLOOKUP($R10,Capa!$A:$Z,BR$5,0))))</f>
        <v/>
      </c>
      <c r="BS10" s="88"/>
    </row>
    <row r="11">
      <c r="G11" s="9"/>
      <c r="H11" s="7">
        <v>5.0</v>
      </c>
      <c r="I11" s="128" t="str">
        <f t="shared" si="7"/>
        <v>BRCR11</v>
      </c>
      <c r="J11" s="112" t="str">
        <f>VLOOKUP(I11,Capa!A:G,7,0)</f>
        <v>Lajes Comerciais</v>
      </c>
      <c r="K11" s="113">
        <f t="shared" si="8"/>
        <v>0.5399631336</v>
      </c>
      <c r="L11" s="113">
        <f t="shared" si="9"/>
        <v>0.1038692719</v>
      </c>
      <c r="M11" s="113" t="str">
        <f t="shared" si="10"/>
        <v/>
      </c>
      <c r="N11" s="113" t="str">
        <f t="shared" si="11"/>
        <v/>
      </c>
      <c r="O11" s="114">
        <f t="shared" si="12"/>
        <v>1581770.75</v>
      </c>
      <c r="P11" s="9"/>
      <c r="Q11" s="9"/>
      <c r="R11" s="127" t="s">
        <v>43</v>
      </c>
      <c r="S11" s="116">
        <f t="shared" si="13"/>
        <v>197.015542</v>
      </c>
      <c r="T11" s="117">
        <f>MID(VLOOKUP($R11,'Dados ClubeFII'!$A:$AU,23,0),3,100)/1</f>
        <v>2880014.53</v>
      </c>
      <c r="U11" s="118">
        <f t="shared" si="14"/>
        <v>155.0155</v>
      </c>
      <c r="V11" s="118">
        <f t="shared" si="15"/>
        <v>42.000042</v>
      </c>
      <c r="W11" s="118" t="str">
        <f t="shared" ref="W11:AS11" si="19">IF(AV11="","", RANK(AV11,AV$7:AV$405,0))</f>
        <v/>
      </c>
      <c r="X11" s="118" t="str">
        <f t="shared" si="19"/>
        <v/>
      </c>
      <c r="Y11" s="118" t="str">
        <f t="shared" si="19"/>
        <v/>
      </c>
      <c r="Z11" s="118" t="str">
        <f t="shared" si="19"/>
        <v/>
      </c>
      <c r="AA11" s="118" t="str">
        <f t="shared" si="19"/>
        <v/>
      </c>
      <c r="AB11" s="118" t="str">
        <f t="shared" si="19"/>
        <v/>
      </c>
      <c r="AC11" s="118" t="str">
        <f t="shared" si="19"/>
        <v/>
      </c>
      <c r="AD11" s="118" t="str">
        <f t="shared" si="19"/>
        <v/>
      </c>
      <c r="AE11" s="118" t="str">
        <f t="shared" si="19"/>
        <v/>
      </c>
      <c r="AF11" s="118" t="str">
        <f t="shared" si="19"/>
        <v/>
      </c>
      <c r="AG11" s="118" t="str">
        <f t="shared" si="19"/>
        <v/>
      </c>
      <c r="AH11" s="118" t="str">
        <f t="shared" si="19"/>
        <v/>
      </c>
      <c r="AI11" s="118" t="str">
        <f t="shared" si="19"/>
        <v/>
      </c>
      <c r="AJ11" s="118" t="str">
        <f t="shared" si="19"/>
        <v/>
      </c>
      <c r="AK11" s="118" t="str">
        <f t="shared" si="19"/>
        <v/>
      </c>
      <c r="AL11" s="118" t="str">
        <f t="shared" si="19"/>
        <v/>
      </c>
      <c r="AM11" s="118" t="str">
        <f t="shared" si="19"/>
        <v/>
      </c>
      <c r="AN11" s="118" t="str">
        <f t="shared" si="19"/>
        <v/>
      </c>
      <c r="AO11" s="118" t="str">
        <f t="shared" si="19"/>
        <v/>
      </c>
      <c r="AP11" s="118" t="str">
        <f t="shared" si="19"/>
        <v/>
      </c>
      <c r="AQ11" s="118" t="str">
        <f t="shared" si="19"/>
        <v/>
      </c>
      <c r="AR11" s="118" t="str">
        <f t="shared" si="19"/>
        <v/>
      </c>
      <c r="AS11" s="118" t="str">
        <f t="shared" si="19"/>
        <v/>
      </c>
      <c r="AT11" s="123">
        <f>IF(AT$6="","",IF(AT$3="Maior",iferror(VLOOKUP($R11,Capa!$A:$Z,AT$5,0),0),IF(ISERROR(1/VLOOKUP($R11,Capa!$A:$Z,AT$5,0)),0,1/VLOOKUP($R11,Capa!$A:$Z,AT$5,0))))</f>
        <v>1.055381213</v>
      </c>
      <c r="AU11" s="124">
        <f>IF(AU$6="","",IF(AU$3="Maior",iferror(VLOOKUP($R11,Capa!$A:$Z,AU$5,0),0),IF(ISERROR(1/VLOOKUP($R11,Capa!$A:$Z,AU$5,0)),0,1/VLOOKUP($R11,Capa!$A:$Z,AU$5,0))))</f>
        <v>0.1408321251</v>
      </c>
      <c r="AV11" s="124" t="str">
        <f>IF(AV$6="","",IF(AV$3="Maior",iferror(VLOOKUP($R11,Capa!$A:$Z,AV$5,0),0),IF(ISERROR(1/VLOOKUP($R11,Capa!$A:$Z,AV$5,0)),0,1/VLOOKUP($R11,Capa!$A:$Z,AV$5,0))))</f>
        <v/>
      </c>
      <c r="AW11" s="124" t="str">
        <f>IF(AW$6="","",IF(AW$3="Maior",iferror(VLOOKUP($R11,Capa!$A:$Z,AW$5,0),0),IF(ISERROR(1/VLOOKUP($R11,Capa!$A:$Z,AW$5,0)),0,1/VLOOKUP($R11,Capa!$A:$Z,AW$5,0))))</f>
        <v/>
      </c>
      <c r="AX11" s="124" t="str">
        <f>IF(AX$6="","",IF(AX$3="Maior",iferror(VLOOKUP($R11,Capa!$A:$Z,AX$5,0),0),IF(ISERROR(1/VLOOKUP($R11,Capa!$A:$Z,AX$5,0)),0,1/VLOOKUP($R11,Capa!$A:$Z,AX$5,0))))</f>
        <v/>
      </c>
      <c r="AY11" s="124" t="str">
        <f>IF(AY$6="","",IF(AY$3="Maior",iferror(VLOOKUP($R11,Capa!$A:$Z,AY$5,0),0),IF(ISERROR(1/VLOOKUP($R11,Capa!$A:$Z,AY$5,0)),0,1/VLOOKUP($R11,Capa!$A:$Z,AY$5,0))))</f>
        <v/>
      </c>
      <c r="AZ11" s="124" t="str">
        <f>IF(AZ$6="","",IF(AZ$3="Maior",iferror(VLOOKUP($R11,Capa!$A:$Z,AZ$5,0),0),IF(ISERROR(1/VLOOKUP($R11,Capa!$A:$Z,AZ$5,0)),0,1/VLOOKUP($R11,Capa!$A:$Z,AZ$5,0))))</f>
        <v/>
      </c>
      <c r="BA11" s="124" t="str">
        <f>IF(BA$6="","",IF(BA$3="Maior",iferror(VLOOKUP($R11,Capa!$A:$Z,BA$5,0),0),IF(ISERROR(1/VLOOKUP($R11,Capa!$A:$Z,BA$5,0)),0,1/VLOOKUP($R11,Capa!$A:$Z,BA$5,0))))</f>
        <v/>
      </c>
      <c r="BB11" s="124" t="str">
        <f>IF(BB$6="","",IF(BB$3="Maior",iferror(VLOOKUP($R11,Capa!$A:$Z,BB$5,0),0),IF(ISERROR(1/VLOOKUP($R11,Capa!$A:$Z,BB$5,0)),0,1/VLOOKUP($R11,Capa!$A:$Z,BB$5,0))))</f>
        <v/>
      </c>
      <c r="BC11" s="124" t="str">
        <f>IF(BC$6="","",IF(BC$3="Maior",iferror(VLOOKUP($R11,Capa!$A:$Z,BC$5,0),0),IF(ISERROR(1/VLOOKUP($R11,Capa!$A:$Z,BC$5,0)),0,1/VLOOKUP($R11,Capa!$A:$Z,BC$5,0))))</f>
        <v/>
      </c>
      <c r="BD11" s="124" t="str">
        <f>IF(BD$6="","",IF(BD$3="Maior",iferror(VLOOKUP($R11,Capa!$A:$Z,BD$5,0),0),IF(ISERROR(1/VLOOKUP($R11,Capa!$A:$Z,BD$5,0)),0,1/VLOOKUP($R11,Capa!$A:$Z,BD$5,0))))</f>
        <v/>
      </c>
      <c r="BE11" s="124" t="str">
        <f>IF(BE$6="","",IF(BE$3="Maior",iferror(VLOOKUP($R11,Capa!$A:$Z,BE$5,0),0),IF(ISERROR(1/VLOOKUP($R11,Capa!$A:$Z,BE$5,0)),0,1/VLOOKUP($R11,Capa!$A:$Z,BE$5,0))))</f>
        <v/>
      </c>
      <c r="BF11" s="124" t="str">
        <f>IF(BF$6="","",IF(BF$3="Maior",iferror(VLOOKUP($R11,Capa!$A:$Z,BF$5,0),0),IF(ISERROR(1/VLOOKUP($R11,Capa!$A:$Z,BF$5,0)),0,1/VLOOKUP($R11,Capa!$A:$Z,BF$5,0))))</f>
        <v/>
      </c>
      <c r="BG11" s="124" t="str">
        <f>IF(BG$6="","",IF(BG$3="Maior",iferror(VLOOKUP($R11,Capa!$A:$Z,BG$5,0),0),IF(ISERROR(1/VLOOKUP($R11,Capa!$A:$Z,BG$5,0)),0,1/VLOOKUP($R11,Capa!$A:$Z,BG$5,0))))</f>
        <v/>
      </c>
      <c r="BH11" s="124" t="str">
        <f>IF(BH$6="","",IF(BH$3="Maior",iferror(VLOOKUP($R11,Capa!$A:$Z,BH$5,0),0),IF(ISERROR(1/VLOOKUP($R11,Capa!$A:$Z,BH$5,0)),0,1/VLOOKUP($R11,Capa!$A:$Z,BH$5,0))))</f>
        <v/>
      </c>
      <c r="BI11" s="124" t="str">
        <f>IF(BI$6="","",IF(BI$3="Maior",iferror(VLOOKUP($R11,Capa!$A:$Z,BI$5,0),0),IF(ISERROR(1/VLOOKUP($R11,Capa!$A:$Z,BI$5,0)),0,1/VLOOKUP($R11,Capa!$A:$Z,BI$5,0))))</f>
        <v/>
      </c>
      <c r="BJ11" s="124" t="str">
        <f>IF(BJ$6="","",IF(BJ$3="Maior",iferror(VLOOKUP($R11,Capa!$A:$Z,BJ$5,0),0),IF(ISERROR(1/VLOOKUP($R11,Capa!$A:$Z,BJ$5,0)),0,1/VLOOKUP($R11,Capa!$A:$Z,BJ$5,0))))</f>
        <v/>
      </c>
      <c r="BK11" s="124" t="str">
        <f>IF(BK$6="","",IF(BK$3="Maior",iferror(VLOOKUP($R11,Capa!$A:$Z,BK$5,0),0),IF(ISERROR(1/VLOOKUP($R11,Capa!$A:$Z,BK$5,0)),0,1/VLOOKUP($R11,Capa!$A:$Z,BK$5,0))))</f>
        <v/>
      </c>
      <c r="BL11" s="124" t="str">
        <f>IF(BL$6="","",IF(BL$3="Maior",iferror(VLOOKUP($R11,Capa!$A:$Z,BL$5,0),0),IF(ISERROR(1/VLOOKUP($R11,Capa!$A:$Z,BL$5,0)),0,1/VLOOKUP($R11,Capa!$A:$Z,BL$5,0))))</f>
        <v/>
      </c>
      <c r="BM11" s="124" t="str">
        <f>IF(BM$6="","",IF(BM$3="Maior",iferror(VLOOKUP($R11,Capa!$A:$Z,BM$5,0),0),IF(ISERROR(1/VLOOKUP($R11,Capa!$A:$Z,BM$5,0)),0,1/VLOOKUP($R11,Capa!$A:$Z,BM$5,0))))</f>
        <v/>
      </c>
      <c r="BN11" s="124" t="str">
        <f>IF(BN$6="","",IF(BN$3="Maior",iferror(VLOOKUP($R11,Capa!$A:$Z,BN$5,0),0),IF(ISERROR(1/VLOOKUP($R11,Capa!$A:$Z,BN$5,0)),0,1/VLOOKUP($R11,Capa!$A:$Z,BN$5,0))))</f>
        <v/>
      </c>
      <c r="BO11" s="124" t="str">
        <f>IF(BO$6="","",IF(BO$3="Maior",iferror(VLOOKUP($R11,Capa!$A:$Z,BO$5,0),0),IF(ISERROR(1/VLOOKUP($R11,Capa!$A:$Z,BO$5,0)),0,1/VLOOKUP($R11,Capa!$A:$Z,BO$5,0))))</f>
        <v/>
      </c>
      <c r="BP11" s="124" t="str">
        <f>IF(BP$6="","",IF(BP$3="Maior",iferror(VLOOKUP($R11,Capa!$A:$Z,BP$5,0),0),IF(ISERROR(1/VLOOKUP($R11,Capa!$A:$Z,BP$5,0)),0,1/VLOOKUP($R11,Capa!$A:$Z,BP$5,0))))</f>
        <v/>
      </c>
      <c r="BQ11" s="124" t="str">
        <f>IF(BQ$6="","",IF(BQ$3="Maior",iferror(VLOOKUP($R11,Capa!$A:$Z,BQ$5,0),0),IF(ISERROR(1/VLOOKUP($R11,Capa!$A:$Z,BQ$5,0)),0,1/VLOOKUP($R11,Capa!$A:$Z,BQ$5,0))))</f>
        <v/>
      </c>
      <c r="BR11" s="125" t="str">
        <f>IF(BR$6="","",IF(BR$3="Maior",iferror(VLOOKUP($R11,Capa!$A:$Z,BR$5,0),0),IF(ISERROR(1/VLOOKUP($R11,Capa!$A:$Z,BR$5,0)),0,1/VLOOKUP($R11,Capa!$A:$Z,BR$5,0))))</f>
        <v/>
      </c>
      <c r="BS11" s="88"/>
    </row>
    <row r="12">
      <c r="G12" s="9"/>
      <c r="H12" s="7">
        <v>6.0</v>
      </c>
      <c r="I12" s="122" t="str">
        <f t="shared" si="7"/>
        <v>HABT11</v>
      </c>
      <c r="J12" s="112" t="str">
        <f>VLOOKUP(I12,Capa!A:G,7,0)</f>
        <v>Recebíveis Imobiliários</v>
      </c>
      <c r="K12" s="113">
        <f t="shared" si="8"/>
        <v>0.8600634345</v>
      </c>
      <c r="L12" s="113">
        <f t="shared" si="9"/>
        <v>0.1547136837</v>
      </c>
      <c r="M12" s="113" t="str">
        <f t="shared" si="10"/>
        <v/>
      </c>
      <c r="N12" s="113" t="str">
        <f t="shared" si="11"/>
        <v/>
      </c>
      <c r="O12" s="114">
        <f t="shared" si="12"/>
        <v>1348892.58</v>
      </c>
      <c r="P12" s="9"/>
      <c r="Q12" s="9"/>
      <c r="R12" s="115" t="s">
        <v>36</v>
      </c>
      <c r="S12" s="116">
        <f t="shared" si="13"/>
        <v>71.003338</v>
      </c>
      <c r="T12" s="117">
        <f>MID(VLOOKUP($R12,'Dados ClubeFII'!$A:$AU,23,0),3,100)/1</f>
        <v>3594320.74</v>
      </c>
      <c r="U12" s="118">
        <f t="shared" si="14"/>
        <v>33.0033</v>
      </c>
      <c r="V12" s="118">
        <f t="shared" si="15"/>
        <v>38.000038</v>
      </c>
      <c r="W12" s="118" t="str">
        <f t="shared" ref="W12:AS12" si="20">IF(AV12="","", RANK(AV12,AV$7:AV$405,0))</f>
        <v/>
      </c>
      <c r="X12" s="118" t="str">
        <f t="shared" si="20"/>
        <v/>
      </c>
      <c r="Y12" s="118" t="str">
        <f t="shared" si="20"/>
        <v/>
      </c>
      <c r="Z12" s="118" t="str">
        <f t="shared" si="20"/>
        <v/>
      </c>
      <c r="AA12" s="118" t="str">
        <f t="shared" si="20"/>
        <v/>
      </c>
      <c r="AB12" s="118" t="str">
        <f t="shared" si="20"/>
        <v/>
      </c>
      <c r="AC12" s="118" t="str">
        <f t="shared" si="20"/>
        <v/>
      </c>
      <c r="AD12" s="118" t="str">
        <f t="shared" si="20"/>
        <v/>
      </c>
      <c r="AE12" s="118" t="str">
        <f t="shared" si="20"/>
        <v/>
      </c>
      <c r="AF12" s="118" t="str">
        <f t="shared" si="20"/>
        <v/>
      </c>
      <c r="AG12" s="118" t="str">
        <f t="shared" si="20"/>
        <v/>
      </c>
      <c r="AH12" s="118" t="str">
        <f t="shared" si="20"/>
        <v/>
      </c>
      <c r="AI12" s="118" t="str">
        <f t="shared" si="20"/>
        <v/>
      </c>
      <c r="AJ12" s="118" t="str">
        <f t="shared" si="20"/>
        <v/>
      </c>
      <c r="AK12" s="118" t="str">
        <f t="shared" si="20"/>
        <v/>
      </c>
      <c r="AL12" s="118" t="str">
        <f t="shared" si="20"/>
        <v/>
      </c>
      <c r="AM12" s="118" t="str">
        <f t="shared" si="20"/>
        <v/>
      </c>
      <c r="AN12" s="118" t="str">
        <f t="shared" si="20"/>
        <v/>
      </c>
      <c r="AO12" s="118" t="str">
        <f t="shared" si="20"/>
        <v/>
      </c>
      <c r="AP12" s="118" t="str">
        <f t="shared" si="20"/>
        <v/>
      </c>
      <c r="AQ12" s="118" t="str">
        <f t="shared" si="20"/>
        <v/>
      </c>
      <c r="AR12" s="118" t="str">
        <f t="shared" si="20"/>
        <v/>
      </c>
      <c r="AS12" s="118" t="str">
        <f t="shared" si="20"/>
        <v/>
      </c>
      <c r="AT12" s="123">
        <f>IF(AT$6="","",IF(AT$3="Maior",iferror(VLOOKUP($R12,Capa!$A:$Z,AT$5,0),0),IF(ISERROR(1/VLOOKUP($R12,Capa!$A:$Z,AT$5,0)),0,1/VLOOKUP($R12,Capa!$A:$Z,AT$5,0))))</f>
        <v>1.607603153</v>
      </c>
      <c r="AU12" s="124">
        <f>IF(AU$6="","",IF(AU$3="Maior",iferror(VLOOKUP($R12,Capa!$A:$Z,AU$5,0),0),IF(ISERROR(1/VLOOKUP($R12,Capa!$A:$Z,AU$5,0)),0,1/VLOOKUP($R12,Capa!$A:$Z,AU$5,0))))</f>
        <v>0.1436507094</v>
      </c>
      <c r="AV12" s="124" t="str">
        <f>IF(AV$6="","",IF(AV$3="Maior",iferror(VLOOKUP($R12,Capa!$A:$Z,AV$5,0),0),IF(ISERROR(1/VLOOKUP($R12,Capa!$A:$Z,AV$5,0)),0,1/VLOOKUP($R12,Capa!$A:$Z,AV$5,0))))</f>
        <v/>
      </c>
      <c r="AW12" s="124" t="str">
        <f>IF(AW$6="","",IF(AW$3="Maior",iferror(VLOOKUP($R12,Capa!$A:$Z,AW$5,0),0),IF(ISERROR(1/VLOOKUP($R12,Capa!$A:$Z,AW$5,0)),0,1/VLOOKUP($R12,Capa!$A:$Z,AW$5,0))))</f>
        <v/>
      </c>
      <c r="AX12" s="124" t="str">
        <f>IF(AX$6="","",IF(AX$3="Maior",iferror(VLOOKUP($R12,Capa!$A:$Z,AX$5,0),0),IF(ISERROR(1/VLOOKUP($R12,Capa!$A:$Z,AX$5,0)),0,1/VLOOKUP($R12,Capa!$A:$Z,AX$5,0))))</f>
        <v/>
      </c>
      <c r="AY12" s="124" t="str">
        <f>IF(AY$6="","",IF(AY$3="Maior",iferror(VLOOKUP($R12,Capa!$A:$Z,AY$5,0),0),IF(ISERROR(1/VLOOKUP($R12,Capa!$A:$Z,AY$5,0)),0,1/VLOOKUP($R12,Capa!$A:$Z,AY$5,0))))</f>
        <v/>
      </c>
      <c r="AZ12" s="124" t="str">
        <f>IF(AZ$6="","",IF(AZ$3="Maior",iferror(VLOOKUP($R12,Capa!$A:$Z,AZ$5,0),0),IF(ISERROR(1/VLOOKUP($R12,Capa!$A:$Z,AZ$5,0)),0,1/VLOOKUP($R12,Capa!$A:$Z,AZ$5,0))))</f>
        <v/>
      </c>
      <c r="BA12" s="124" t="str">
        <f>IF(BA$6="","",IF(BA$3="Maior",iferror(VLOOKUP($R12,Capa!$A:$Z,BA$5,0),0),IF(ISERROR(1/VLOOKUP($R12,Capa!$A:$Z,BA$5,0)),0,1/VLOOKUP($R12,Capa!$A:$Z,BA$5,0))))</f>
        <v/>
      </c>
      <c r="BB12" s="124" t="str">
        <f>IF(BB$6="","",IF(BB$3="Maior",iferror(VLOOKUP($R12,Capa!$A:$Z,BB$5,0),0),IF(ISERROR(1/VLOOKUP($R12,Capa!$A:$Z,BB$5,0)),0,1/VLOOKUP($R12,Capa!$A:$Z,BB$5,0))))</f>
        <v/>
      </c>
      <c r="BC12" s="124" t="str">
        <f>IF(BC$6="","",IF(BC$3="Maior",iferror(VLOOKUP($R12,Capa!$A:$Z,BC$5,0),0),IF(ISERROR(1/VLOOKUP($R12,Capa!$A:$Z,BC$5,0)),0,1/VLOOKUP($R12,Capa!$A:$Z,BC$5,0))))</f>
        <v/>
      </c>
      <c r="BD12" s="124" t="str">
        <f>IF(BD$6="","",IF(BD$3="Maior",iferror(VLOOKUP($R12,Capa!$A:$Z,BD$5,0),0),IF(ISERROR(1/VLOOKUP($R12,Capa!$A:$Z,BD$5,0)),0,1/VLOOKUP($R12,Capa!$A:$Z,BD$5,0))))</f>
        <v/>
      </c>
      <c r="BE12" s="124" t="str">
        <f>IF(BE$6="","",IF(BE$3="Maior",iferror(VLOOKUP($R12,Capa!$A:$Z,BE$5,0),0),IF(ISERROR(1/VLOOKUP($R12,Capa!$A:$Z,BE$5,0)),0,1/VLOOKUP($R12,Capa!$A:$Z,BE$5,0))))</f>
        <v/>
      </c>
      <c r="BF12" s="124" t="str">
        <f>IF(BF$6="","",IF(BF$3="Maior",iferror(VLOOKUP($R12,Capa!$A:$Z,BF$5,0),0),IF(ISERROR(1/VLOOKUP($R12,Capa!$A:$Z,BF$5,0)),0,1/VLOOKUP($R12,Capa!$A:$Z,BF$5,0))))</f>
        <v/>
      </c>
      <c r="BG12" s="124" t="str">
        <f>IF(BG$6="","",IF(BG$3="Maior",iferror(VLOOKUP($R12,Capa!$A:$Z,BG$5,0),0),IF(ISERROR(1/VLOOKUP($R12,Capa!$A:$Z,BG$5,0)),0,1/VLOOKUP($R12,Capa!$A:$Z,BG$5,0))))</f>
        <v/>
      </c>
      <c r="BH12" s="124" t="str">
        <f>IF(BH$6="","",IF(BH$3="Maior",iferror(VLOOKUP($R12,Capa!$A:$Z,BH$5,0),0),IF(ISERROR(1/VLOOKUP($R12,Capa!$A:$Z,BH$5,0)),0,1/VLOOKUP($R12,Capa!$A:$Z,BH$5,0))))</f>
        <v/>
      </c>
      <c r="BI12" s="124" t="str">
        <f>IF(BI$6="","",IF(BI$3="Maior",iferror(VLOOKUP($R12,Capa!$A:$Z,BI$5,0),0),IF(ISERROR(1/VLOOKUP($R12,Capa!$A:$Z,BI$5,0)),0,1/VLOOKUP($R12,Capa!$A:$Z,BI$5,0))))</f>
        <v/>
      </c>
      <c r="BJ12" s="124" t="str">
        <f>IF(BJ$6="","",IF(BJ$3="Maior",iferror(VLOOKUP($R12,Capa!$A:$Z,BJ$5,0),0),IF(ISERROR(1/VLOOKUP($R12,Capa!$A:$Z,BJ$5,0)),0,1/VLOOKUP($R12,Capa!$A:$Z,BJ$5,0))))</f>
        <v/>
      </c>
      <c r="BK12" s="124" t="str">
        <f>IF(BK$6="","",IF(BK$3="Maior",iferror(VLOOKUP($R12,Capa!$A:$Z,BK$5,0),0),IF(ISERROR(1/VLOOKUP($R12,Capa!$A:$Z,BK$5,0)),0,1/VLOOKUP($R12,Capa!$A:$Z,BK$5,0))))</f>
        <v/>
      </c>
      <c r="BL12" s="124" t="str">
        <f>IF(BL$6="","",IF(BL$3="Maior",iferror(VLOOKUP($R12,Capa!$A:$Z,BL$5,0),0),IF(ISERROR(1/VLOOKUP($R12,Capa!$A:$Z,BL$5,0)),0,1/VLOOKUP($R12,Capa!$A:$Z,BL$5,0))))</f>
        <v/>
      </c>
      <c r="BM12" s="124" t="str">
        <f>IF(BM$6="","",IF(BM$3="Maior",iferror(VLOOKUP($R12,Capa!$A:$Z,BM$5,0),0),IF(ISERROR(1/VLOOKUP($R12,Capa!$A:$Z,BM$5,0)),0,1/VLOOKUP($R12,Capa!$A:$Z,BM$5,0))))</f>
        <v/>
      </c>
      <c r="BN12" s="124" t="str">
        <f>IF(BN$6="","",IF(BN$3="Maior",iferror(VLOOKUP($R12,Capa!$A:$Z,BN$5,0),0),IF(ISERROR(1/VLOOKUP($R12,Capa!$A:$Z,BN$5,0)),0,1/VLOOKUP($R12,Capa!$A:$Z,BN$5,0))))</f>
        <v/>
      </c>
      <c r="BO12" s="124" t="str">
        <f>IF(BO$6="","",IF(BO$3="Maior",iferror(VLOOKUP($R12,Capa!$A:$Z,BO$5,0),0),IF(ISERROR(1/VLOOKUP($R12,Capa!$A:$Z,BO$5,0)),0,1/VLOOKUP($R12,Capa!$A:$Z,BO$5,0))))</f>
        <v/>
      </c>
      <c r="BP12" s="124" t="str">
        <f>IF(BP$6="","",IF(BP$3="Maior",iferror(VLOOKUP($R12,Capa!$A:$Z,BP$5,0),0),IF(ISERROR(1/VLOOKUP($R12,Capa!$A:$Z,BP$5,0)),0,1/VLOOKUP($R12,Capa!$A:$Z,BP$5,0))))</f>
        <v/>
      </c>
      <c r="BQ12" s="124" t="str">
        <f>IF(BQ$6="","",IF(BQ$3="Maior",iferror(VLOOKUP($R12,Capa!$A:$Z,BQ$5,0),0),IF(ISERROR(1/VLOOKUP($R12,Capa!$A:$Z,BQ$5,0)),0,1/VLOOKUP($R12,Capa!$A:$Z,BQ$5,0))))</f>
        <v/>
      </c>
      <c r="BR12" s="125" t="str">
        <f>IF(BR$6="","",IF(BR$3="Maior",iferror(VLOOKUP($R12,Capa!$A:$Z,BR$5,0),0),IF(ISERROR(1/VLOOKUP($R12,Capa!$A:$Z,BR$5,0)),0,1/VLOOKUP($R12,Capa!$A:$Z,BR$5,0))))</f>
        <v/>
      </c>
      <c r="BS12" s="88"/>
    </row>
    <row r="13">
      <c r="G13" s="9"/>
      <c r="H13" s="7">
        <v>7.0</v>
      </c>
      <c r="I13" s="128" t="str">
        <f t="shared" si="7"/>
        <v>RBRP11</v>
      </c>
      <c r="J13" s="112" t="str">
        <f>VLOOKUP(I13,Capa!A:G,7,0)</f>
        <v>Híbrido</v>
      </c>
      <c r="K13" s="113">
        <f t="shared" si="8"/>
        <v>0.562498327</v>
      </c>
      <c r="L13" s="113">
        <f t="shared" si="9"/>
        <v>0.1038154807</v>
      </c>
      <c r="M13" s="113" t="str">
        <f t="shared" si="10"/>
        <v/>
      </c>
      <c r="N13" s="113" t="str">
        <f t="shared" si="11"/>
        <v/>
      </c>
      <c r="O13" s="114">
        <f t="shared" si="12"/>
        <v>1027133.71</v>
      </c>
      <c r="P13" s="9"/>
      <c r="Q13" s="9"/>
      <c r="R13" s="127" t="s">
        <v>33</v>
      </c>
      <c r="S13" s="116">
        <f t="shared" si="13"/>
        <v>1119.010514</v>
      </c>
      <c r="T13" s="117">
        <f>MID(VLOOKUP($R13,'Dados ClubeFII'!$A:$AU,23,0),3,100)/1</f>
        <v>815559.04</v>
      </c>
      <c r="U13" s="118">
        <f t="shared" si="14"/>
        <v>105.0105</v>
      </c>
      <c r="V13" s="118">
        <f t="shared" si="15"/>
        <v>14.000014</v>
      </c>
      <c r="W13" s="118" t="str">
        <f t="shared" ref="W13:AS13" si="21">IF(AV13="","", RANK(AV13,AV$7:AV$405,0))</f>
        <v/>
      </c>
      <c r="X13" s="118" t="str">
        <f t="shared" si="21"/>
        <v/>
      </c>
      <c r="Y13" s="118" t="str">
        <f t="shared" si="21"/>
        <v/>
      </c>
      <c r="Z13" s="118" t="str">
        <f t="shared" si="21"/>
        <v/>
      </c>
      <c r="AA13" s="118" t="str">
        <f t="shared" si="21"/>
        <v/>
      </c>
      <c r="AB13" s="118" t="str">
        <f t="shared" si="21"/>
        <v/>
      </c>
      <c r="AC13" s="118" t="str">
        <f t="shared" si="21"/>
        <v/>
      </c>
      <c r="AD13" s="118" t="str">
        <f t="shared" si="21"/>
        <v/>
      </c>
      <c r="AE13" s="118" t="str">
        <f t="shared" si="21"/>
        <v/>
      </c>
      <c r="AF13" s="118" t="str">
        <f t="shared" si="21"/>
        <v/>
      </c>
      <c r="AG13" s="118" t="str">
        <f t="shared" si="21"/>
        <v/>
      </c>
      <c r="AH13" s="118" t="str">
        <f t="shared" si="21"/>
        <v/>
      </c>
      <c r="AI13" s="118" t="str">
        <f t="shared" si="21"/>
        <v/>
      </c>
      <c r="AJ13" s="118" t="str">
        <f t="shared" si="21"/>
        <v/>
      </c>
      <c r="AK13" s="118" t="str">
        <f t="shared" si="21"/>
        <v/>
      </c>
      <c r="AL13" s="118" t="str">
        <f t="shared" si="21"/>
        <v/>
      </c>
      <c r="AM13" s="118" t="str">
        <f t="shared" si="21"/>
        <v/>
      </c>
      <c r="AN13" s="118" t="str">
        <f t="shared" si="21"/>
        <v/>
      </c>
      <c r="AO13" s="118" t="str">
        <f t="shared" si="21"/>
        <v/>
      </c>
      <c r="AP13" s="118" t="str">
        <f t="shared" si="21"/>
        <v/>
      </c>
      <c r="AQ13" s="118" t="str">
        <f t="shared" si="21"/>
        <v/>
      </c>
      <c r="AR13" s="118" t="str">
        <f t="shared" si="21"/>
        <v/>
      </c>
      <c r="AS13" s="118" t="str">
        <f t="shared" si="21"/>
        <v/>
      </c>
      <c r="AT13" s="123">
        <f>IF(AT$6="","",IF(AT$3="Maior",iferror(VLOOKUP($R13,Capa!$A:$Z,AT$5,0),0),IF(ISERROR(1/VLOOKUP($R13,Capa!$A:$Z,AT$5,0)),0,1/VLOOKUP($R13,Capa!$A:$Z,AT$5,0))))</f>
        <v>1.181255611</v>
      </c>
      <c r="AU13" s="124">
        <f>IF(AU$6="","",IF(AU$3="Maior",iferror(VLOOKUP($R13,Capa!$A:$Z,AU$5,0),0),IF(ISERROR(1/VLOOKUP($R13,Capa!$A:$Z,AU$5,0)),0,1/VLOOKUP($R13,Capa!$A:$Z,AU$5,0))))</f>
        <v>0.1567092123</v>
      </c>
      <c r="AV13" s="124" t="str">
        <f>IF(AV$6="","",IF(AV$3="Maior",iferror(VLOOKUP($R13,Capa!$A:$Z,AV$5,0),0),IF(ISERROR(1/VLOOKUP($R13,Capa!$A:$Z,AV$5,0)),0,1/VLOOKUP($R13,Capa!$A:$Z,AV$5,0))))</f>
        <v/>
      </c>
      <c r="AW13" s="124" t="str">
        <f>IF(AW$6="","",IF(AW$3="Maior",iferror(VLOOKUP($R13,Capa!$A:$Z,AW$5,0),0),IF(ISERROR(1/VLOOKUP($R13,Capa!$A:$Z,AW$5,0)),0,1/VLOOKUP($R13,Capa!$A:$Z,AW$5,0))))</f>
        <v/>
      </c>
      <c r="AX13" s="124" t="str">
        <f>IF(AX$6="","",IF(AX$3="Maior",iferror(VLOOKUP($R13,Capa!$A:$Z,AX$5,0),0),IF(ISERROR(1/VLOOKUP($R13,Capa!$A:$Z,AX$5,0)),0,1/VLOOKUP($R13,Capa!$A:$Z,AX$5,0))))</f>
        <v/>
      </c>
      <c r="AY13" s="124" t="str">
        <f>IF(AY$6="","",IF(AY$3="Maior",iferror(VLOOKUP($R13,Capa!$A:$Z,AY$5,0),0),IF(ISERROR(1/VLOOKUP($R13,Capa!$A:$Z,AY$5,0)),0,1/VLOOKUP($R13,Capa!$A:$Z,AY$5,0))))</f>
        <v/>
      </c>
      <c r="AZ13" s="124" t="str">
        <f>IF(AZ$6="","",IF(AZ$3="Maior",iferror(VLOOKUP($R13,Capa!$A:$Z,AZ$5,0),0),IF(ISERROR(1/VLOOKUP($R13,Capa!$A:$Z,AZ$5,0)),0,1/VLOOKUP($R13,Capa!$A:$Z,AZ$5,0))))</f>
        <v/>
      </c>
      <c r="BA13" s="124" t="str">
        <f>IF(BA$6="","",IF(BA$3="Maior",iferror(VLOOKUP($R13,Capa!$A:$Z,BA$5,0),0),IF(ISERROR(1/VLOOKUP($R13,Capa!$A:$Z,BA$5,0)),0,1/VLOOKUP($R13,Capa!$A:$Z,BA$5,0))))</f>
        <v/>
      </c>
      <c r="BB13" s="124" t="str">
        <f>IF(BB$6="","",IF(BB$3="Maior",iferror(VLOOKUP($R13,Capa!$A:$Z,BB$5,0),0),IF(ISERROR(1/VLOOKUP($R13,Capa!$A:$Z,BB$5,0)),0,1/VLOOKUP($R13,Capa!$A:$Z,BB$5,0))))</f>
        <v/>
      </c>
      <c r="BC13" s="124" t="str">
        <f>IF(BC$6="","",IF(BC$3="Maior",iferror(VLOOKUP($R13,Capa!$A:$Z,BC$5,0),0),IF(ISERROR(1/VLOOKUP($R13,Capa!$A:$Z,BC$5,0)),0,1/VLOOKUP($R13,Capa!$A:$Z,BC$5,0))))</f>
        <v/>
      </c>
      <c r="BD13" s="124" t="str">
        <f>IF(BD$6="","",IF(BD$3="Maior",iferror(VLOOKUP($R13,Capa!$A:$Z,BD$5,0),0),IF(ISERROR(1/VLOOKUP($R13,Capa!$A:$Z,BD$5,0)),0,1/VLOOKUP($R13,Capa!$A:$Z,BD$5,0))))</f>
        <v/>
      </c>
      <c r="BE13" s="124" t="str">
        <f>IF(BE$6="","",IF(BE$3="Maior",iferror(VLOOKUP($R13,Capa!$A:$Z,BE$5,0),0),IF(ISERROR(1/VLOOKUP($R13,Capa!$A:$Z,BE$5,0)),0,1/VLOOKUP($R13,Capa!$A:$Z,BE$5,0))))</f>
        <v/>
      </c>
      <c r="BF13" s="124" t="str">
        <f>IF(BF$6="","",IF(BF$3="Maior",iferror(VLOOKUP($R13,Capa!$A:$Z,BF$5,0),0),IF(ISERROR(1/VLOOKUP($R13,Capa!$A:$Z,BF$5,0)),0,1/VLOOKUP($R13,Capa!$A:$Z,BF$5,0))))</f>
        <v/>
      </c>
      <c r="BG13" s="124" t="str">
        <f>IF(BG$6="","",IF(BG$3="Maior",iferror(VLOOKUP($R13,Capa!$A:$Z,BG$5,0),0),IF(ISERROR(1/VLOOKUP($R13,Capa!$A:$Z,BG$5,0)),0,1/VLOOKUP($R13,Capa!$A:$Z,BG$5,0))))</f>
        <v/>
      </c>
      <c r="BH13" s="124" t="str">
        <f>IF(BH$6="","",IF(BH$3="Maior",iferror(VLOOKUP($R13,Capa!$A:$Z,BH$5,0),0),IF(ISERROR(1/VLOOKUP($R13,Capa!$A:$Z,BH$5,0)),0,1/VLOOKUP($R13,Capa!$A:$Z,BH$5,0))))</f>
        <v/>
      </c>
      <c r="BI13" s="124" t="str">
        <f>IF(BI$6="","",IF(BI$3="Maior",iferror(VLOOKUP($R13,Capa!$A:$Z,BI$5,0),0),IF(ISERROR(1/VLOOKUP($R13,Capa!$A:$Z,BI$5,0)),0,1/VLOOKUP($R13,Capa!$A:$Z,BI$5,0))))</f>
        <v/>
      </c>
      <c r="BJ13" s="124" t="str">
        <f>IF(BJ$6="","",IF(BJ$3="Maior",iferror(VLOOKUP($R13,Capa!$A:$Z,BJ$5,0),0),IF(ISERROR(1/VLOOKUP($R13,Capa!$A:$Z,BJ$5,0)),0,1/VLOOKUP($R13,Capa!$A:$Z,BJ$5,0))))</f>
        <v/>
      </c>
      <c r="BK13" s="124" t="str">
        <f>IF(BK$6="","",IF(BK$3="Maior",iferror(VLOOKUP($R13,Capa!$A:$Z,BK$5,0),0),IF(ISERROR(1/VLOOKUP($R13,Capa!$A:$Z,BK$5,0)),0,1/VLOOKUP($R13,Capa!$A:$Z,BK$5,0))))</f>
        <v/>
      </c>
      <c r="BL13" s="124" t="str">
        <f>IF(BL$6="","",IF(BL$3="Maior",iferror(VLOOKUP($R13,Capa!$A:$Z,BL$5,0),0),IF(ISERROR(1/VLOOKUP($R13,Capa!$A:$Z,BL$5,0)),0,1/VLOOKUP($R13,Capa!$A:$Z,BL$5,0))))</f>
        <v/>
      </c>
      <c r="BM13" s="124" t="str">
        <f>IF(BM$6="","",IF(BM$3="Maior",iferror(VLOOKUP($R13,Capa!$A:$Z,BM$5,0),0),IF(ISERROR(1/VLOOKUP($R13,Capa!$A:$Z,BM$5,0)),0,1/VLOOKUP($R13,Capa!$A:$Z,BM$5,0))))</f>
        <v/>
      </c>
      <c r="BN13" s="124" t="str">
        <f>IF(BN$6="","",IF(BN$3="Maior",iferror(VLOOKUP($R13,Capa!$A:$Z,BN$5,0),0),IF(ISERROR(1/VLOOKUP($R13,Capa!$A:$Z,BN$5,0)),0,1/VLOOKUP($R13,Capa!$A:$Z,BN$5,0))))</f>
        <v/>
      </c>
      <c r="BO13" s="124" t="str">
        <f>IF(BO$6="","",IF(BO$3="Maior",iferror(VLOOKUP($R13,Capa!$A:$Z,BO$5,0),0),IF(ISERROR(1/VLOOKUP($R13,Capa!$A:$Z,BO$5,0)),0,1/VLOOKUP($R13,Capa!$A:$Z,BO$5,0))))</f>
        <v/>
      </c>
      <c r="BP13" s="124" t="str">
        <f>IF(BP$6="","",IF(BP$3="Maior",iferror(VLOOKUP($R13,Capa!$A:$Z,BP$5,0),0),IF(ISERROR(1/VLOOKUP($R13,Capa!$A:$Z,BP$5,0)),0,1/VLOOKUP($R13,Capa!$A:$Z,BP$5,0))))</f>
        <v/>
      </c>
      <c r="BQ13" s="124" t="str">
        <f>IF(BQ$6="","",IF(BQ$3="Maior",iferror(VLOOKUP($R13,Capa!$A:$Z,BQ$5,0),0),IF(ISERROR(1/VLOOKUP($R13,Capa!$A:$Z,BQ$5,0)),0,1/VLOOKUP($R13,Capa!$A:$Z,BQ$5,0))))</f>
        <v/>
      </c>
      <c r="BR13" s="125" t="str">
        <f>IF(BR$6="","",IF(BR$3="Maior",iferror(VLOOKUP($R13,Capa!$A:$Z,BR$5,0),0),IF(ISERROR(1/VLOOKUP($R13,Capa!$A:$Z,BR$5,0)),0,1/VLOOKUP($R13,Capa!$A:$Z,BR$5,0))))</f>
        <v/>
      </c>
      <c r="BS13" s="88"/>
    </row>
    <row r="14">
      <c r="G14" s="9"/>
      <c r="H14" s="7">
        <v>8.0</v>
      </c>
      <c r="I14" s="111" t="str">
        <f t="shared" si="7"/>
        <v>TGAR11</v>
      </c>
      <c r="J14" s="112" t="str">
        <f>VLOOKUP(I14,Capa!A:G,7,0)</f>
        <v>Híbrido</v>
      </c>
      <c r="K14" s="113">
        <f t="shared" si="8"/>
        <v>0.8721994595</v>
      </c>
      <c r="L14" s="113">
        <f t="shared" si="9"/>
        <v>0.1512814925</v>
      </c>
      <c r="M14" s="113" t="str">
        <f t="shared" si="10"/>
        <v/>
      </c>
      <c r="N14" s="113" t="str">
        <f t="shared" si="11"/>
        <v/>
      </c>
      <c r="O14" s="114">
        <f t="shared" si="12"/>
        <v>3824791.46</v>
      </c>
      <c r="P14" s="9"/>
      <c r="Q14" s="9"/>
      <c r="R14" s="115" t="s">
        <v>32</v>
      </c>
      <c r="S14" s="116">
        <f t="shared" si="13"/>
        <v>166.016204</v>
      </c>
      <c r="T14" s="117">
        <f>MID(VLOOKUP($R14,'Dados ClubeFII'!$A:$AU,23,0),3,100)/1</f>
        <v>2248141.78</v>
      </c>
      <c r="U14" s="118">
        <f t="shared" si="14"/>
        <v>162.0162</v>
      </c>
      <c r="V14" s="118">
        <f t="shared" si="15"/>
        <v>4.000004</v>
      </c>
      <c r="W14" s="118" t="str">
        <f t="shared" ref="W14:AS14" si="22">IF(AV14="","", RANK(AV14,AV$7:AV$405,0))</f>
        <v/>
      </c>
      <c r="X14" s="118" t="str">
        <f t="shared" si="22"/>
        <v/>
      </c>
      <c r="Y14" s="118" t="str">
        <f t="shared" si="22"/>
        <v/>
      </c>
      <c r="Z14" s="118" t="str">
        <f t="shared" si="22"/>
        <v/>
      </c>
      <c r="AA14" s="118" t="str">
        <f t="shared" si="22"/>
        <v/>
      </c>
      <c r="AB14" s="118" t="str">
        <f t="shared" si="22"/>
        <v/>
      </c>
      <c r="AC14" s="118" t="str">
        <f t="shared" si="22"/>
        <v/>
      </c>
      <c r="AD14" s="118" t="str">
        <f t="shared" si="22"/>
        <v/>
      </c>
      <c r="AE14" s="118" t="str">
        <f t="shared" si="22"/>
        <v/>
      </c>
      <c r="AF14" s="118" t="str">
        <f t="shared" si="22"/>
        <v/>
      </c>
      <c r="AG14" s="118" t="str">
        <f t="shared" si="22"/>
        <v/>
      </c>
      <c r="AH14" s="118" t="str">
        <f t="shared" si="22"/>
        <v/>
      </c>
      <c r="AI14" s="118" t="str">
        <f t="shared" si="22"/>
        <v/>
      </c>
      <c r="AJ14" s="118" t="str">
        <f t="shared" si="22"/>
        <v/>
      </c>
      <c r="AK14" s="118" t="str">
        <f t="shared" si="22"/>
        <v/>
      </c>
      <c r="AL14" s="118" t="str">
        <f t="shared" si="22"/>
        <v/>
      </c>
      <c r="AM14" s="118" t="str">
        <f t="shared" si="22"/>
        <v/>
      </c>
      <c r="AN14" s="118" t="str">
        <f t="shared" si="22"/>
        <v/>
      </c>
      <c r="AO14" s="118" t="str">
        <f t="shared" si="22"/>
        <v/>
      </c>
      <c r="AP14" s="118" t="str">
        <f t="shared" si="22"/>
        <v/>
      </c>
      <c r="AQ14" s="118" t="str">
        <f t="shared" si="22"/>
        <v/>
      </c>
      <c r="AR14" s="118" t="str">
        <f t="shared" si="22"/>
        <v/>
      </c>
      <c r="AS14" s="118" t="str">
        <f t="shared" si="22"/>
        <v/>
      </c>
      <c r="AT14" s="123">
        <f>IF(AT$6="","",IF(AT$3="Maior",iferror(VLOOKUP($R14,Capa!$A:$Z,AT$5,0),0),IF(ISERROR(1/VLOOKUP($R14,Capa!$A:$Z,AT$5,0)),0,1/VLOOKUP($R14,Capa!$A:$Z,AT$5,0))))</f>
        <v>1.029902063</v>
      </c>
      <c r="AU14" s="124">
        <f>IF(AU$6="","",IF(AU$3="Maior",iferror(VLOOKUP($R14,Capa!$A:$Z,AU$5,0),0),IF(ISERROR(1/VLOOKUP($R14,Capa!$A:$Z,AU$5,0)),0,1/VLOOKUP($R14,Capa!$A:$Z,AU$5,0))))</f>
        <v>0.1741913202</v>
      </c>
      <c r="AV14" s="124" t="str">
        <f>IF(AV$6="","",IF(AV$3="Maior",iferror(VLOOKUP($R14,Capa!$A:$Z,AV$5,0),0),IF(ISERROR(1/VLOOKUP($R14,Capa!$A:$Z,AV$5,0)),0,1/VLOOKUP($R14,Capa!$A:$Z,AV$5,0))))</f>
        <v/>
      </c>
      <c r="AW14" s="124" t="str">
        <f>IF(AW$6="","",IF(AW$3="Maior",iferror(VLOOKUP($R14,Capa!$A:$Z,AW$5,0),0),IF(ISERROR(1/VLOOKUP($R14,Capa!$A:$Z,AW$5,0)),0,1/VLOOKUP($R14,Capa!$A:$Z,AW$5,0))))</f>
        <v/>
      </c>
      <c r="AX14" s="124" t="str">
        <f>IF(AX$6="","",IF(AX$3="Maior",iferror(VLOOKUP($R14,Capa!$A:$Z,AX$5,0),0),IF(ISERROR(1/VLOOKUP($R14,Capa!$A:$Z,AX$5,0)),0,1/VLOOKUP($R14,Capa!$A:$Z,AX$5,0))))</f>
        <v/>
      </c>
      <c r="AY14" s="124" t="str">
        <f>IF(AY$6="","",IF(AY$3="Maior",iferror(VLOOKUP($R14,Capa!$A:$Z,AY$5,0),0),IF(ISERROR(1/VLOOKUP($R14,Capa!$A:$Z,AY$5,0)),0,1/VLOOKUP($R14,Capa!$A:$Z,AY$5,0))))</f>
        <v/>
      </c>
      <c r="AZ14" s="124" t="str">
        <f>IF(AZ$6="","",IF(AZ$3="Maior",iferror(VLOOKUP($R14,Capa!$A:$Z,AZ$5,0),0),IF(ISERROR(1/VLOOKUP($R14,Capa!$A:$Z,AZ$5,0)),0,1/VLOOKUP($R14,Capa!$A:$Z,AZ$5,0))))</f>
        <v/>
      </c>
      <c r="BA14" s="124" t="str">
        <f>IF(BA$6="","",IF(BA$3="Maior",iferror(VLOOKUP($R14,Capa!$A:$Z,BA$5,0),0),IF(ISERROR(1/VLOOKUP($R14,Capa!$A:$Z,BA$5,0)),0,1/VLOOKUP($R14,Capa!$A:$Z,BA$5,0))))</f>
        <v/>
      </c>
      <c r="BB14" s="124" t="str">
        <f>IF(BB$6="","",IF(BB$3="Maior",iferror(VLOOKUP($R14,Capa!$A:$Z,BB$5,0),0),IF(ISERROR(1/VLOOKUP($R14,Capa!$A:$Z,BB$5,0)),0,1/VLOOKUP($R14,Capa!$A:$Z,BB$5,0))))</f>
        <v/>
      </c>
      <c r="BC14" s="124" t="str">
        <f>IF(BC$6="","",IF(BC$3="Maior",iferror(VLOOKUP($R14,Capa!$A:$Z,BC$5,0),0),IF(ISERROR(1/VLOOKUP($R14,Capa!$A:$Z,BC$5,0)),0,1/VLOOKUP($R14,Capa!$A:$Z,BC$5,0))))</f>
        <v/>
      </c>
      <c r="BD14" s="124" t="str">
        <f>IF(BD$6="","",IF(BD$3="Maior",iferror(VLOOKUP($R14,Capa!$A:$Z,BD$5,0),0),IF(ISERROR(1/VLOOKUP($R14,Capa!$A:$Z,BD$5,0)),0,1/VLOOKUP($R14,Capa!$A:$Z,BD$5,0))))</f>
        <v/>
      </c>
      <c r="BE14" s="124" t="str">
        <f>IF(BE$6="","",IF(BE$3="Maior",iferror(VLOOKUP($R14,Capa!$A:$Z,BE$5,0),0),IF(ISERROR(1/VLOOKUP($R14,Capa!$A:$Z,BE$5,0)),0,1/VLOOKUP($R14,Capa!$A:$Z,BE$5,0))))</f>
        <v/>
      </c>
      <c r="BF14" s="124" t="str">
        <f>IF(BF$6="","",IF(BF$3="Maior",iferror(VLOOKUP($R14,Capa!$A:$Z,BF$5,0),0),IF(ISERROR(1/VLOOKUP($R14,Capa!$A:$Z,BF$5,0)),0,1/VLOOKUP($R14,Capa!$A:$Z,BF$5,0))))</f>
        <v/>
      </c>
      <c r="BG14" s="124" t="str">
        <f>IF(BG$6="","",IF(BG$3="Maior",iferror(VLOOKUP($R14,Capa!$A:$Z,BG$5,0),0),IF(ISERROR(1/VLOOKUP($R14,Capa!$A:$Z,BG$5,0)),0,1/VLOOKUP($R14,Capa!$A:$Z,BG$5,0))))</f>
        <v/>
      </c>
      <c r="BH14" s="124" t="str">
        <f>IF(BH$6="","",IF(BH$3="Maior",iferror(VLOOKUP($R14,Capa!$A:$Z,BH$5,0),0),IF(ISERROR(1/VLOOKUP($R14,Capa!$A:$Z,BH$5,0)),0,1/VLOOKUP($R14,Capa!$A:$Z,BH$5,0))))</f>
        <v/>
      </c>
      <c r="BI14" s="124" t="str">
        <f>IF(BI$6="","",IF(BI$3="Maior",iferror(VLOOKUP($R14,Capa!$A:$Z,BI$5,0),0),IF(ISERROR(1/VLOOKUP($R14,Capa!$A:$Z,BI$5,0)),0,1/VLOOKUP($R14,Capa!$A:$Z,BI$5,0))))</f>
        <v/>
      </c>
      <c r="BJ14" s="124" t="str">
        <f>IF(BJ$6="","",IF(BJ$3="Maior",iferror(VLOOKUP($R14,Capa!$A:$Z,BJ$5,0),0),IF(ISERROR(1/VLOOKUP($R14,Capa!$A:$Z,BJ$5,0)),0,1/VLOOKUP($R14,Capa!$A:$Z,BJ$5,0))))</f>
        <v/>
      </c>
      <c r="BK14" s="124" t="str">
        <f>IF(BK$6="","",IF(BK$3="Maior",iferror(VLOOKUP($R14,Capa!$A:$Z,BK$5,0),0),IF(ISERROR(1/VLOOKUP($R14,Capa!$A:$Z,BK$5,0)),0,1/VLOOKUP($R14,Capa!$A:$Z,BK$5,0))))</f>
        <v/>
      </c>
      <c r="BL14" s="124" t="str">
        <f>IF(BL$6="","",IF(BL$3="Maior",iferror(VLOOKUP($R14,Capa!$A:$Z,BL$5,0),0),IF(ISERROR(1/VLOOKUP($R14,Capa!$A:$Z,BL$5,0)),0,1/VLOOKUP($R14,Capa!$A:$Z,BL$5,0))))</f>
        <v/>
      </c>
      <c r="BM14" s="124" t="str">
        <f>IF(BM$6="","",IF(BM$3="Maior",iferror(VLOOKUP($R14,Capa!$A:$Z,BM$5,0),0),IF(ISERROR(1/VLOOKUP($R14,Capa!$A:$Z,BM$5,0)),0,1/VLOOKUP($R14,Capa!$A:$Z,BM$5,0))))</f>
        <v/>
      </c>
      <c r="BN14" s="124" t="str">
        <f>IF(BN$6="","",IF(BN$3="Maior",iferror(VLOOKUP($R14,Capa!$A:$Z,BN$5,0),0),IF(ISERROR(1/VLOOKUP($R14,Capa!$A:$Z,BN$5,0)),0,1/VLOOKUP($R14,Capa!$A:$Z,BN$5,0))))</f>
        <v/>
      </c>
      <c r="BO14" s="124" t="str">
        <f>IF(BO$6="","",IF(BO$3="Maior",iferror(VLOOKUP($R14,Capa!$A:$Z,BO$5,0),0),IF(ISERROR(1/VLOOKUP($R14,Capa!$A:$Z,BO$5,0)),0,1/VLOOKUP($R14,Capa!$A:$Z,BO$5,0))))</f>
        <v/>
      </c>
      <c r="BP14" s="124" t="str">
        <f>IF(BP$6="","",IF(BP$3="Maior",iferror(VLOOKUP($R14,Capa!$A:$Z,BP$5,0),0),IF(ISERROR(1/VLOOKUP($R14,Capa!$A:$Z,BP$5,0)),0,1/VLOOKUP($R14,Capa!$A:$Z,BP$5,0))))</f>
        <v/>
      </c>
      <c r="BQ14" s="124" t="str">
        <f>IF(BQ$6="","",IF(BQ$3="Maior",iferror(VLOOKUP($R14,Capa!$A:$Z,BQ$5,0),0),IF(ISERROR(1/VLOOKUP($R14,Capa!$A:$Z,BQ$5,0)),0,1/VLOOKUP($R14,Capa!$A:$Z,BQ$5,0))))</f>
        <v/>
      </c>
      <c r="BR14" s="125" t="str">
        <f>IF(BR$6="","",IF(BR$3="Maior",iferror(VLOOKUP($R14,Capa!$A:$Z,BR$5,0),0),IF(ISERROR(1/VLOOKUP($R14,Capa!$A:$Z,BR$5,0)),0,1/VLOOKUP($R14,Capa!$A:$Z,BR$5,0))))</f>
        <v/>
      </c>
      <c r="BS14" s="88"/>
    </row>
    <row r="15">
      <c r="G15" s="9"/>
      <c r="H15" s="7">
        <v>9.0</v>
      </c>
      <c r="I15" s="111" t="str">
        <f t="shared" si="7"/>
        <v>BBPO11</v>
      </c>
      <c r="J15" s="112" t="str">
        <f>VLOOKUP(I15,Capa!A:G,7,0)</f>
        <v>Agencias Bancárias</v>
      </c>
      <c r="K15" s="113">
        <f t="shared" si="8"/>
        <v>0.8116875373</v>
      </c>
      <c r="L15" s="113">
        <f t="shared" si="9"/>
        <v>0.1275229577</v>
      </c>
      <c r="M15" s="113" t="str">
        <f t="shared" si="10"/>
        <v/>
      </c>
      <c r="N15" s="113" t="str">
        <f t="shared" si="11"/>
        <v/>
      </c>
      <c r="O15" s="114">
        <f t="shared" si="12"/>
        <v>1396651.6</v>
      </c>
      <c r="P15" s="9"/>
      <c r="Q15" s="9"/>
      <c r="R15" s="115" t="s">
        <v>115</v>
      </c>
      <c r="S15" s="116">
        <f t="shared" si="13"/>
        <v>1193.004945</v>
      </c>
      <c r="T15" s="117">
        <f>MID(VLOOKUP($R15,'Dados ClubeFII'!$A:$AU,23,0),3,100)/1</f>
        <v>81042.17</v>
      </c>
      <c r="U15" s="118">
        <f t="shared" si="14"/>
        <v>48.0048</v>
      </c>
      <c r="V15" s="118">
        <f t="shared" si="15"/>
        <v>145.000145</v>
      </c>
      <c r="W15" s="118" t="str">
        <f t="shared" ref="W15:AS15" si="23">IF(AV15="","", RANK(AV15,AV$7:AV$405,0))</f>
        <v/>
      </c>
      <c r="X15" s="118" t="str">
        <f t="shared" si="23"/>
        <v/>
      </c>
      <c r="Y15" s="118" t="str">
        <f t="shared" si="23"/>
        <v/>
      </c>
      <c r="Z15" s="118" t="str">
        <f t="shared" si="23"/>
        <v/>
      </c>
      <c r="AA15" s="118" t="str">
        <f t="shared" si="23"/>
        <v/>
      </c>
      <c r="AB15" s="118" t="str">
        <f t="shared" si="23"/>
        <v/>
      </c>
      <c r="AC15" s="118" t="str">
        <f t="shared" si="23"/>
        <v/>
      </c>
      <c r="AD15" s="118" t="str">
        <f t="shared" si="23"/>
        <v/>
      </c>
      <c r="AE15" s="118" t="str">
        <f t="shared" si="23"/>
        <v/>
      </c>
      <c r="AF15" s="118" t="str">
        <f t="shared" si="23"/>
        <v/>
      </c>
      <c r="AG15" s="118" t="str">
        <f t="shared" si="23"/>
        <v/>
      </c>
      <c r="AH15" s="118" t="str">
        <f t="shared" si="23"/>
        <v/>
      </c>
      <c r="AI15" s="118" t="str">
        <f t="shared" si="23"/>
        <v/>
      </c>
      <c r="AJ15" s="118" t="str">
        <f t="shared" si="23"/>
        <v/>
      </c>
      <c r="AK15" s="118" t="str">
        <f t="shared" si="23"/>
        <v/>
      </c>
      <c r="AL15" s="118" t="str">
        <f t="shared" si="23"/>
        <v/>
      </c>
      <c r="AM15" s="118" t="str">
        <f t="shared" si="23"/>
        <v/>
      </c>
      <c r="AN15" s="118" t="str">
        <f t="shared" si="23"/>
        <v/>
      </c>
      <c r="AO15" s="118" t="str">
        <f t="shared" si="23"/>
        <v/>
      </c>
      <c r="AP15" s="118" t="str">
        <f t="shared" si="23"/>
        <v/>
      </c>
      <c r="AQ15" s="118" t="str">
        <f t="shared" si="23"/>
        <v/>
      </c>
      <c r="AR15" s="118" t="str">
        <f t="shared" si="23"/>
        <v/>
      </c>
      <c r="AS15" s="118" t="str">
        <f t="shared" si="23"/>
        <v/>
      </c>
      <c r="AT15" s="123">
        <f>IF(AT$6="","",IF(AT$3="Maior",iferror(VLOOKUP($R15,Capa!$A:$Z,AT$5,0),0),IF(ISERROR(1/VLOOKUP($R15,Capa!$A:$Z,AT$5,0)),0,1/VLOOKUP($R15,Capa!$A:$Z,AT$5,0))))</f>
        <v>1.428212511</v>
      </c>
      <c r="AU15" s="124">
        <f>IF(AU$6="","",IF(AU$3="Maior",iferror(VLOOKUP($R15,Capa!$A:$Z,AU$5,0),0),IF(ISERROR(1/VLOOKUP($R15,Capa!$A:$Z,AU$5,0)),0,1/VLOOKUP($R15,Capa!$A:$Z,AU$5,0))))</f>
        <v>0.08610271374</v>
      </c>
      <c r="AV15" s="124" t="str">
        <f>IF(AV$6="","",IF(AV$3="Maior",iferror(VLOOKUP($R15,Capa!$A:$Z,AV$5,0),0),IF(ISERROR(1/VLOOKUP($R15,Capa!$A:$Z,AV$5,0)),0,1/VLOOKUP($R15,Capa!$A:$Z,AV$5,0))))</f>
        <v/>
      </c>
      <c r="AW15" s="124" t="str">
        <f>IF(AW$6="","",IF(AW$3="Maior",iferror(VLOOKUP($R15,Capa!$A:$Z,AW$5,0),0),IF(ISERROR(1/VLOOKUP($R15,Capa!$A:$Z,AW$5,0)),0,1/VLOOKUP($R15,Capa!$A:$Z,AW$5,0))))</f>
        <v/>
      </c>
      <c r="AX15" s="124" t="str">
        <f>IF(AX$6="","",IF(AX$3="Maior",iferror(VLOOKUP($R15,Capa!$A:$Z,AX$5,0),0),IF(ISERROR(1/VLOOKUP($R15,Capa!$A:$Z,AX$5,0)),0,1/VLOOKUP($R15,Capa!$A:$Z,AX$5,0))))</f>
        <v/>
      </c>
      <c r="AY15" s="124" t="str">
        <f>IF(AY$6="","",IF(AY$3="Maior",iferror(VLOOKUP($R15,Capa!$A:$Z,AY$5,0),0),IF(ISERROR(1/VLOOKUP($R15,Capa!$A:$Z,AY$5,0)),0,1/VLOOKUP($R15,Capa!$A:$Z,AY$5,0))))</f>
        <v/>
      </c>
      <c r="AZ15" s="124" t="str">
        <f>IF(AZ$6="","",IF(AZ$3="Maior",iferror(VLOOKUP($R15,Capa!$A:$Z,AZ$5,0),0),IF(ISERROR(1/VLOOKUP($R15,Capa!$A:$Z,AZ$5,0)),0,1/VLOOKUP($R15,Capa!$A:$Z,AZ$5,0))))</f>
        <v/>
      </c>
      <c r="BA15" s="124" t="str">
        <f>IF(BA$6="","",IF(BA$3="Maior",iferror(VLOOKUP($R15,Capa!$A:$Z,BA$5,0),0),IF(ISERROR(1/VLOOKUP($R15,Capa!$A:$Z,BA$5,0)),0,1/VLOOKUP($R15,Capa!$A:$Z,BA$5,0))))</f>
        <v/>
      </c>
      <c r="BB15" s="124" t="str">
        <f>IF(BB$6="","",IF(BB$3="Maior",iferror(VLOOKUP($R15,Capa!$A:$Z,BB$5,0),0),IF(ISERROR(1/VLOOKUP($R15,Capa!$A:$Z,BB$5,0)),0,1/VLOOKUP($R15,Capa!$A:$Z,BB$5,0))))</f>
        <v/>
      </c>
      <c r="BC15" s="124" t="str">
        <f>IF(BC$6="","",IF(BC$3="Maior",iferror(VLOOKUP($R15,Capa!$A:$Z,BC$5,0),0),IF(ISERROR(1/VLOOKUP($R15,Capa!$A:$Z,BC$5,0)),0,1/VLOOKUP($R15,Capa!$A:$Z,BC$5,0))))</f>
        <v/>
      </c>
      <c r="BD15" s="124" t="str">
        <f>IF(BD$6="","",IF(BD$3="Maior",iferror(VLOOKUP($R15,Capa!$A:$Z,BD$5,0),0),IF(ISERROR(1/VLOOKUP($R15,Capa!$A:$Z,BD$5,0)),0,1/VLOOKUP($R15,Capa!$A:$Z,BD$5,0))))</f>
        <v/>
      </c>
      <c r="BE15" s="124" t="str">
        <f>IF(BE$6="","",IF(BE$3="Maior",iferror(VLOOKUP($R15,Capa!$A:$Z,BE$5,0),0),IF(ISERROR(1/VLOOKUP($R15,Capa!$A:$Z,BE$5,0)),0,1/VLOOKUP($R15,Capa!$A:$Z,BE$5,0))))</f>
        <v/>
      </c>
      <c r="BF15" s="124" t="str">
        <f>IF(BF$6="","",IF(BF$3="Maior",iferror(VLOOKUP($R15,Capa!$A:$Z,BF$5,0),0),IF(ISERROR(1/VLOOKUP($R15,Capa!$A:$Z,BF$5,0)),0,1/VLOOKUP($R15,Capa!$A:$Z,BF$5,0))))</f>
        <v/>
      </c>
      <c r="BG15" s="124" t="str">
        <f>IF(BG$6="","",IF(BG$3="Maior",iferror(VLOOKUP($R15,Capa!$A:$Z,BG$5,0),0),IF(ISERROR(1/VLOOKUP($R15,Capa!$A:$Z,BG$5,0)),0,1/VLOOKUP($R15,Capa!$A:$Z,BG$5,0))))</f>
        <v/>
      </c>
      <c r="BH15" s="124" t="str">
        <f>IF(BH$6="","",IF(BH$3="Maior",iferror(VLOOKUP($R15,Capa!$A:$Z,BH$5,0),0),IF(ISERROR(1/VLOOKUP($R15,Capa!$A:$Z,BH$5,0)),0,1/VLOOKUP($R15,Capa!$A:$Z,BH$5,0))))</f>
        <v/>
      </c>
      <c r="BI15" s="124" t="str">
        <f>IF(BI$6="","",IF(BI$3="Maior",iferror(VLOOKUP($R15,Capa!$A:$Z,BI$5,0),0),IF(ISERROR(1/VLOOKUP($R15,Capa!$A:$Z,BI$5,0)),0,1/VLOOKUP($R15,Capa!$A:$Z,BI$5,0))))</f>
        <v/>
      </c>
      <c r="BJ15" s="124" t="str">
        <f>IF(BJ$6="","",IF(BJ$3="Maior",iferror(VLOOKUP($R15,Capa!$A:$Z,BJ$5,0),0),IF(ISERROR(1/VLOOKUP($R15,Capa!$A:$Z,BJ$5,0)),0,1/VLOOKUP($R15,Capa!$A:$Z,BJ$5,0))))</f>
        <v/>
      </c>
      <c r="BK15" s="124" t="str">
        <f>IF(BK$6="","",IF(BK$3="Maior",iferror(VLOOKUP($R15,Capa!$A:$Z,BK$5,0),0),IF(ISERROR(1/VLOOKUP($R15,Capa!$A:$Z,BK$5,0)),0,1/VLOOKUP($R15,Capa!$A:$Z,BK$5,0))))</f>
        <v/>
      </c>
      <c r="BL15" s="124" t="str">
        <f>IF(BL$6="","",IF(BL$3="Maior",iferror(VLOOKUP($R15,Capa!$A:$Z,BL$5,0),0),IF(ISERROR(1/VLOOKUP($R15,Capa!$A:$Z,BL$5,0)),0,1/VLOOKUP($R15,Capa!$A:$Z,BL$5,0))))</f>
        <v/>
      </c>
      <c r="BM15" s="124" t="str">
        <f>IF(BM$6="","",IF(BM$3="Maior",iferror(VLOOKUP($R15,Capa!$A:$Z,BM$5,0),0),IF(ISERROR(1/VLOOKUP($R15,Capa!$A:$Z,BM$5,0)),0,1/VLOOKUP($R15,Capa!$A:$Z,BM$5,0))))</f>
        <v/>
      </c>
      <c r="BN15" s="124" t="str">
        <f>IF(BN$6="","",IF(BN$3="Maior",iferror(VLOOKUP($R15,Capa!$A:$Z,BN$5,0),0),IF(ISERROR(1/VLOOKUP($R15,Capa!$A:$Z,BN$5,0)),0,1/VLOOKUP($R15,Capa!$A:$Z,BN$5,0))))</f>
        <v/>
      </c>
      <c r="BO15" s="124" t="str">
        <f>IF(BO$6="","",IF(BO$3="Maior",iferror(VLOOKUP($R15,Capa!$A:$Z,BO$5,0),0),IF(ISERROR(1/VLOOKUP($R15,Capa!$A:$Z,BO$5,0)),0,1/VLOOKUP($R15,Capa!$A:$Z,BO$5,0))))</f>
        <v/>
      </c>
      <c r="BP15" s="124" t="str">
        <f>IF(BP$6="","",IF(BP$3="Maior",iferror(VLOOKUP($R15,Capa!$A:$Z,BP$5,0),0),IF(ISERROR(1/VLOOKUP($R15,Capa!$A:$Z,BP$5,0)),0,1/VLOOKUP($R15,Capa!$A:$Z,BP$5,0))))</f>
        <v/>
      </c>
      <c r="BQ15" s="124" t="str">
        <f>IF(BQ$6="","",IF(BQ$3="Maior",iferror(VLOOKUP($R15,Capa!$A:$Z,BQ$5,0),0),IF(ISERROR(1/VLOOKUP($R15,Capa!$A:$Z,BQ$5,0)),0,1/VLOOKUP($R15,Capa!$A:$Z,BQ$5,0))))</f>
        <v/>
      </c>
      <c r="BR15" s="125" t="str">
        <f>IF(BR$6="","",IF(BR$3="Maior",iferror(VLOOKUP($R15,Capa!$A:$Z,BR$5,0),0),IF(ISERROR(1/VLOOKUP($R15,Capa!$A:$Z,BR$5,0)),0,1/VLOOKUP($R15,Capa!$A:$Z,BR$5,0))))</f>
        <v/>
      </c>
      <c r="BS15" s="88"/>
    </row>
    <row r="16">
      <c r="G16" s="9"/>
      <c r="H16" s="7">
        <v>10.0</v>
      </c>
      <c r="I16" s="129" t="str">
        <f t="shared" si="7"/>
        <v>RECR11</v>
      </c>
      <c r="J16" s="112" t="str">
        <f>VLOOKUP(I16,Capa!A:G,7,0)</f>
        <v>Recebíveis Imobiliários</v>
      </c>
      <c r="K16" s="113">
        <f t="shared" si="8"/>
        <v>0.856869773</v>
      </c>
      <c r="L16" s="113">
        <f t="shared" si="9"/>
        <v>0.1451810036</v>
      </c>
      <c r="M16" s="113" t="str">
        <f t="shared" si="10"/>
        <v/>
      </c>
      <c r="N16" s="113" t="str">
        <f t="shared" si="11"/>
        <v/>
      </c>
      <c r="O16" s="114">
        <f t="shared" si="12"/>
        <v>3627521.51</v>
      </c>
      <c r="P16" s="9"/>
      <c r="Q16" s="9"/>
      <c r="R16" s="127" t="s">
        <v>35</v>
      </c>
      <c r="S16" s="116">
        <f t="shared" si="13"/>
        <v>1067.003433</v>
      </c>
      <c r="T16" s="117">
        <f>MID(VLOOKUP($R16,'Dados ClubeFII'!$A:$AU,23,0),3,100)/1</f>
        <v>936.25</v>
      </c>
      <c r="U16" s="118">
        <f t="shared" si="14"/>
        <v>34.0034</v>
      </c>
      <c r="V16" s="118">
        <f t="shared" si="15"/>
        <v>33.000033</v>
      </c>
      <c r="W16" s="118" t="str">
        <f t="shared" ref="W16:AS16" si="24">IF(AV16="","", RANK(AV16,AV$7:AV$405,0))</f>
        <v/>
      </c>
      <c r="X16" s="118" t="str">
        <f t="shared" si="24"/>
        <v/>
      </c>
      <c r="Y16" s="118" t="str">
        <f t="shared" si="24"/>
        <v/>
      </c>
      <c r="Z16" s="118" t="str">
        <f t="shared" si="24"/>
        <v/>
      </c>
      <c r="AA16" s="118" t="str">
        <f t="shared" si="24"/>
        <v/>
      </c>
      <c r="AB16" s="118" t="str">
        <f t="shared" si="24"/>
        <v/>
      </c>
      <c r="AC16" s="118" t="str">
        <f t="shared" si="24"/>
        <v/>
      </c>
      <c r="AD16" s="118" t="str">
        <f t="shared" si="24"/>
        <v/>
      </c>
      <c r="AE16" s="118" t="str">
        <f t="shared" si="24"/>
        <v/>
      </c>
      <c r="AF16" s="118" t="str">
        <f t="shared" si="24"/>
        <v/>
      </c>
      <c r="AG16" s="118" t="str">
        <f t="shared" si="24"/>
        <v/>
      </c>
      <c r="AH16" s="118" t="str">
        <f t="shared" si="24"/>
        <v/>
      </c>
      <c r="AI16" s="118" t="str">
        <f t="shared" si="24"/>
        <v/>
      </c>
      <c r="AJ16" s="118" t="str">
        <f t="shared" si="24"/>
        <v/>
      </c>
      <c r="AK16" s="118" t="str">
        <f t="shared" si="24"/>
        <v/>
      </c>
      <c r="AL16" s="118" t="str">
        <f t="shared" si="24"/>
        <v/>
      </c>
      <c r="AM16" s="118" t="str">
        <f t="shared" si="24"/>
        <v/>
      </c>
      <c r="AN16" s="118" t="str">
        <f t="shared" si="24"/>
        <v/>
      </c>
      <c r="AO16" s="118" t="str">
        <f t="shared" si="24"/>
        <v/>
      </c>
      <c r="AP16" s="118" t="str">
        <f t="shared" si="24"/>
        <v/>
      </c>
      <c r="AQ16" s="118" t="str">
        <f t="shared" si="24"/>
        <v/>
      </c>
      <c r="AR16" s="118" t="str">
        <f t="shared" si="24"/>
        <v/>
      </c>
      <c r="AS16" s="118" t="str">
        <f t="shared" si="24"/>
        <v/>
      </c>
      <c r="AT16" s="123">
        <f>IF(AT$6="","",IF(AT$3="Maior",iferror(VLOOKUP($R16,Capa!$A:$Z,AT$5,0),0),IF(ISERROR(1/VLOOKUP($R16,Capa!$A:$Z,AT$5,0)),0,1/VLOOKUP($R16,Capa!$A:$Z,AT$5,0))))</f>
        <v>1.587380952</v>
      </c>
      <c r="AU16" s="124">
        <f>IF(AU$6="","",IF(AU$3="Maior",iferror(VLOOKUP($R16,Capa!$A:$Z,AU$5,0),0),IF(ISERROR(1/VLOOKUP($R16,Capa!$A:$Z,AU$5,0)),0,1/VLOOKUP($R16,Capa!$A:$Z,AU$5,0))))</f>
        <v>0.1468726564</v>
      </c>
      <c r="AV16" s="124" t="str">
        <f>IF(AV$6="","",IF(AV$3="Maior",iferror(VLOOKUP($R16,Capa!$A:$Z,AV$5,0),0),IF(ISERROR(1/VLOOKUP($R16,Capa!$A:$Z,AV$5,0)),0,1/VLOOKUP($R16,Capa!$A:$Z,AV$5,0))))</f>
        <v/>
      </c>
      <c r="AW16" s="124" t="str">
        <f>IF(AW$6="","",IF(AW$3="Maior",iferror(VLOOKUP($R16,Capa!$A:$Z,AW$5,0),0),IF(ISERROR(1/VLOOKUP($R16,Capa!$A:$Z,AW$5,0)),0,1/VLOOKUP($R16,Capa!$A:$Z,AW$5,0))))</f>
        <v/>
      </c>
      <c r="AX16" s="124" t="str">
        <f>IF(AX$6="","",IF(AX$3="Maior",iferror(VLOOKUP($R16,Capa!$A:$Z,AX$5,0),0),IF(ISERROR(1/VLOOKUP($R16,Capa!$A:$Z,AX$5,0)),0,1/VLOOKUP($R16,Capa!$A:$Z,AX$5,0))))</f>
        <v/>
      </c>
      <c r="AY16" s="124" t="str">
        <f>IF(AY$6="","",IF(AY$3="Maior",iferror(VLOOKUP($R16,Capa!$A:$Z,AY$5,0),0),IF(ISERROR(1/VLOOKUP($R16,Capa!$A:$Z,AY$5,0)),0,1/VLOOKUP($R16,Capa!$A:$Z,AY$5,0))))</f>
        <v/>
      </c>
      <c r="AZ16" s="124" t="str">
        <f>IF(AZ$6="","",IF(AZ$3="Maior",iferror(VLOOKUP($R16,Capa!$A:$Z,AZ$5,0),0),IF(ISERROR(1/VLOOKUP($R16,Capa!$A:$Z,AZ$5,0)),0,1/VLOOKUP($R16,Capa!$A:$Z,AZ$5,0))))</f>
        <v/>
      </c>
      <c r="BA16" s="124" t="str">
        <f>IF(BA$6="","",IF(BA$3="Maior",iferror(VLOOKUP($R16,Capa!$A:$Z,BA$5,0),0),IF(ISERROR(1/VLOOKUP($R16,Capa!$A:$Z,BA$5,0)),0,1/VLOOKUP($R16,Capa!$A:$Z,BA$5,0))))</f>
        <v/>
      </c>
      <c r="BB16" s="124" t="str">
        <f>IF(BB$6="","",IF(BB$3="Maior",iferror(VLOOKUP($R16,Capa!$A:$Z,BB$5,0),0),IF(ISERROR(1/VLOOKUP($R16,Capa!$A:$Z,BB$5,0)),0,1/VLOOKUP($R16,Capa!$A:$Z,BB$5,0))))</f>
        <v/>
      </c>
      <c r="BC16" s="124" t="str">
        <f>IF(BC$6="","",IF(BC$3="Maior",iferror(VLOOKUP($R16,Capa!$A:$Z,BC$5,0),0),IF(ISERROR(1/VLOOKUP($R16,Capa!$A:$Z,BC$5,0)),0,1/VLOOKUP($R16,Capa!$A:$Z,BC$5,0))))</f>
        <v/>
      </c>
      <c r="BD16" s="124" t="str">
        <f>IF(BD$6="","",IF(BD$3="Maior",iferror(VLOOKUP($R16,Capa!$A:$Z,BD$5,0),0),IF(ISERROR(1/VLOOKUP($R16,Capa!$A:$Z,BD$5,0)),0,1/VLOOKUP($R16,Capa!$A:$Z,BD$5,0))))</f>
        <v/>
      </c>
      <c r="BE16" s="124" t="str">
        <f>IF(BE$6="","",IF(BE$3="Maior",iferror(VLOOKUP($R16,Capa!$A:$Z,BE$5,0),0),IF(ISERROR(1/VLOOKUP($R16,Capa!$A:$Z,BE$5,0)),0,1/VLOOKUP($R16,Capa!$A:$Z,BE$5,0))))</f>
        <v/>
      </c>
      <c r="BF16" s="124" t="str">
        <f>IF(BF$6="","",IF(BF$3="Maior",iferror(VLOOKUP($R16,Capa!$A:$Z,BF$5,0),0),IF(ISERROR(1/VLOOKUP($R16,Capa!$A:$Z,BF$5,0)),0,1/VLOOKUP($R16,Capa!$A:$Z,BF$5,0))))</f>
        <v/>
      </c>
      <c r="BG16" s="124" t="str">
        <f>IF(BG$6="","",IF(BG$3="Maior",iferror(VLOOKUP($R16,Capa!$A:$Z,BG$5,0),0),IF(ISERROR(1/VLOOKUP($R16,Capa!$A:$Z,BG$5,0)),0,1/VLOOKUP($R16,Capa!$A:$Z,BG$5,0))))</f>
        <v/>
      </c>
      <c r="BH16" s="124" t="str">
        <f>IF(BH$6="","",IF(BH$3="Maior",iferror(VLOOKUP($R16,Capa!$A:$Z,BH$5,0),0),IF(ISERROR(1/VLOOKUP($R16,Capa!$A:$Z,BH$5,0)),0,1/VLOOKUP($R16,Capa!$A:$Z,BH$5,0))))</f>
        <v/>
      </c>
      <c r="BI16" s="124" t="str">
        <f>IF(BI$6="","",IF(BI$3="Maior",iferror(VLOOKUP($R16,Capa!$A:$Z,BI$5,0),0),IF(ISERROR(1/VLOOKUP($R16,Capa!$A:$Z,BI$5,0)),0,1/VLOOKUP($R16,Capa!$A:$Z,BI$5,0))))</f>
        <v/>
      </c>
      <c r="BJ16" s="124" t="str">
        <f>IF(BJ$6="","",IF(BJ$3="Maior",iferror(VLOOKUP($R16,Capa!$A:$Z,BJ$5,0),0),IF(ISERROR(1/VLOOKUP($R16,Capa!$A:$Z,BJ$5,0)),0,1/VLOOKUP($R16,Capa!$A:$Z,BJ$5,0))))</f>
        <v/>
      </c>
      <c r="BK16" s="124" t="str">
        <f>IF(BK$6="","",IF(BK$3="Maior",iferror(VLOOKUP($R16,Capa!$A:$Z,BK$5,0),0),IF(ISERROR(1/VLOOKUP($R16,Capa!$A:$Z,BK$5,0)),0,1/VLOOKUP($R16,Capa!$A:$Z,BK$5,0))))</f>
        <v/>
      </c>
      <c r="BL16" s="124" t="str">
        <f>IF(BL$6="","",IF(BL$3="Maior",iferror(VLOOKUP($R16,Capa!$A:$Z,BL$5,0),0),IF(ISERROR(1/VLOOKUP($R16,Capa!$A:$Z,BL$5,0)),0,1/VLOOKUP($R16,Capa!$A:$Z,BL$5,0))))</f>
        <v/>
      </c>
      <c r="BM16" s="124" t="str">
        <f>IF(BM$6="","",IF(BM$3="Maior",iferror(VLOOKUP($R16,Capa!$A:$Z,BM$5,0),0),IF(ISERROR(1/VLOOKUP($R16,Capa!$A:$Z,BM$5,0)),0,1/VLOOKUP($R16,Capa!$A:$Z,BM$5,0))))</f>
        <v/>
      </c>
      <c r="BN16" s="124" t="str">
        <f>IF(BN$6="","",IF(BN$3="Maior",iferror(VLOOKUP($R16,Capa!$A:$Z,BN$5,0),0),IF(ISERROR(1/VLOOKUP($R16,Capa!$A:$Z,BN$5,0)),0,1/VLOOKUP($R16,Capa!$A:$Z,BN$5,0))))</f>
        <v/>
      </c>
      <c r="BO16" s="124" t="str">
        <f>IF(BO$6="","",IF(BO$3="Maior",iferror(VLOOKUP($R16,Capa!$A:$Z,BO$5,0),0),IF(ISERROR(1/VLOOKUP($R16,Capa!$A:$Z,BO$5,0)),0,1/VLOOKUP($R16,Capa!$A:$Z,BO$5,0))))</f>
        <v/>
      </c>
      <c r="BP16" s="124" t="str">
        <f>IF(BP$6="","",IF(BP$3="Maior",iferror(VLOOKUP($R16,Capa!$A:$Z,BP$5,0),0),IF(ISERROR(1/VLOOKUP($R16,Capa!$A:$Z,BP$5,0)),0,1/VLOOKUP($R16,Capa!$A:$Z,BP$5,0))))</f>
        <v/>
      </c>
      <c r="BQ16" s="124" t="str">
        <f>IF(BQ$6="","",IF(BQ$3="Maior",iferror(VLOOKUP($R16,Capa!$A:$Z,BQ$5,0),0),IF(ISERROR(1/VLOOKUP($R16,Capa!$A:$Z,BQ$5,0)),0,1/VLOOKUP($R16,Capa!$A:$Z,BQ$5,0))))</f>
        <v/>
      </c>
      <c r="BR16" s="125" t="str">
        <f>IF(BR$6="","",IF(BR$3="Maior",iferror(VLOOKUP($R16,Capa!$A:$Z,BR$5,0),0),IF(ISERROR(1/VLOOKUP($R16,Capa!$A:$Z,BR$5,0)),0,1/VLOOKUP($R16,Capa!$A:$Z,BR$5,0))))</f>
        <v/>
      </c>
      <c r="BS16" s="88"/>
    </row>
    <row r="17">
      <c r="G17" s="9"/>
      <c r="H17" s="7">
        <v>11.0</v>
      </c>
      <c r="I17" s="129" t="str">
        <f t="shared" si="7"/>
        <v>JSRE11</v>
      </c>
      <c r="J17" s="112" t="str">
        <f>VLOOKUP(I17,Capa!A:G,7,0)</f>
        <v>Lajes Comerciais</v>
      </c>
      <c r="K17" s="113">
        <f t="shared" si="8"/>
        <v>0.5552405388</v>
      </c>
      <c r="L17" s="113">
        <f t="shared" si="9"/>
        <v>0.09320109044</v>
      </c>
      <c r="M17" s="113" t="str">
        <f t="shared" si="10"/>
        <v/>
      </c>
      <c r="N17" s="113" t="str">
        <f t="shared" si="11"/>
        <v/>
      </c>
      <c r="O17" s="114">
        <f t="shared" si="12"/>
        <v>2598015.79</v>
      </c>
      <c r="P17" s="9"/>
      <c r="Q17" s="9"/>
      <c r="R17" s="115" t="s">
        <v>46</v>
      </c>
      <c r="S17" s="116">
        <f t="shared" si="13"/>
        <v>1121.004675</v>
      </c>
      <c r="T17" s="117">
        <f>MID(VLOOKUP($R17,'Dados ClubeFII'!$A:$AU,23,0),3,100)/1</f>
        <v>113150.21</v>
      </c>
      <c r="U17" s="118">
        <f t="shared" si="14"/>
        <v>46.0046</v>
      </c>
      <c r="V17" s="118">
        <f t="shared" si="15"/>
        <v>75.000075</v>
      </c>
      <c r="W17" s="118" t="str">
        <f t="shared" ref="W17:AS17" si="25">IF(AV17="","", RANK(AV17,AV$7:AV$405,0))</f>
        <v/>
      </c>
      <c r="X17" s="118" t="str">
        <f t="shared" si="25"/>
        <v/>
      </c>
      <c r="Y17" s="118" t="str">
        <f t="shared" si="25"/>
        <v/>
      </c>
      <c r="Z17" s="118" t="str">
        <f t="shared" si="25"/>
        <v/>
      </c>
      <c r="AA17" s="118" t="str">
        <f t="shared" si="25"/>
        <v/>
      </c>
      <c r="AB17" s="118" t="str">
        <f t="shared" si="25"/>
        <v/>
      </c>
      <c r="AC17" s="118" t="str">
        <f t="shared" si="25"/>
        <v/>
      </c>
      <c r="AD17" s="118" t="str">
        <f t="shared" si="25"/>
        <v/>
      </c>
      <c r="AE17" s="118" t="str">
        <f t="shared" si="25"/>
        <v/>
      </c>
      <c r="AF17" s="118" t="str">
        <f t="shared" si="25"/>
        <v/>
      </c>
      <c r="AG17" s="118" t="str">
        <f t="shared" si="25"/>
        <v/>
      </c>
      <c r="AH17" s="118" t="str">
        <f t="shared" si="25"/>
        <v/>
      </c>
      <c r="AI17" s="118" t="str">
        <f t="shared" si="25"/>
        <v/>
      </c>
      <c r="AJ17" s="118" t="str">
        <f t="shared" si="25"/>
        <v/>
      </c>
      <c r="AK17" s="118" t="str">
        <f t="shared" si="25"/>
        <v/>
      </c>
      <c r="AL17" s="118" t="str">
        <f t="shared" si="25"/>
        <v/>
      </c>
      <c r="AM17" s="118" t="str">
        <f t="shared" si="25"/>
        <v/>
      </c>
      <c r="AN17" s="118" t="str">
        <f t="shared" si="25"/>
        <v/>
      </c>
      <c r="AO17" s="118" t="str">
        <f t="shared" si="25"/>
        <v/>
      </c>
      <c r="AP17" s="118" t="str">
        <f t="shared" si="25"/>
        <v/>
      </c>
      <c r="AQ17" s="118" t="str">
        <f t="shared" si="25"/>
        <v/>
      </c>
      <c r="AR17" s="118" t="str">
        <f t="shared" si="25"/>
        <v/>
      </c>
      <c r="AS17" s="118" t="str">
        <f t="shared" si="25"/>
        <v/>
      </c>
      <c r="AT17" s="123">
        <f>IF(AT$6="","",IF(AT$3="Maior",iferror(VLOOKUP($R17,Capa!$A:$Z,AT$5,0),0),IF(ISERROR(1/VLOOKUP($R17,Capa!$A:$Z,AT$5,0)),0,1/VLOOKUP($R17,Capa!$A:$Z,AT$5,0))))</f>
        <v>1.454321541</v>
      </c>
      <c r="AU17" s="124">
        <f>IF(AU$6="","",IF(AU$3="Maior",iferror(VLOOKUP($R17,Capa!$A:$Z,AU$5,0),0),IF(ISERROR(1/VLOOKUP($R17,Capa!$A:$Z,AU$5,0)),0,1/VLOOKUP($R17,Capa!$A:$Z,AU$5,0))))</f>
        <v>0.1223938414</v>
      </c>
      <c r="AV17" s="124" t="str">
        <f>IF(AV$6="","",IF(AV$3="Maior",iferror(VLOOKUP($R17,Capa!$A:$Z,AV$5,0),0),IF(ISERROR(1/VLOOKUP($R17,Capa!$A:$Z,AV$5,0)),0,1/VLOOKUP($R17,Capa!$A:$Z,AV$5,0))))</f>
        <v/>
      </c>
      <c r="AW17" s="124" t="str">
        <f>IF(AW$6="","",IF(AW$3="Maior",iferror(VLOOKUP($R17,Capa!$A:$Z,AW$5,0),0),IF(ISERROR(1/VLOOKUP($R17,Capa!$A:$Z,AW$5,0)),0,1/VLOOKUP($R17,Capa!$A:$Z,AW$5,0))))</f>
        <v/>
      </c>
      <c r="AX17" s="124" t="str">
        <f>IF(AX$6="","",IF(AX$3="Maior",iferror(VLOOKUP($R17,Capa!$A:$Z,AX$5,0),0),IF(ISERROR(1/VLOOKUP($R17,Capa!$A:$Z,AX$5,0)),0,1/VLOOKUP($R17,Capa!$A:$Z,AX$5,0))))</f>
        <v/>
      </c>
      <c r="AY17" s="124" t="str">
        <f>IF(AY$6="","",IF(AY$3="Maior",iferror(VLOOKUP($R17,Capa!$A:$Z,AY$5,0),0),IF(ISERROR(1/VLOOKUP($R17,Capa!$A:$Z,AY$5,0)),0,1/VLOOKUP($R17,Capa!$A:$Z,AY$5,0))))</f>
        <v/>
      </c>
      <c r="AZ17" s="124" t="str">
        <f>IF(AZ$6="","",IF(AZ$3="Maior",iferror(VLOOKUP($R17,Capa!$A:$Z,AZ$5,0),0),IF(ISERROR(1/VLOOKUP($R17,Capa!$A:$Z,AZ$5,0)),0,1/VLOOKUP($R17,Capa!$A:$Z,AZ$5,0))))</f>
        <v/>
      </c>
      <c r="BA17" s="124" t="str">
        <f>IF(BA$6="","",IF(BA$3="Maior",iferror(VLOOKUP($R17,Capa!$A:$Z,BA$5,0),0),IF(ISERROR(1/VLOOKUP($R17,Capa!$A:$Z,BA$5,0)),0,1/VLOOKUP($R17,Capa!$A:$Z,BA$5,0))))</f>
        <v/>
      </c>
      <c r="BB17" s="124" t="str">
        <f>IF(BB$6="","",IF(BB$3="Maior",iferror(VLOOKUP($R17,Capa!$A:$Z,BB$5,0),0),IF(ISERROR(1/VLOOKUP($R17,Capa!$A:$Z,BB$5,0)),0,1/VLOOKUP($R17,Capa!$A:$Z,BB$5,0))))</f>
        <v/>
      </c>
      <c r="BC17" s="124" t="str">
        <f>IF(BC$6="","",IF(BC$3="Maior",iferror(VLOOKUP($R17,Capa!$A:$Z,BC$5,0),0),IF(ISERROR(1/VLOOKUP($R17,Capa!$A:$Z,BC$5,0)),0,1/VLOOKUP($R17,Capa!$A:$Z,BC$5,0))))</f>
        <v/>
      </c>
      <c r="BD17" s="124" t="str">
        <f>IF(BD$6="","",IF(BD$3="Maior",iferror(VLOOKUP($R17,Capa!$A:$Z,BD$5,0),0),IF(ISERROR(1/VLOOKUP($R17,Capa!$A:$Z,BD$5,0)),0,1/VLOOKUP($R17,Capa!$A:$Z,BD$5,0))))</f>
        <v/>
      </c>
      <c r="BE17" s="124" t="str">
        <f>IF(BE$6="","",IF(BE$3="Maior",iferror(VLOOKUP($R17,Capa!$A:$Z,BE$5,0),0),IF(ISERROR(1/VLOOKUP($R17,Capa!$A:$Z,BE$5,0)),0,1/VLOOKUP($R17,Capa!$A:$Z,BE$5,0))))</f>
        <v/>
      </c>
      <c r="BF17" s="124" t="str">
        <f>IF(BF$6="","",IF(BF$3="Maior",iferror(VLOOKUP($R17,Capa!$A:$Z,BF$5,0),0),IF(ISERROR(1/VLOOKUP($R17,Capa!$A:$Z,BF$5,0)),0,1/VLOOKUP($R17,Capa!$A:$Z,BF$5,0))))</f>
        <v/>
      </c>
      <c r="BG17" s="124" t="str">
        <f>IF(BG$6="","",IF(BG$3="Maior",iferror(VLOOKUP($R17,Capa!$A:$Z,BG$5,0),0),IF(ISERROR(1/VLOOKUP($R17,Capa!$A:$Z,BG$5,0)),0,1/VLOOKUP($R17,Capa!$A:$Z,BG$5,0))))</f>
        <v/>
      </c>
      <c r="BH17" s="124" t="str">
        <f>IF(BH$6="","",IF(BH$3="Maior",iferror(VLOOKUP($R17,Capa!$A:$Z,BH$5,0),0),IF(ISERROR(1/VLOOKUP($R17,Capa!$A:$Z,BH$5,0)),0,1/VLOOKUP($R17,Capa!$A:$Z,BH$5,0))))</f>
        <v/>
      </c>
      <c r="BI17" s="124" t="str">
        <f>IF(BI$6="","",IF(BI$3="Maior",iferror(VLOOKUP($R17,Capa!$A:$Z,BI$5,0),0),IF(ISERROR(1/VLOOKUP($R17,Capa!$A:$Z,BI$5,0)),0,1/VLOOKUP($R17,Capa!$A:$Z,BI$5,0))))</f>
        <v/>
      </c>
      <c r="BJ17" s="124" t="str">
        <f>IF(BJ$6="","",IF(BJ$3="Maior",iferror(VLOOKUP($R17,Capa!$A:$Z,BJ$5,0),0),IF(ISERROR(1/VLOOKUP($R17,Capa!$A:$Z,BJ$5,0)),0,1/VLOOKUP($R17,Capa!$A:$Z,BJ$5,0))))</f>
        <v/>
      </c>
      <c r="BK17" s="124" t="str">
        <f>IF(BK$6="","",IF(BK$3="Maior",iferror(VLOOKUP($R17,Capa!$A:$Z,BK$5,0),0),IF(ISERROR(1/VLOOKUP($R17,Capa!$A:$Z,BK$5,0)),0,1/VLOOKUP($R17,Capa!$A:$Z,BK$5,0))))</f>
        <v/>
      </c>
      <c r="BL17" s="124" t="str">
        <f>IF(BL$6="","",IF(BL$3="Maior",iferror(VLOOKUP($R17,Capa!$A:$Z,BL$5,0),0),IF(ISERROR(1/VLOOKUP($R17,Capa!$A:$Z,BL$5,0)),0,1/VLOOKUP($R17,Capa!$A:$Z,BL$5,0))))</f>
        <v/>
      </c>
      <c r="BM17" s="124" t="str">
        <f>IF(BM$6="","",IF(BM$3="Maior",iferror(VLOOKUP($R17,Capa!$A:$Z,BM$5,0),0),IF(ISERROR(1/VLOOKUP($R17,Capa!$A:$Z,BM$5,0)),0,1/VLOOKUP($R17,Capa!$A:$Z,BM$5,0))))</f>
        <v/>
      </c>
      <c r="BN17" s="124" t="str">
        <f>IF(BN$6="","",IF(BN$3="Maior",iferror(VLOOKUP($R17,Capa!$A:$Z,BN$5,0),0),IF(ISERROR(1/VLOOKUP($R17,Capa!$A:$Z,BN$5,0)),0,1/VLOOKUP($R17,Capa!$A:$Z,BN$5,0))))</f>
        <v/>
      </c>
      <c r="BO17" s="124" t="str">
        <f>IF(BO$6="","",IF(BO$3="Maior",iferror(VLOOKUP($R17,Capa!$A:$Z,BO$5,0),0),IF(ISERROR(1/VLOOKUP($R17,Capa!$A:$Z,BO$5,0)),0,1/VLOOKUP($R17,Capa!$A:$Z,BO$5,0))))</f>
        <v/>
      </c>
      <c r="BP17" s="124" t="str">
        <f>IF(BP$6="","",IF(BP$3="Maior",iferror(VLOOKUP($R17,Capa!$A:$Z,BP$5,0),0),IF(ISERROR(1/VLOOKUP($R17,Capa!$A:$Z,BP$5,0)),0,1/VLOOKUP($R17,Capa!$A:$Z,BP$5,0))))</f>
        <v/>
      </c>
      <c r="BQ17" s="124" t="str">
        <f>IF(BQ$6="","",IF(BQ$3="Maior",iferror(VLOOKUP($R17,Capa!$A:$Z,BQ$5,0),0),IF(ISERROR(1/VLOOKUP($R17,Capa!$A:$Z,BQ$5,0)),0,1/VLOOKUP($R17,Capa!$A:$Z,BQ$5,0))))</f>
        <v/>
      </c>
      <c r="BR17" s="125" t="str">
        <f>IF(BR$6="","",IF(BR$3="Maior",iferror(VLOOKUP($R17,Capa!$A:$Z,BR$5,0),0),IF(ISERROR(1/VLOOKUP($R17,Capa!$A:$Z,BR$5,0)),0,1/VLOOKUP($R17,Capa!$A:$Z,BR$5,0))))</f>
        <v/>
      </c>
      <c r="BS17" s="88"/>
    </row>
    <row r="18">
      <c r="G18" s="9"/>
      <c r="H18" s="7">
        <v>12.0</v>
      </c>
      <c r="I18" s="130" t="str">
        <f t="shared" si="7"/>
        <v>XPCI11</v>
      </c>
      <c r="J18" s="112" t="str">
        <f>VLOOKUP(I18,Capa!A:G,7,0)</f>
        <v>Recebíveis Imobiliários</v>
      </c>
      <c r="K18" s="113">
        <f t="shared" si="8"/>
        <v>0.8750748161</v>
      </c>
      <c r="L18" s="113">
        <f t="shared" si="9"/>
        <v>0.1466504692</v>
      </c>
      <c r="M18" s="113" t="str">
        <f t="shared" si="10"/>
        <v/>
      </c>
      <c r="N18" s="113" t="str">
        <f t="shared" si="11"/>
        <v/>
      </c>
      <c r="O18" s="114">
        <f t="shared" si="12"/>
        <v>2335808.64</v>
      </c>
      <c r="P18" s="9"/>
      <c r="Q18" s="9"/>
      <c r="R18" s="127" t="s">
        <v>38</v>
      </c>
      <c r="S18" s="116">
        <f t="shared" si="13"/>
        <v>149.011237</v>
      </c>
      <c r="T18" s="117">
        <f>MID(VLOOKUP($R18,'Dados ClubeFII'!$A:$AU,23,0),3,100)/1</f>
        <v>3627521.51</v>
      </c>
      <c r="U18" s="118">
        <f t="shared" si="14"/>
        <v>112.0112</v>
      </c>
      <c r="V18" s="118">
        <f t="shared" si="15"/>
        <v>37.000037</v>
      </c>
      <c r="W18" s="118" t="str">
        <f t="shared" ref="W18:AS18" si="26">IF(AV18="","", RANK(AV18,AV$7:AV$405,0))</f>
        <v/>
      </c>
      <c r="X18" s="118" t="str">
        <f t="shared" si="26"/>
        <v/>
      </c>
      <c r="Y18" s="118" t="str">
        <f t="shared" si="26"/>
        <v/>
      </c>
      <c r="Z18" s="118" t="str">
        <f t="shared" si="26"/>
        <v/>
      </c>
      <c r="AA18" s="118" t="str">
        <f t="shared" si="26"/>
        <v/>
      </c>
      <c r="AB18" s="118" t="str">
        <f t="shared" si="26"/>
        <v/>
      </c>
      <c r="AC18" s="118" t="str">
        <f t="shared" si="26"/>
        <v/>
      </c>
      <c r="AD18" s="118" t="str">
        <f t="shared" si="26"/>
        <v/>
      </c>
      <c r="AE18" s="118" t="str">
        <f t="shared" si="26"/>
        <v/>
      </c>
      <c r="AF18" s="118" t="str">
        <f t="shared" si="26"/>
        <v/>
      </c>
      <c r="AG18" s="118" t="str">
        <f t="shared" si="26"/>
        <v/>
      </c>
      <c r="AH18" s="118" t="str">
        <f t="shared" si="26"/>
        <v/>
      </c>
      <c r="AI18" s="118" t="str">
        <f t="shared" si="26"/>
        <v/>
      </c>
      <c r="AJ18" s="118" t="str">
        <f t="shared" si="26"/>
        <v/>
      </c>
      <c r="AK18" s="118" t="str">
        <f t="shared" si="26"/>
        <v/>
      </c>
      <c r="AL18" s="118" t="str">
        <f t="shared" si="26"/>
        <v/>
      </c>
      <c r="AM18" s="118" t="str">
        <f t="shared" si="26"/>
        <v/>
      </c>
      <c r="AN18" s="118" t="str">
        <f t="shared" si="26"/>
        <v/>
      </c>
      <c r="AO18" s="118" t="str">
        <f t="shared" si="26"/>
        <v/>
      </c>
      <c r="AP18" s="118" t="str">
        <f t="shared" si="26"/>
        <v/>
      </c>
      <c r="AQ18" s="118" t="str">
        <f t="shared" si="26"/>
        <v/>
      </c>
      <c r="AR18" s="118" t="str">
        <f t="shared" si="26"/>
        <v/>
      </c>
      <c r="AS18" s="118" t="str">
        <f t="shared" si="26"/>
        <v/>
      </c>
      <c r="AT18" s="123">
        <f>IF(AT$6="","",IF(AT$3="Maior",iferror(VLOOKUP($R18,Capa!$A:$Z,AT$5,0),0),IF(ISERROR(1/VLOOKUP($R18,Capa!$A:$Z,AT$5,0)),0,1/VLOOKUP($R18,Capa!$A:$Z,AT$5,0))))</f>
        <v>1.167038483</v>
      </c>
      <c r="AU18" s="124">
        <f>IF(AU$6="","",IF(AU$3="Maior",iferror(VLOOKUP($R18,Capa!$A:$Z,AU$5,0),0),IF(ISERROR(1/VLOOKUP($R18,Capa!$A:$Z,AU$5,0)),0,1/VLOOKUP($R18,Capa!$A:$Z,AU$5,0))))</f>
        <v>0.1451810036</v>
      </c>
      <c r="AV18" s="124" t="str">
        <f>IF(AV$6="","",IF(AV$3="Maior",iferror(VLOOKUP($R18,Capa!$A:$Z,AV$5,0),0),IF(ISERROR(1/VLOOKUP($R18,Capa!$A:$Z,AV$5,0)),0,1/VLOOKUP($R18,Capa!$A:$Z,AV$5,0))))</f>
        <v/>
      </c>
      <c r="AW18" s="124" t="str">
        <f>IF(AW$6="","",IF(AW$3="Maior",iferror(VLOOKUP($R18,Capa!$A:$Z,AW$5,0),0),IF(ISERROR(1/VLOOKUP($R18,Capa!$A:$Z,AW$5,0)),0,1/VLOOKUP($R18,Capa!$A:$Z,AW$5,0))))</f>
        <v/>
      </c>
      <c r="AX18" s="124" t="str">
        <f>IF(AX$6="","",IF(AX$3="Maior",iferror(VLOOKUP($R18,Capa!$A:$Z,AX$5,0),0),IF(ISERROR(1/VLOOKUP($R18,Capa!$A:$Z,AX$5,0)),0,1/VLOOKUP($R18,Capa!$A:$Z,AX$5,0))))</f>
        <v/>
      </c>
      <c r="AY18" s="124" t="str">
        <f>IF(AY$6="","",IF(AY$3="Maior",iferror(VLOOKUP($R18,Capa!$A:$Z,AY$5,0),0),IF(ISERROR(1/VLOOKUP($R18,Capa!$A:$Z,AY$5,0)),0,1/VLOOKUP($R18,Capa!$A:$Z,AY$5,0))))</f>
        <v/>
      </c>
      <c r="AZ18" s="124" t="str">
        <f>IF(AZ$6="","",IF(AZ$3="Maior",iferror(VLOOKUP($R18,Capa!$A:$Z,AZ$5,0),0),IF(ISERROR(1/VLOOKUP($R18,Capa!$A:$Z,AZ$5,0)),0,1/VLOOKUP($R18,Capa!$A:$Z,AZ$5,0))))</f>
        <v/>
      </c>
      <c r="BA18" s="124" t="str">
        <f>IF(BA$6="","",IF(BA$3="Maior",iferror(VLOOKUP($R18,Capa!$A:$Z,BA$5,0),0),IF(ISERROR(1/VLOOKUP($R18,Capa!$A:$Z,BA$5,0)),0,1/VLOOKUP($R18,Capa!$A:$Z,BA$5,0))))</f>
        <v/>
      </c>
      <c r="BB18" s="124" t="str">
        <f>IF(BB$6="","",IF(BB$3="Maior",iferror(VLOOKUP($R18,Capa!$A:$Z,BB$5,0),0),IF(ISERROR(1/VLOOKUP($R18,Capa!$A:$Z,BB$5,0)),0,1/VLOOKUP($R18,Capa!$A:$Z,BB$5,0))))</f>
        <v/>
      </c>
      <c r="BC18" s="124" t="str">
        <f>IF(BC$6="","",IF(BC$3="Maior",iferror(VLOOKUP($R18,Capa!$A:$Z,BC$5,0),0),IF(ISERROR(1/VLOOKUP($R18,Capa!$A:$Z,BC$5,0)),0,1/VLOOKUP($R18,Capa!$A:$Z,BC$5,0))))</f>
        <v/>
      </c>
      <c r="BD18" s="124" t="str">
        <f>IF(BD$6="","",IF(BD$3="Maior",iferror(VLOOKUP($R18,Capa!$A:$Z,BD$5,0),0),IF(ISERROR(1/VLOOKUP($R18,Capa!$A:$Z,BD$5,0)),0,1/VLOOKUP($R18,Capa!$A:$Z,BD$5,0))))</f>
        <v/>
      </c>
      <c r="BE18" s="124" t="str">
        <f>IF(BE$6="","",IF(BE$3="Maior",iferror(VLOOKUP($R18,Capa!$A:$Z,BE$5,0),0),IF(ISERROR(1/VLOOKUP($R18,Capa!$A:$Z,BE$5,0)),0,1/VLOOKUP($R18,Capa!$A:$Z,BE$5,0))))</f>
        <v/>
      </c>
      <c r="BF18" s="124" t="str">
        <f>IF(BF$6="","",IF(BF$3="Maior",iferror(VLOOKUP($R18,Capa!$A:$Z,BF$5,0),0),IF(ISERROR(1/VLOOKUP($R18,Capa!$A:$Z,BF$5,0)),0,1/VLOOKUP($R18,Capa!$A:$Z,BF$5,0))))</f>
        <v/>
      </c>
      <c r="BG18" s="124" t="str">
        <f>IF(BG$6="","",IF(BG$3="Maior",iferror(VLOOKUP($R18,Capa!$A:$Z,BG$5,0),0),IF(ISERROR(1/VLOOKUP($R18,Capa!$A:$Z,BG$5,0)),0,1/VLOOKUP($R18,Capa!$A:$Z,BG$5,0))))</f>
        <v/>
      </c>
      <c r="BH18" s="124" t="str">
        <f>IF(BH$6="","",IF(BH$3="Maior",iferror(VLOOKUP($R18,Capa!$A:$Z,BH$5,0),0),IF(ISERROR(1/VLOOKUP($R18,Capa!$A:$Z,BH$5,0)),0,1/VLOOKUP($R18,Capa!$A:$Z,BH$5,0))))</f>
        <v/>
      </c>
      <c r="BI18" s="124" t="str">
        <f>IF(BI$6="","",IF(BI$3="Maior",iferror(VLOOKUP($R18,Capa!$A:$Z,BI$5,0),0),IF(ISERROR(1/VLOOKUP($R18,Capa!$A:$Z,BI$5,0)),0,1/VLOOKUP($R18,Capa!$A:$Z,BI$5,0))))</f>
        <v/>
      </c>
      <c r="BJ18" s="124" t="str">
        <f>IF(BJ$6="","",IF(BJ$3="Maior",iferror(VLOOKUP($R18,Capa!$A:$Z,BJ$5,0),0),IF(ISERROR(1/VLOOKUP($R18,Capa!$A:$Z,BJ$5,0)),0,1/VLOOKUP($R18,Capa!$A:$Z,BJ$5,0))))</f>
        <v/>
      </c>
      <c r="BK18" s="124" t="str">
        <f>IF(BK$6="","",IF(BK$3="Maior",iferror(VLOOKUP($R18,Capa!$A:$Z,BK$5,0),0),IF(ISERROR(1/VLOOKUP($R18,Capa!$A:$Z,BK$5,0)),0,1/VLOOKUP($R18,Capa!$A:$Z,BK$5,0))))</f>
        <v/>
      </c>
      <c r="BL18" s="124" t="str">
        <f>IF(BL$6="","",IF(BL$3="Maior",iferror(VLOOKUP($R18,Capa!$A:$Z,BL$5,0),0),IF(ISERROR(1/VLOOKUP($R18,Capa!$A:$Z,BL$5,0)),0,1/VLOOKUP($R18,Capa!$A:$Z,BL$5,0))))</f>
        <v/>
      </c>
      <c r="BM18" s="124" t="str">
        <f>IF(BM$6="","",IF(BM$3="Maior",iferror(VLOOKUP($R18,Capa!$A:$Z,BM$5,0),0),IF(ISERROR(1/VLOOKUP($R18,Capa!$A:$Z,BM$5,0)),0,1/VLOOKUP($R18,Capa!$A:$Z,BM$5,0))))</f>
        <v/>
      </c>
      <c r="BN18" s="124" t="str">
        <f>IF(BN$6="","",IF(BN$3="Maior",iferror(VLOOKUP($R18,Capa!$A:$Z,BN$5,0),0),IF(ISERROR(1/VLOOKUP($R18,Capa!$A:$Z,BN$5,0)),0,1/VLOOKUP($R18,Capa!$A:$Z,BN$5,0))))</f>
        <v/>
      </c>
      <c r="BO18" s="124" t="str">
        <f>IF(BO$6="","",IF(BO$3="Maior",iferror(VLOOKUP($R18,Capa!$A:$Z,BO$5,0),0),IF(ISERROR(1/VLOOKUP($R18,Capa!$A:$Z,BO$5,0)),0,1/VLOOKUP($R18,Capa!$A:$Z,BO$5,0))))</f>
        <v/>
      </c>
      <c r="BP18" s="124" t="str">
        <f>IF(BP$6="","",IF(BP$3="Maior",iferror(VLOOKUP($R18,Capa!$A:$Z,BP$5,0),0),IF(ISERROR(1/VLOOKUP($R18,Capa!$A:$Z,BP$5,0)),0,1/VLOOKUP($R18,Capa!$A:$Z,BP$5,0))))</f>
        <v/>
      </c>
      <c r="BQ18" s="124" t="str">
        <f>IF(BQ$6="","",IF(BQ$3="Maior",iferror(VLOOKUP($R18,Capa!$A:$Z,BQ$5,0),0),IF(ISERROR(1/VLOOKUP($R18,Capa!$A:$Z,BQ$5,0)),0,1/VLOOKUP($R18,Capa!$A:$Z,BQ$5,0))))</f>
        <v/>
      </c>
      <c r="BR18" s="125" t="str">
        <f>IF(BR$6="","",IF(BR$3="Maior",iferror(VLOOKUP($R18,Capa!$A:$Z,BR$5,0),0),IF(ISERROR(1/VLOOKUP($R18,Capa!$A:$Z,BR$5,0)),0,1/VLOOKUP($R18,Capa!$A:$Z,BR$5,0))))</f>
        <v/>
      </c>
      <c r="BS18" s="88"/>
    </row>
    <row r="19">
      <c r="B19" s="115" t="str">
        <f>IF(D19=FALSE,B6,B6+1)</f>
        <v/>
      </c>
      <c r="C19" s="131" t="s">
        <v>7</v>
      </c>
      <c r="D19" s="132" t="b">
        <v>0</v>
      </c>
      <c r="E19" s="133" t="s">
        <v>241</v>
      </c>
      <c r="F19" s="126">
        <f>MATCH(C19,Capa!$6:$6,0)</f>
        <v>4</v>
      </c>
      <c r="G19" s="9"/>
      <c r="H19" s="7">
        <v>13.0</v>
      </c>
      <c r="I19" s="111" t="str">
        <f t="shared" si="7"/>
        <v>CPTS11</v>
      </c>
      <c r="J19" s="112" t="str">
        <f>VLOOKUP(I19,Capa!A:G,7,0)</f>
        <v>Recebíveis Imobiliários</v>
      </c>
      <c r="K19" s="113">
        <f t="shared" si="8"/>
        <v>0.8789340759</v>
      </c>
      <c r="L19" s="113">
        <f t="shared" si="9"/>
        <v>0.1427033415</v>
      </c>
      <c r="M19" s="113" t="str">
        <f t="shared" si="10"/>
        <v/>
      </c>
      <c r="N19" s="113" t="str">
        <f t="shared" si="11"/>
        <v/>
      </c>
      <c r="O19" s="114">
        <f t="shared" si="12"/>
        <v>6490215.97</v>
      </c>
      <c r="P19" s="9"/>
      <c r="Q19" s="9"/>
      <c r="R19" s="115" t="s">
        <v>162</v>
      </c>
      <c r="S19" s="116">
        <f t="shared" si="13"/>
        <v>297.018216</v>
      </c>
      <c r="T19" s="117">
        <f>MID(VLOOKUP($R19,'Dados ClubeFII'!$A:$AU,23,0),3,100)/1</f>
        <v>4900320.09</v>
      </c>
      <c r="U19" s="118">
        <f t="shared" si="14"/>
        <v>181.0181</v>
      </c>
      <c r="V19" s="118">
        <f t="shared" si="15"/>
        <v>116.000116</v>
      </c>
      <c r="W19" s="118" t="str">
        <f t="shared" ref="W19:AS19" si="27">IF(AV19="","", RANK(AV19,AV$7:AV$405,0))</f>
        <v/>
      </c>
      <c r="X19" s="118" t="str">
        <f t="shared" si="27"/>
        <v/>
      </c>
      <c r="Y19" s="118" t="str">
        <f t="shared" si="27"/>
        <v/>
      </c>
      <c r="Z19" s="118" t="str">
        <f t="shared" si="27"/>
        <v/>
      </c>
      <c r="AA19" s="118" t="str">
        <f t="shared" si="27"/>
        <v/>
      </c>
      <c r="AB19" s="118" t="str">
        <f t="shared" si="27"/>
        <v/>
      </c>
      <c r="AC19" s="118" t="str">
        <f t="shared" si="27"/>
        <v/>
      </c>
      <c r="AD19" s="118" t="str">
        <f t="shared" si="27"/>
        <v/>
      </c>
      <c r="AE19" s="118" t="str">
        <f t="shared" si="27"/>
        <v/>
      </c>
      <c r="AF19" s="118" t="str">
        <f t="shared" si="27"/>
        <v/>
      </c>
      <c r="AG19" s="118" t="str">
        <f t="shared" si="27"/>
        <v/>
      </c>
      <c r="AH19" s="118" t="str">
        <f t="shared" si="27"/>
        <v/>
      </c>
      <c r="AI19" s="118" t="str">
        <f t="shared" si="27"/>
        <v/>
      </c>
      <c r="AJ19" s="118" t="str">
        <f t="shared" si="27"/>
        <v/>
      </c>
      <c r="AK19" s="118" t="str">
        <f t="shared" si="27"/>
        <v/>
      </c>
      <c r="AL19" s="118" t="str">
        <f t="shared" si="27"/>
        <v/>
      </c>
      <c r="AM19" s="118" t="str">
        <f t="shared" si="27"/>
        <v/>
      </c>
      <c r="AN19" s="118" t="str">
        <f t="shared" si="27"/>
        <v/>
      </c>
      <c r="AO19" s="118" t="str">
        <f t="shared" si="27"/>
        <v/>
      </c>
      <c r="AP19" s="118" t="str">
        <f t="shared" si="27"/>
        <v/>
      </c>
      <c r="AQ19" s="118" t="str">
        <f t="shared" si="27"/>
        <v/>
      </c>
      <c r="AR19" s="118" t="str">
        <f t="shared" si="27"/>
        <v/>
      </c>
      <c r="AS19" s="118" t="str">
        <f t="shared" si="27"/>
        <v/>
      </c>
      <c r="AT19" s="123">
        <f>IF(AT$6="","",IF(AT$3="Maior",iferror(VLOOKUP($R19,Capa!$A:$Z,AT$5,0),0),IF(ISERROR(1/VLOOKUP($R19,Capa!$A:$Z,AT$5,0)),0,1/VLOOKUP($R19,Capa!$A:$Z,AT$5,0))))</f>
        <v>0.9508891616</v>
      </c>
      <c r="AU19" s="124">
        <f>IF(AU$6="","",IF(AU$3="Maior",iferror(VLOOKUP($R19,Capa!$A:$Z,AU$5,0),0),IF(ISERROR(1/VLOOKUP($R19,Capa!$A:$Z,AU$5,0)),0,1/VLOOKUP($R19,Capa!$A:$Z,AU$5,0))))</f>
        <v>0.1012954597</v>
      </c>
      <c r="AV19" s="124" t="str">
        <f>IF(AV$6="","",IF(AV$3="Maior",iferror(VLOOKUP($R19,Capa!$A:$Z,AV$5,0),0),IF(ISERROR(1/VLOOKUP($R19,Capa!$A:$Z,AV$5,0)),0,1/VLOOKUP($R19,Capa!$A:$Z,AV$5,0))))</f>
        <v/>
      </c>
      <c r="AW19" s="124" t="str">
        <f>IF(AW$6="","",IF(AW$3="Maior",iferror(VLOOKUP($R19,Capa!$A:$Z,AW$5,0),0),IF(ISERROR(1/VLOOKUP($R19,Capa!$A:$Z,AW$5,0)),0,1/VLOOKUP($R19,Capa!$A:$Z,AW$5,0))))</f>
        <v/>
      </c>
      <c r="AX19" s="124" t="str">
        <f>IF(AX$6="","",IF(AX$3="Maior",iferror(VLOOKUP($R19,Capa!$A:$Z,AX$5,0),0),IF(ISERROR(1/VLOOKUP($R19,Capa!$A:$Z,AX$5,0)),0,1/VLOOKUP($R19,Capa!$A:$Z,AX$5,0))))</f>
        <v/>
      </c>
      <c r="AY19" s="124" t="str">
        <f>IF(AY$6="","",IF(AY$3="Maior",iferror(VLOOKUP($R19,Capa!$A:$Z,AY$5,0),0),IF(ISERROR(1/VLOOKUP($R19,Capa!$A:$Z,AY$5,0)),0,1/VLOOKUP($R19,Capa!$A:$Z,AY$5,0))))</f>
        <v/>
      </c>
      <c r="AZ19" s="124" t="str">
        <f>IF(AZ$6="","",IF(AZ$3="Maior",iferror(VLOOKUP($R19,Capa!$A:$Z,AZ$5,0),0),IF(ISERROR(1/VLOOKUP($R19,Capa!$A:$Z,AZ$5,0)),0,1/VLOOKUP($R19,Capa!$A:$Z,AZ$5,0))))</f>
        <v/>
      </c>
      <c r="BA19" s="124" t="str">
        <f>IF(BA$6="","",IF(BA$3="Maior",iferror(VLOOKUP($R19,Capa!$A:$Z,BA$5,0),0),IF(ISERROR(1/VLOOKUP($R19,Capa!$A:$Z,BA$5,0)),0,1/VLOOKUP($R19,Capa!$A:$Z,BA$5,0))))</f>
        <v/>
      </c>
      <c r="BB19" s="124" t="str">
        <f>IF(BB$6="","",IF(BB$3="Maior",iferror(VLOOKUP($R19,Capa!$A:$Z,BB$5,0),0),IF(ISERROR(1/VLOOKUP($R19,Capa!$A:$Z,BB$5,0)),0,1/VLOOKUP($R19,Capa!$A:$Z,BB$5,0))))</f>
        <v/>
      </c>
      <c r="BC19" s="124" t="str">
        <f>IF(BC$6="","",IF(BC$3="Maior",iferror(VLOOKUP($R19,Capa!$A:$Z,BC$5,0),0),IF(ISERROR(1/VLOOKUP($R19,Capa!$A:$Z,BC$5,0)),0,1/VLOOKUP($R19,Capa!$A:$Z,BC$5,0))))</f>
        <v/>
      </c>
      <c r="BD19" s="124" t="str">
        <f>IF(BD$6="","",IF(BD$3="Maior",iferror(VLOOKUP($R19,Capa!$A:$Z,BD$5,0),0),IF(ISERROR(1/VLOOKUP($R19,Capa!$A:$Z,BD$5,0)),0,1/VLOOKUP($R19,Capa!$A:$Z,BD$5,0))))</f>
        <v/>
      </c>
      <c r="BE19" s="124" t="str">
        <f>IF(BE$6="","",IF(BE$3="Maior",iferror(VLOOKUP($R19,Capa!$A:$Z,BE$5,0),0),IF(ISERROR(1/VLOOKUP($R19,Capa!$A:$Z,BE$5,0)),0,1/VLOOKUP($R19,Capa!$A:$Z,BE$5,0))))</f>
        <v/>
      </c>
      <c r="BF19" s="124" t="str">
        <f>IF(BF$6="","",IF(BF$3="Maior",iferror(VLOOKUP($R19,Capa!$A:$Z,BF$5,0),0),IF(ISERROR(1/VLOOKUP($R19,Capa!$A:$Z,BF$5,0)),0,1/VLOOKUP($R19,Capa!$A:$Z,BF$5,0))))</f>
        <v/>
      </c>
      <c r="BG19" s="124" t="str">
        <f>IF(BG$6="","",IF(BG$3="Maior",iferror(VLOOKUP($R19,Capa!$A:$Z,BG$5,0),0),IF(ISERROR(1/VLOOKUP($R19,Capa!$A:$Z,BG$5,0)),0,1/VLOOKUP($R19,Capa!$A:$Z,BG$5,0))))</f>
        <v/>
      </c>
      <c r="BH19" s="124" t="str">
        <f>IF(BH$6="","",IF(BH$3="Maior",iferror(VLOOKUP($R19,Capa!$A:$Z,BH$5,0),0),IF(ISERROR(1/VLOOKUP($R19,Capa!$A:$Z,BH$5,0)),0,1/VLOOKUP($R19,Capa!$A:$Z,BH$5,0))))</f>
        <v/>
      </c>
      <c r="BI19" s="124" t="str">
        <f>IF(BI$6="","",IF(BI$3="Maior",iferror(VLOOKUP($R19,Capa!$A:$Z,BI$5,0),0),IF(ISERROR(1/VLOOKUP($R19,Capa!$A:$Z,BI$5,0)),0,1/VLOOKUP($R19,Capa!$A:$Z,BI$5,0))))</f>
        <v/>
      </c>
      <c r="BJ19" s="124" t="str">
        <f>IF(BJ$6="","",IF(BJ$3="Maior",iferror(VLOOKUP($R19,Capa!$A:$Z,BJ$5,0),0),IF(ISERROR(1/VLOOKUP($R19,Capa!$A:$Z,BJ$5,0)),0,1/VLOOKUP($R19,Capa!$A:$Z,BJ$5,0))))</f>
        <v/>
      </c>
      <c r="BK19" s="124" t="str">
        <f>IF(BK$6="","",IF(BK$3="Maior",iferror(VLOOKUP($R19,Capa!$A:$Z,BK$5,0),0),IF(ISERROR(1/VLOOKUP($R19,Capa!$A:$Z,BK$5,0)),0,1/VLOOKUP($R19,Capa!$A:$Z,BK$5,0))))</f>
        <v/>
      </c>
      <c r="BL19" s="124" t="str">
        <f>IF(BL$6="","",IF(BL$3="Maior",iferror(VLOOKUP($R19,Capa!$A:$Z,BL$5,0),0),IF(ISERROR(1/VLOOKUP($R19,Capa!$A:$Z,BL$5,0)),0,1/VLOOKUP($R19,Capa!$A:$Z,BL$5,0))))</f>
        <v/>
      </c>
      <c r="BM19" s="124" t="str">
        <f>IF(BM$6="","",IF(BM$3="Maior",iferror(VLOOKUP($R19,Capa!$A:$Z,BM$5,0),0),IF(ISERROR(1/VLOOKUP($R19,Capa!$A:$Z,BM$5,0)),0,1/VLOOKUP($R19,Capa!$A:$Z,BM$5,0))))</f>
        <v/>
      </c>
      <c r="BN19" s="124" t="str">
        <f>IF(BN$6="","",IF(BN$3="Maior",iferror(VLOOKUP($R19,Capa!$A:$Z,BN$5,0),0),IF(ISERROR(1/VLOOKUP($R19,Capa!$A:$Z,BN$5,0)),0,1/VLOOKUP($R19,Capa!$A:$Z,BN$5,0))))</f>
        <v/>
      </c>
      <c r="BO19" s="124" t="str">
        <f>IF(BO$6="","",IF(BO$3="Maior",iferror(VLOOKUP($R19,Capa!$A:$Z,BO$5,0),0),IF(ISERROR(1/VLOOKUP($R19,Capa!$A:$Z,BO$5,0)),0,1/VLOOKUP($R19,Capa!$A:$Z,BO$5,0))))</f>
        <v/>
      </c>
      <c r="BP19" s="124" t="str">
        <f>IF(BP$6="","",IF(BP$3="Maior",iferror(VLOOKUP($R19,Capa!$A:$Z,BP$5,0),0),IF(ISERROR(1/VLOOKUP($R19,Capa!$A:$Z,BP$5,0)),0,1/VLOOKUP($R19,Capa!$A:$Z,BP$5,0))))</f>
        <v/>
      </c>
      <c r="BQ19" s="124" t="str">
        <f>IF(BQ$6="","",IF(BQ$3="Maior",iferror(VLOOKUP($R19,Capa!$A:$Z,BQ$5,0),0),IF(ISERROR(1/VLOOKUP($R19,Capa!$A:$Z,BQ$5,0)),0,1/VLOOKUP($R19,Capa!$A:$Z,BQ$5,0))))</f>
        <v/>
      </c>
      <c r="BR19" s="125" t="str">
        <f>IF(BR$6="","",IF(BR$3="Maior",iferror(VLOOKUP($R19,Capa!$A:$Z,BR$5,0),0),IF(ISERROR(1/VLOOKUP($R19,Capa!$A:$Z,BR$5,0)),0,1/VLOOKUP($R19,Capa!$A:$Z,BR$5,0))))</f>
        <v/>
      </c>
      <c r="BS19" s="88"/>
    </row>
    <row r="20">
      <c r="B20" s="115">
        <f t="shared" ref="B20:B40" si="29">IF(D20=FALSE,B19,B19+1)</f>
        <v>1</v>
      </c>
      <c r="C20" s="134" t="s">
        <v>13</v>
      </c>
      <c r="D20" s="135" t="b">
        <v>1</v>
      </c>
      <c r="E20" s="136" t="s">
        <v>242</v>
      </c>
      <c r="F20" s="126">
        <f>MATCH(C20,Capa!$6:$6,0)</f>
        <v>10</v>
      </c>
      <c r="G20" s="9"/>
      <c r="H20" s="7">
        <v>14.0</v>
      </c>
      <c r="I20" s="111" t="str">
        <f t="shared" si="7"/>
        <v>URPR11</v>
      </c>
      <c r="J20" s="112" t="str">
        <f>VLOOKUP(I20,Capa!A:G,7,0)</f>
        <v>Recebíveis Imobiliários</v>
      </c>
      <c r="K20" s="113">
        <f t="shared" si="8"/>
        <v>0.9709661103</v>
      </c>
      <c r="L20" s="113">
        <f t="shared" si="9"/>
        <v>0.1741913202</v>
      </c>
      <c r="M20" s="113" t="str">
        <f t="shared" si="10"/>
        <v/>
      </c>
      <c r="N20" s="113" t="str">
        <f t="shared" si="11"/>
        <v/>
      </c>
      <c r="O20" s="114">
        <f t="shared" si="12"/>
        <v>2248141.78</v>
      </c>
      <c r="P20" s="9"/>
      <c r="Q20" s="9"/>
      <c r="R20" s="127" t="s">
        <v>50</v>
      </c>
      <c r="S20" s="116">
        <f t="shared" si="13"/>
        <v>169.014425</v>
      </c>
      <c r="T20" s="117">
        <f>MID(VLOOKUP($R20,'Dados ClubeFII'!$A:$AU,23,0),3,100)/1</f>
        <v>1821328.46</v>
      </c>
      <c r="U20" s="118">
        <f t="shared" si="14"/>
        <v>144.0144</v>
      </c>
      <c r="V20" s="118">
        <f t="shared" si="15"/>
        <v>25.000025</v>
      </c>
      <c r="W20" s="118" t="str">
        <f t="shared" ref="W20:AS20" si="28">IF(AV20="","", RANK(AV20,AV$7:AV$405,0))</f>
        <v/>
      </c>
      <c r="X20" s="118" t="str">
        <f t="shared" si="28"/>
        <v/>
      </c>
      <c r="Y20" s="118" t="str">
        <f t="shared" si="28"/>
        <v/>
      </c>
      <c r="Z20" s="118" t="str">
        <f t="shared" si="28"/>
        <v/>
      </c>
      <c r="AA20" s="118" t="str">
        <f t="shared" si="28"/>
        <v/>
      </c>
      <c r="AB20" s="118" t="str">
        <f t="shared" si="28"/>
        <v/>
      </c>
      <c r="AC20" s="118" t="str">
        <f t="shared" si="28"/>
        <v/>
      </c>
      <c r="AD20" s="118" t="str">
        <f t="shared" si="28"/>
        <v/>
      </c>
      <c r="AE20" s="118" t="str">
        <f t="shared" si="28"/>
        <v/>
      </c>
      <c r="AF20" s="118" t="str">
        <f t="shared" si="28"/>
        <v/>
      </c>
      <c r="AG20" s="118" t="str">
        <f t="shared" si="28"/>
        <v/>
      </c>
      <c r="AH20" s="118" t="str">
        <f t="shared" si="28"/>
        <v/>
      </c>
      <c r="AI20" s="118" t="str">
        <f t="shared" si="28"/>
        <v/>
      </c>
      <c r="AJ20" s="118" t="str">
        <f t="shared" si="28"/>
        <v/>
      </c>
      <c r="AK20" s="118" t="str">
        <f t="shared" si="28"/>
        <v/>
      </c>
      <c r="AL20" s="118" t="str">
        <f t="shared" si="28"/>
        <v/>
      </c>
      <c r="AM20" s="118" t="str">
        <f t="shared" si="28"/>
        <v/>
      </c>
      <c r="AN20" s="118" t="str">
        <f t="shared" si="28"/>
        <v/>
      </c>
      <c r="AO20" s="118" t="str">
        <f t="shared" si="28"/>
        <v/>
      </c>
      <c r="AP20" s="118" t="str">
        <f t="shared" si="28"/>
        <v/>
      </c>
      <c r="AQ20" s="118" t="str">
        <f t="shared" si="28"/>
        <v/>
      </c>
      <c r="AR20" s="118" t="str">
        <f t="shared" si="28"/>
        <v/>
      </c>
      <c r="AS20" s="118" t="str">
        <f t="shared" si="28"/>
        <v/>
      </c>
      <c r="AT20" s="123">
        <f>IF(AT$6="","",IF(AT$3="Maior",iferror(VLOOKUP($R20,Capa!$A:$Z,AT$5,0),0),IF(ISERROR(1/VLOOKUP($R20,Capa!$A:$Z,AT$5,0)),0,1/VLOOKUP($R20,Capa!$A:$Z,AT$5,0))))</f>
        <v>1.08782266</v>
      </c>
      <c r="AU20" s="124">
        <f>IF(AU$6="","",IF(AU$3="Maior",iferror(VLOOKUP($R20,Capa!$A:$Z,AU$5,0),0),IF(ISERROR(1/VLOOKUP($R20,Capa!$A:$Z,AU$5,0)),0,1/VLOOKUP($R20,Capa!$A:$Z,AU$5,0))))</f>
        <v>0.1506184417</v>
      </c>
      <c r="AV20" s="124" t="str">
        <f>IF(AV$6="","",IF(AV$3="Maior",iferror(VLOOKUP($R20,Capa!$A:$Z,AV$5,0),0),IF(ISERROR(1/VLOOKUP($R20,Capa!$A:$Z,AV$5,0)),0,1/VLOOKUP($R20,Capa!$A:$Z,AV$5,0))))</f>
        <v/>
      </c>
      <c r="AW20" s="124" t="str">
        <f>IF(AW$6="","",IF(AW$3="Maior",iferror(VLOOKUP($R20,Capa!$A:$Z,AW$5,0),0),IF(ISERROR(1/VLOOKUP($R20,Capa!$A:$Z,AW$5,0)),0,1/VLOOKUP($R20,Capa!$A:$Z,AW$5,0))))</f>
        <v/>
      </c>
      <c r="AX20" s="124" t="str">
        <f>IF(AX$6="","",IF(AX$3="Maior",iferror(VLOOKUP($R20,Capa!$A:$Z,AX$5,0),0),IF(ISERROR(1/VLOOKUP($R20,Capa!$A:$Z,AX$5,0)),0,1/VLOOKUP($R20,Capa!$A:$Z,AX$5,0))))</f>
        <v/>
      </c>
      <c r="AY20" s="124" t="str">
        <f>IF(AY$6="","",IF(AY$3="Maior",iferror(VLOOKUP($R20,Capa!$A:$Z,AY$5,0),0),IF(ISERROR(1/VLOOKUP($R20,Capa!$A:$Z,AY$5,0)),0,1/VLOOKUP($R20,Capa!$A:$Z,AY$5,0))))</f>
        <v/>
      </c>
      <c r="AZ20" s="124" t="str">
        <f>IF(AZ$6="","",IF(AZ$3="Maior",iferror(VLOOKUP($R20,Capa!$A:$Z,AZ$5,0),0),IF(ISERROR(1/VLOOKUP($R20,Capa!$A:$Z,AZ$5,0)),0,1/VLOOKUP($R20,Capa!$A:$Z,AZ$5,0))))</f>
        <v/>
      </c>
      <c r="BA20" s="124" t="str">
        <f>IF(BA$6="","",IF(BA$3="Maior",iferror(VLOOKUP($R20,Capa!$A:$Z,BA$5,0),0),IF(ISERROR(1/VLOOKUP($R20,Capa!$A:$Z,BA$5,0)),0,1/VLOOKUP($R20,Capa!$A:$Z,BA$5,0))))</f>
        <v/>
      </c>
      <c r="BB20" s="124" t="str">
        <f>IF(BB$6="","",IF(BB$3="Maior",iferror(VLOOKUP($R20,Capa!$A:$Z,BB$5,0),0),IF(ISERROR(1/VLOOKUP($R20,Capa!$A:$Z,BB$5,0)),0,1/VLOOKUP($R20,Capa!$A:$Z,BB$5,0))))</f>
        <v/>
      </c>
      <c r="BC20" s="124" t="str">
        <f>IF(BC$6="","",IF(BC$3="Maior",iferror(VLOOKUP($R20,Capa!$A:$Z,BC$5,0),0),IF(ISERROR(1/VLOOKUP($R20,Capa!$A:$Z,BC$5,0)),0,1/VLOOKUP($R20,Capa!$A:$Z,BC$5,0))))</f>
        <v/>
      </c>
      <c r="BD20" s="124" t="str">
        <f>IF(BD$6="","",IF(BD$3="Maior",iferror(VLOOKUP($R20,Capa!$A:$Z,BD$5,0),0),IF(ISERROR(1/VLOOKUP($R20,Capa!$A:$Z,BD$5,0)),0,1/VLOOKUP($R20,Capa!$A:$Z,BD$5,0))))</f>
        <v/>
      </c>
      <c r="BE20" s="124" t="str">
        <f>IF(BE$6="","",IF(BE$3="Maior",iferror(VLOOKUP($R20,Capa!$A:$Z,BE$5,0),0),IF(ISERROR(1/VLOOKUP($R20,Capa!$A:$Z,BE$5,0)),0,1/VLOOKUP($R20,Capa!$A:$Z,BE$5,0))))</f>
        <v/>
      </c>
      <c r="BF20" s="124" t="str">
        <f>IF(BF$6="","",IF(BF$3="Maior",iferror(VLOOKUP($R20,Capa!$A:$Z,BF$5,0),0),IF(ISERROR(1/VLOOKUP($R20,Capa!$A:$Z,BF$5,0)),0,1/VLOOKUP($R20,Capa!$A:$Z,BF$5,0))))</f>
        <v/>
      </c>
      <c r="BG20" s="124" t="str">
        <f>IF(BG$6="","",IF(BG$3="Maior",iferror(VLOOKUP($R20,Capa!$A:$Z,BG$5,0),0),IF(ISERROR(1/VLOOKUP($R20,Capa!$A:$Z,BG$5,0)),0,1/VLOOKUP($R20,Capa!$A:$Z,BG$5,0))))</f>
        <v/>
      </c>
      <c r="BH20" s="124" t="str">
        <f>IF(BH$6="","",IF(BH$3="Maior",iferror(VLOOKUP($R20,Capa!$A:$Z,BH$5,0),0),IF(ISERROR(1/VLOOKUP($R20,Capa!$A:$Z,BH$5,0)),0,1/VLOOKUP($R20,Capa!$A:$Z,BH$5,0))))</f>
        <v/>
      </c>
      <c r="BI20" s="124" t="str">
        <f>IF(BI$6="","",IF(BI$3="Maior",iferror(VLOOKUP($R20,Capa!$A:$Z,BI$5,0),0),IF(ISERROR(1/VLOOKUP($R20,Capa!$A:$Z,BI$5,0)),0,1/VLOOKUP($R20,Capa!$A:$Z,BI$5,0))))</f>
        <v/>
      </c>
      <c r="BJ20" s="124" t="str">
        <f>IF(BJ$6="","",IF(BJ$3="Maior",iferror(VLOOKUP($R20,Capa!$A:$Z,BJ$5,0),0),IF(ISERROR(1/VLOOKUP($R20,Capa!$A:$Z,BJ$5,0)),0,1/VLOOKUP($R20,Capa!$A:$Z,BJ$5,0))))</f>
        <v/>
      </c>
      <c r="BK20" s="124" t="str">
        <f>IF(BK$6="","",IF(BK$3="Maior",iferror(VLOOKUP($R20,Capa!$A:$Z,BK$5,0),0),IF(ISERROR(1/VLOOKUP($R20,Capa!$A:$Z,BK$5,0)),0,1/VLOOKUP($R20,Capa!$A:$Z,BK$5,0))))</f>
        <v/>
      </c>
      <c r="BL20" s="124" t="str">
        <f>IF(BL$6="","",IF(BL$3="Maior",iferror(VLOOKUP($R20,Capa!$A:$Z,BL$5,0),0),IF(ISERROR(1/VLOOKUP($R20,Capa!$A:$Z,BL$5,0)),0,1/VLOOKUP($R20,Capa!$A:$Z,BL$5,0))))</f>
        <v/>
      </c>
      <c r="BM20" s="124" t="str">
        <f>IF(BM$6="","",IF(BM$3="Maior",iferror(VLOOKUP($R20,Capa!$A:$Z,BM$5,0),0),IF(ISERROR(1/VLOOKUP($R20,Capa!$A:$Z,BM$5,0)),0,1/VLOOKUP($R20,Capa!$A:$Z,BM$5,0))))</f>
        <v/>
      </c>
      <c r="BN20" s="124" t="str">
        <f>IF(BN$6="","",IF(BN$3="Maior",iferror(VLOOKUP($R20,Capa!$A:$Z,BN$5,0),0),IF(ISERROR(1/VLOOKUP($R20,Capa!$A:$Z,BN$5,0)),0,1/VLOOKUP($R20,Capa!$A:$Z,BN$5,0))))</f>
        <v/>
      </c>
      <c r="BO20" s="124" t="str">
        <f>IF(BO$6="","",IF(BO$3="Maior",iferror(VLOOKUP($R20,Capa!$A:$Z,BO$5,0),0),IF(ISERROR(1/VLOOKUP($R20,Capa!$A:$Z,BO$5,0)),0,1/VLOOKUP($R20,Capa!$A:$Z,BO$5,0))))</f>
        <v/>
      </c>
      <c r="BP20" s="124" t="str">
        <f>IF(BP$6="","",IF(BP$3="Maior",iferror(VLOOKUP($R20,Capa!$A:$Z,BP$5,0),0),IF(ISERROR(1/VLOOKUP($R20,Capa!$A:$Z,BP$5,0)),0,1/VLOOKUP($R20,Capa!$A:$Z,BP$5,0))))</f>
        <v/>
      </c>
      <c r="BQ20" s="124" t="str">
        <f>IF(BQ$6="","",IF(BQ$3="Maior",iferror(VLOOKUP($R20,Capa!$A:$Z,BQ$5,0),0),IF(ISERROR(1/VLOOKUP($R20,Capa!$A:$Z,BQ$5,0)),0,1/VLOOKUP($R20,Capa!$A:$Z,BQ$5,0))))</f>
        <v/>
      </c>
      <c r="BR20" s="125" t="str">
        <f>IF(BR$6="","",IF(BR$3="Maior",iferror(VLOOKUP($R20,Capa!$A:$Z,BR$5,0),0),IF(ISERROR(1/VLOOKUP($R20,Capa!$A:$Z,BR$5,0)),0,1/VLOOKUP($R20,Capa!$A:$Z,BR$5,0))))</f>
        <v/>
      </c>
      <c r="BS20" s="88"/>
    </row>
    <row r="21">
      <c r="B21" s="115">
        <f t="shared" si="29"/>
        <v>1</v>
      </c>
      <c r="C21" s="134" t="s">
        <v>14</v>
      </c>
      <c r="D21" s="135" t="b">
        <v>0</v>
      </c>
      <c r="E21" s="136" t="s">
        <v>242</v>
      </c>
      <c r="F21" s="126">
        <f>MATCH(C21,Capa!$6:$6,0)</f>
        <v>11</v>
      </c>
      <c r="G21" s="9"/>
      <c r="H21" s="7">
        <v>15.0</v>
      </c>
      <c r="I21" s="129" t="str">
        <f t="shared" si="7"/>
        <v>HFOF11</v>
      </c>
      <c r="J21" s="112" t="str">
        <f>VLOOKUP(I21,Capa!A:G,7,0)</f>
        <v>Fundo de Fundos</v>
      </c>
      <c r="K21" s="113">
        <f t="shared" si="8"/>
        <v>0.8168675813</v>
      </c>
      <c r="L21" s="113">
        <f t="shared" si="9"/>
        <v>0.1149665485</v>
      </c>
      <c r="M21" s="113" t="str">
        <f t="shared" si="10"/>
        <v/>
      </c>
      <c r="N21" s="113" t="str">
        <f t="shared" si="11"/>
        <v/>
      </c>
      <c r="O21" s="114">
        <f t="shared" si="12"/>
        <v>1543022.57</v>
      </c>
      <c r="P21" s="9"/>
      <c r="Q21" s="9"/>
      <c r="R21" s="115" t="s">
        <v>39</v>
      </c>
      <c r="S21" s="116">
        <f t="shared" si="13"/>
        <v>1117.001602</v>
      </c>
      <c r="T21" s="117">
        <f>MID(VLOOKUP($R21,'Dados ClubeFII'!$A:$AU,23,0),3,100)/1</f>
        <v>318311.13</v>
      </c>
      <c r="U21" s="118">
        <f t="shared" si="14"/>
        <v>15.0015</v>
      </c>
      <c r="V21" s="118">
        <f t="shared" si="15"/>
        <v>102.000102</v>
      </c>
      <c r="W21" s="118" t="str">
        <f t="shared" ref="W21:AS21" si="30">IF(AV21="","", RANK(AV21,AV$7:AV$405,0))</f>
        <v/>
      </c>
      <c r="X21" s="118" t="str">
        <f t="shared" si="30"/>
        <v/>
      </c>
      <c r="Y21" s="118" t="str">
        <f t="shared" si="30"/>
        <v/>
      </c>
      <c r="Z21" s="118" t="str">
        <f t="shared" si="30"/>
        <v/>
      </c>
      <c r="AA21" s="118" t="str">
        <f t="shared" si="30"/>
        <v/>
      </c>
      <c r="AB21" s="118" t="str">
        <f t="shared" si="30"/>
        <v/>
      </c>
      <c r="AC21" s="118" t="str">
        <f t="shared" si="30"/>
        <v/>
      </c>
      <c r="AD21" s="118" t="str">
        <f t="shared" si="30"/>
        <v/>
      </c>
      <c r="AE21" s="118" t="str">
        <f t="shared" si="30"/>
        <v/>
      </c>
      <c r="AF21" s="118" t="str">
        <f t="shared" si="30"/>
        <v/>
      </c>
      <c r="AG21" s="118" t="str">
        <f t="shared" si="30"/>
        <v/>
      </c>
      <c r="AH21" s="118" t="str">
        <f t="shared" si="30"/>
        <v/>
      </c>
      <c r="AI21" s="118" t="str">
        <f t="shared" si="30"/>
        <v/>
      </c>
      <c r="AJ21" s="118" t="str">
        <f t="shared" si="30"/>
        <v/>
      </c>
      <c r="AK21" s="118" t="str">
        <f t="shared" si="30"/>
        <v/>
      </c>
      <c r="AL21" s="118" t="str">
        <f t="shared" si="30"/>
        <v/>
      </c>
      <c r="AM21" s="118" t="str">
        <f t="shared" si="30"/>
        <v/>
      </c>
      <c r="AN21" s="118" t="str">
        <f t="shared" si="30"/>
        <v/>
      </c>
      <c r="AO21" s="118" t="str">
        <f t="shared" si="30"/>
        <v/>
      </c>
      <c r="AP21" s="118" t="str">
        <f t="shared" si="30"/>
        <v/>
      </c>
      <c r="AQ21" s="118" t="str">
        <f t="shared" si="30"/>
        <v/>
      </c>
      <c r="AR21" s="118" t="str">
        <f t="shared" si="30"/>
        <v/>
      </c>
      <c r="AS21" s="118" t="str">
        <f t="shared" si="30"/>
        <v/>
      </c>
      <c r="AT21" s="123">
        <f>IF(AT$6="","",IF(AT$3="Maior",iferror(VLOOKUP($R21,Capa!$A:$Z,AT$5,0),0),IF(ISERROR(1/VLOOKUP($R21,Capa!$A:$Z,AT$5,0)),0,1/VLOOKUP($R21,Capa!$A:$Z,AT$5,0))))</f>
        <v>2.013142174</v>
      </c>
      <c r="AU21" s="124">
        <f>IF(AU$6="","",IF(AU$3="Maior",iferror(VLOOKUP($R21,Capa!$A:$Z,AU$5,0),0),IF(ISERROR(1/VLOOKUP($R21,Capa!$A:$Z,AU$5,0)),0,1/VLOOKUP($R21,Capa!$A:$Z,AU$5,0))))</f>
        <v>0.1083850148</v>
      </c>
      <c r="AV21" s="124" t="str">
        <f>IF(AV$6="","",IF(AV$3="Maior",iferror(VLOOKUP($R21,Capa!$A:$Z,AV$5,0),0),IF(ISERROR(1/VLOOKUP($R21,Capa!$A:$Z,AV$5,0)),0,1/VLOOKUP($R21,Capa!$A:$Z,AV$5,0))))</f>
        <v/>
      </c>
      <c r="AW21" s="124" t="str">
        <f>IF(AW$6="","",IF(AW$3="Maior",iferror(VLOOKUP($R21,Capa!$A:$Z,AW$5,0),0),IF(ISERROR(1/VLOOKUP($R21,Capa!$A:$Z,AW$5,0)),0,1/VLOOKUP($R21,Capa!$A:$Z,AW$5,0))))</f>
        <v/>
      </c>
      <c r="AX21" s="124" t="str">
        <f>IF(AX$6="","",IF(AX$3="Maior",iferror(VLOOKUP($R21,Capa!$A:$Z,AX$5,0),0),IF(ISERROR(1/VLOOKUP($R21,Capa!$A:$Z,AX$5,0)),0,1/VLOOKUP($R21,Capa!$A:$Z,AX$5,0))))</f>
        <v/>
      </c>
      <c r="AY21" s="124" t="str">
        <f>IF(AY$6="","",IF(AY$3="Maior",iferror(VLOOKUP($R21,Capa!$A:$Z,AY$5,0),0),IF(ISERROR(1/VLOOKUP($R21,Capa!$A:$Z,AY$5,0)),0,1/VLOOKUP($R21,Capa!$A:$Z,AY$5,0))))</f>
        <v/>
      </c>
      <c r="AZ21" s="124" t="str">
        <f>IF(AZ$6="","",IF(AZ$3="Maior",iferror(VLOOKUP($R21,Capa!$A:$Z,AZ$5,0),0),IF(ISERROR(1/VLOOKUP($R21,Capa!$A:$Z,AZ$5,0)),0,1/VLOOKUP($R21,Capa!$A:$Z,AZ$5,0))))</f>
        <v/>
      </c>
      <c r="BA21" s="124" t="str">
        <f>IF(BA$6="","",IF(BA$3="Maior",iferror(VLOOKUP($R21,Capa!$A:$Z,BA$5,0),0),IF(ISERROR(1/VLOOKUP($R21,Capa!$A:$Z,BA$5,0)),0,1/VLOOKUP($R21,Capa!$A:$Z,BA$5,0))))</f>
        <v/>
      </c>
      <c r="BB21" s="124" t="str">
        <f>IF(BB$6="","",IF(BB$3="Maior",iferror(VLOOKUP($R21,Capa!$A:$Z,BB$5,0),0),IF(ISERROR(1/VLOOKUP($R21,Capa!$A:$Z,BB$5,0)),0,1/VLOOKUP($R21,Capa!$A:$Z,BB$5,0))))</f>
        <v/>
      </c>
      <c r="BC21" s="124" t="str">
        <f>IF(BC$6="","",IF(BC$3="Maior",iferror(VLOOKUP($R21,Capa!$A:$Z,BC$5,0),0),IF(ISERROR(1/VLOOKUP($R21,Capa!$A:$Z,BC$5,0)),0,1/VLOOKUP($R21,Capa!$A:$Z,BC$5,0))))</f>
        <v/>
      </c>
      <c r="BD21" s="124" t="str">
        <f>IF(BD$6="","",IF(BD$3="Maior",iferror(VLOOKUP($R21,Capa!$A:$Z,BD$5,0),0),IF(ISERROR(1/VLOOKUP($R21,Capa!$A:$Z,BD$5,0)),0,1/VLOOKUP($R21,Capa!$A:$Z,BD$5,0))))</f>
        <v/>
      </c>
      <c r="BE21" s="124" t="str">
        <f>IF(BE$6="","",IF(BE$3="Maior",iferror(VLOOKUP($R21,Capa!$A:$Z,BE$5,0),0),IF(ISERROR(1/VLOOKUP($R21,Capa!$A:$Z,BE$5,0)),0,1/VLOOKUP($R21,Capa!$A:$Z,BE$5,0))))</f>
        <v/>
      </c>
      <c r="BF21" s="124" t="str">
        <f>IF(BF$6="","",IF(BF$3="Maior",iferror(VLOOKUP($R21,Capa!$A:$Z,BF$5,0),0),IF(ISERROR(1/VLOOKUP($R21,Capa!$A:$Z,BF$5,0)),0,1/VLOOKUP($R21,Capa!$A:$Z,BF$5,0))))</f>
        <v/>
      </c>
      <c r="BG21" s="124" t="str">
        <f>IF(BG$6="","",IF(BG$3="Maior",iferror(VLOOKUP($R21,Capa!$A:$Z,BG$5,0),0),IF(ISERROR(1/VLOOKUP($R21,Capa!$A:$Z,BG$5,0)),0,1/VLOOKUP($R21,Capa!$A:$Z,BG$5,0))))</f>
        <v/>
      </c>
      <c r="BH21" s="124" t="str">
        <f>IF(BH$6="","",IF(BH$3="Maior",iferror(VLOOKUP($R21,Capa!$A:$Z,BH$5,0),0),IF(ISERROR(1/VLOOKUP($R21,Capa!$A:$Z,BH$5,0)),0,1/VLOOKUP($R21,Capa!$A:$Z,BH$5,0))))</f>
        <v/>
      </c>
      <c r="BI21" s="124" t="str">
        <f>IF(BI$6="","",IF(BI$3="Maior",iferror(VLOOKUP($R21,Capa!$A:$Z,BI$5,0),0),IF(ISERROR(1/VLOOKUP($R21,Capa!$A:$Z,BI$5,0)),0,1/VLOOKUP($R21,Capa!$A:$Z,BI$5,0))))</f>
        <v/>
      </c>
      <c r="BJ21" s="124" t="str">
        <f>IF(BJ$6="","",IF(BJ$3="Maior",iferror(VLOOKUP($R21,Capa!$A:$Z,BJ$5,0),0),IF(ISERROR(1/VLOOKUP($R21,Capa!$A:$Z,BJ$5,0)),0,1/VLOOKUP($R21,Capa!$A:$Z,BJ$5,0))))</f>
        <v/>
      </c>
      <c r="BK21" s="124" t="str">
        <f>IF(BK$6="","",IF(BK$3="Maior",iferror(VLOOKUP($R21,Capa!$A:$Z,BK$5,0),0),IF(ISERROR(1/VLOOKUP($R21,Capa!$A:$Z,BK$5,0)),0,1/VLOOKUP($R21,Capa!$A:$Z,BK$5,0))))</f>
        <v/>
      </c>
      <c r="BL21" s="124" t="str">
        <f>IF(BL$6="","",IF(BL$3="Maior",iferror(VLOOKUP($R21,Capa!$A:$Z,BL$5,0),0),IF(ISERROR(1/VLOOKUP($R21,Capa!$A:$Z,BL$5,0)),0,1/VLOOKUP($R21,Capa!$A:$Z,BL$5,0))))</f>
        <v/>
      </c>
      <c r="BM21" s="124" t="str">
        <f>IF(BM$6="","",IF(BM$3="Maior",iferror(VLOOKUP($R21,Capa!$A:$Z,BM$5,0),0),IF(ISERROR(1/VLOOKUP($R21,Capa!$A:$Z,BM$5,0)),0,1/VLOOKUP($R21,Capa!$A:$Z,BM$5,0))))</f>
        <v/>
      </c>
      <c r="BN21" s="124" t="str">
        <f>IF(BN$6="","",IF(BN$3="Maior",iferror(VLOOKUP($R21,Capa!$A:$Z,BN$5,0),0),IF(ISERROR(1/VLOOKUP($R21,Capa!$A:$Z,BN$5,0)),0,1/VLOOKUP($R21,Capa!$A:$Z,BN$5,0))))</f>
        <v/>
      </c>
      <c r="BO21" s="124" t="str">
        <f>IF(BO$6="","",IF(BO$3="Maior",iferror(VLOOKUP($R21,Capa!$A:$Z,BO$5,0),0),IF(ISERROR(1/VLOOKUP($R21,Capa!$A:$Z,BO$5,0)),0,1/VLOOKUP($R21,Capa!$A:$Z,BO$5,0))))</f>
        <v/>
      </c>
      <c r="BP21" s="124" t="str">
        <f>IF(BP$6="","",IF(BP$3="Maior",iferror(VLOOKUP($R21,Capa!$A:$Z,BP$5,0),0),IF(ISERROR(1/VLOOKUP($R21,Capa!$A:$Z,BP$5,0)),0,1/VLOOKUP($R21,Capa!$A:$Z,BP$5,0))))</f>
        <v/>
      </c>
      <c r="BQ21" s="124" t="str">
        <f>IF(BQ$6="","",IF(BQ$3="Maior",iferror(VLOOKUP($R21,Capa!$A:$Z,BQ$5,0),0),IF(ISERROR(1/VLOOKUP($R21,Capa!$A:$Z,BQ$5,0)),0,1/VLOOKUP($R21,Capa!$A:$Z,BQ$5,0))))</f>
        <v/>
      </c>
      <c r="BR21" s="125" t="str">
        <f>IF(BR$6="","",IF(BR$3="Maior",iferror(VLOOKUP($R21,Capa!$A:$Z,BR$5,0),0),IF(ISERROR(1/VLOOKUP($R21,Capa!$A:$Z,BR$5,0)),0,1/VLOOKUP($R21,Capa!$A:$Z,BR$5,0))))</f>
        <v/>
      </c>
      <c r="BS21" s="88"/>
    </row>
    <row r="22">
      <c r="B22" s="115">
        <f t="shared" si="29"/>
        <v>1</v>
      </c>
      <c r="C22" s="134" t="s">
        <v>15</v>
      </c>
      <c r="D22" s="135" t="b">
        <v>0</v>
      </c>
      <c r="E22" s="136" t="s">
        <v>242</v>
      </c>
      <c r="F22" s="126">
        <f>MATCH(C22,Capa!$6:$6,0)</f>
        <v>12</v>
      </c>
      <c r="G22" s="9"/>
      <c r="H22" s="7">
        <v>16.0</v>
      </c>
      <c r="I22" s="111" t="str">
        <f t="shared" si="7"/>
        <v>RBRF11</v>
      </c>
      <c r="J22" s="112" t="str">
        <f>VLOOKUP(I22,Capa!A:G,7,0)</f>
        <v>Fundo de Fundos</v>
      </c>
      <c r="K22" s="113">
        <f t="shared" si="8"/>
        <v>0.7867176634</v>
      </c>
      <c r="L22" s="113">
        <f t="shared" si="9"/>
        <v>0.1115973574</v>
      </c>
      <c r="M22" s="113" t="str">
        <f t="shared" si="10"/>
        <v/>
      </c>
      <c r="N22" s="113" t="str">
        <f t="shared" si="11"/>
        <v/>
      </c>
      <c r="O22" s="114">
        <f t="shared" si="12"/>
        <v>2374923.59</v>
      </c>
      <c r="P22" s="9"/>
      <c r="Q22" s="9"/>
      <c r="R22" s="127" t="s">
        <v>243</v>
      </c>
      <c r="S22" s="116">
        <f t="shared" si="13"/>
        <v>1367.018781</v>
      </c>
      <c r="T22" s="117">
        <f>MID(VLOOKUP($R22,'Dados ClubeFII'!$A:$AU,23,0),3,100)/1</f>
        <v>0</v>
      </c>
      <c r="U22" s="118">
        <f t="shared" si="14"/>
        <v>186.0186</v>
      </c>
      <c r="V22" s="118">
        <f t="shared" si="15"/>
        <v>181.000181</v>
      </c>
      <c r="W22" s="118" t="str">
        <f t="shared" ref="W22:AS22" si="31">IF(AV22="","", RANK(AV22,AV$7:AV$405,0))</f>
        <v/>
      </c>
      <c r="X22" s="118" t="str">
        <f t="shared" si="31"/>
        <v/>
      </c>
      <c r="Y22" s="118" t="str">
        <f t="shared" si="31"/>
        <v/>
      </c>
      <c r="Z22" s="118" t="str">
        <f t="shared" si="31"/>
        <v/>
      </c>
      <c r="AA22" s="118" t="str">
        <f t="shared" si="31"/>
        <v/>
      </c>
      <c r="AB22" s="118" t="str">
        <f t="shared" si="31"/>
        <v/>
      </c>
      <c r="AC22" s="118" t="str">
        <f t="shared" si="31"/>
        <v/>
      </c>
      <c r="AD22" s="118" t="str">
        <f t="shared" si="31"/>
        <v/>
      </c>
      <c r="AE22" s="118" t="str">
        <f t="shared" si="31"/>
        <v/>
      </c>
      <c r="AF22" s="118" t="str">
        <f t="shared" si="31"/>
        <v/>
      </c>
      <c r="AG22" s="118" t="str">
        <f t="shared" si="31"/>
        <v/>
      </c>
      <c r="AH22" s="118" t="str">
        <f t="shared" si="31"/>
        <v/>
      </c>
      <c r="AI22" s="118" t="str">
        <f t="shared" si="31"/>
        <v/>
      </c>
      <c r="AJ22" s="118" t="str">
        <f t="shared" si="31"/>
        <v/>
      </c>
      <c r="AK22" s="118" t="str">
        <f t="shared" si="31"/>
        <v/>
      </c>
      <c r="AL22" s="118" t="str">
        <f t="shared" si="31"/>
        <v/>
      </c>
      <c r="AM22" s="118" t="str">
        <f t="shared" si="31"/>
        <v/>
      </c>
      <c r="AN22" s="118" t="str">
        <f t="shared" si="31"/>
        <v/>
      </c>
      <c r="AO22" s="118" t="str">
        <f t="shared" si="31"/>
        <v/>
      </c>
      <c r="AP22" s="118" t="str">
        <f t="shared" si="31"/>
        <v/>
      </c>
      <c r="AQ22" s="118" t="str">
        <f t="shared" si="31"/>
        <v/>
      </c>
      <c r="AR22" s="118" t="str">
        <f t="shared" si="31"/>
        <v/>
      </c>
      <c r="AS22" s="118" t="str">
        <f t="shared" si="31"/>
        <v/>
      </c>
      <c r="AT22" s="123">
        <f>IF(AT$6="","",IF(AT$3="Maior",iferror(VLOOKUP($R22,Capa!$A:$Z,AT$5,0),0),IF(ISERROR(1/VLOOKUP($R22,Capa!$A:$Z,AT$5,0)),0,1/VLOOKUP($R22,Capa!$A:$Z,AT$5,0))))</f>
        <v>0</v>
      </c>
      <c r="AU22" s="124">
        <f>IF(AU$6="","",IF(AU$3="Maior",iferror(VLOOKUP($R22,Capa!$A:$Z,AU$5,0),0),IF(ISERROR(1/VLOOKUP($R22,Capa!$A:$Z,AU$5,0)),0,1/VLOOKUP($R22,Capa!$A:$Z,AU$5,0))))</f>
        <v>0</v>
      </c>
      <c r="AV22" s="124" t="str">
        <f>IF(AV$6="","",IF(AV$3="Maior",iferror(VLOOKUP($R22,Capa!$A:$Z,AV$5,0),0),IF(ISERROR(1/VLOOKUP($R22,Capa!$A:$Z,AV$5,0)),0,1/VLOOKUP($R22,Capa!$A:$Z,AV$5,0))))</f>
        <v/>
      </c>
      <c r="AW22" s="124" t="str">
        <f>IF(AW$6="","",IF(AW$3="Maior",iferror(VLOOKUP($R22,Capa!$A:$Z,AW$5,0),0),IF(ISERROR(1/VLOOKUP($R22,Capa!$A:$Z,AW$5,0)),0,1/VLOOKUP($R22,Capa!$A:$Z,AW$5,0))))</f>
        <v/>
      </c>
      <c r="AX22" s="124" t="str">
        <f>IF(AX$6="","",IF(AX$3="Maior",iferror(VLOOKUP($R22,Capa!$A:$Z,AX$5,0),0),IF(ISERROR(1/VLOOKUP($R22,Capa!$A:$Z,AX$5,0)),0,1/VLOOKUP($R22,Capa!$A:$Z,AX$5,0))))</f>
        <v/>
      </c>
      <c r="AY22" s="124" t="str">
        <f>IF(AY$6="","",IF(AY$3="Maior",iferror(VLOOKUP($R22,Capa!$A:$Z,AY$5,0),0),IF(ISERROR(1/VLOOKUP($R22,Capa!$A:$Z,AY$5,0)),0,1/VLOOKUP($R22,Capa!$A:$Z,AY$5,0))))</f>
        <v/>
      </c>
      <c r="AZ22" s="124" t="str">
        <f>IF(AZ$6="","",IF(AZ$3="Maior",iferror(VLOOKUP($R22,Capa!$A:$Z,AZ$5,0),0),IF(ISERROR(1/VLOOKUP($R22,Capa!$A:$Z,AZ$5,0)),0,1/VLOOKUP($R22,Capa!$A:$Z,AZ$5,0))))</f>
        <v/>
      </c>
      <c r="BA22" s="124" t="str">
        <f>IF(BA$6="","",IF(BA$3="Maior",iferror(VLOOKUP($R22,Capa!$A:$Z,BA$5,0),0),IF(ISERROR(1/VLOOKUP($R22,Capa!$A:$Z,BA$5,0)),0,1/VLOOKUP($R22,Capa!$A:$Z,BA$5,0))))</f>
        <v/>
      </c>
      <c r="BB22" s="124" t="str">
        <f>IF(BB$6="","",IF(BB$3="Maior",iferror(VLOOKUP($R22,Capa!$A:$Z,BB$5,0),0),IF(ISERROR(1/VLOOKUP($R22,Capa!$A:$Z,BB$5,0)),0,1/VLOOKUP($R22,Capa!$A:$Z,BB$5,0))))</f>
        <v/>
      </c>
      <c r="BC22" s="124" t="str">
        <f>IF(BC$6="","",IF(BC$3="Maior",iferror(VLOOKUP($R22,Capa!$A:$Z,BC$5,0),0),IF(ISERROR(1/VLOOKUP($R22,Capa!$A:$Z,BC$5,0)),0,1/VLOOKUP($R22,Capa!$A:$Z,BC$5,0))))</f>
        <v/>
      </c>
      <c r="BD22" s="124" t="str">
        <f>IF(BD$6="","",IF(BD$3="Maior",iferror(VLOOKUP($R22,Capa!$A:$Z,BD$5,0),0),IF(ISERROR(1/VLOOKUP($R22,Capa!$A:$Z,BD$5,0)),0,1/VLOOKUP($R22,Capa!$A:$Z,BD$5,0))))</f>
        <v/>
      </c>
      <c r="BE22" s="124" t="str">
        <f>IF(BE$6="","",IF(BE$3="Maior",iferror(VLOOKUP($R22,Capa!$A:$Z,BE$5,0),0),IF(ISERROR(1/VLOOKUP($R22,Capa!$A:$Z,BE$5,0)),0,1/VLOOKUP($R22,Capa!$A:$Z,BE$5,0))))</f>
        <v/>
      </c>
      <c r="BF22" s="124" t="str">
        <f>IF(BF$6="","",IF(BF$3="Maior",iferror(VLOOKUP($R22,Capa!$A:$Z,BF$5,0),0),IF(ISERROR(1/VLOOKUP($R22,Capa!$A:$Z,BF$5,0)),0,1/VLOOKUP($R22,Capa!$A:$Z,BF$5,0))))</f>
        <v/>
      </c>
      <c r="BG22" s="124" t="str">
        <f>IF(BG$6="","",IF(BG$3="Maior",iferror(VLOOKUP($R22,Capa!$A:$Z,BG$5,0),0),IF(ISERROR(1/VLOOKUP($R22,Capa!$A:$Z,BG$5,0)),0,1/VLOOKUP($R22,Capa!$A:$Z,BG$5,0))))</f>
        <v/>
      </c>
      <c r="BH22" s="124" t="str">
        <f>IF(BH$6="","",IF(BH$3="Maior",iferror(VLOOKUP($R22,Capa!$A:$Z,BH$5,0),0),IF(ISERROR(1/VLOOKUP($R22,Capa!$A:$Z,BH$5,0)),0,1/VLOOKUP($R22,Capa!$A:$Z,BH$5,0))))</f>
        <v/>
      </c>
      <c r="BI22" s="124" t="str">
        <f>IF(BI$6="","",IF(BI$3="Maior",iferror(VLOOKUP($R22,Capa!$A:$Z,BI$5,0),0),IF(ISERROR(1/VLOOKUP($R22,Capa!$A:$Z,BI$5,0)),0,1/VLOOKUP($R22,Capa!$A:$Z,BI$5,0))))</f>
        <v/>
      </c>
      <c r="BJ22" s="124" t="str">
        <f>IF(BJ$6="","",IF(BJ$3="Maior",iferror(VLOOKUP($R22,Capa!$A:$Z,BJ$5,0),0),IF(ISERROR(1/VLOOKUP($R22,Capa!$A:$Z,BJ$5,0)),0,1/VLOOKUP($R22,Capa!$A:$Z,BJ$5,0))))</f>
        <v/>
      </c>
      <c r="BK22" s="124" t="str">
        <f>IF(BK$6="","",IF(BK$3="Maior",iferror(VLOOKUP($R22,Capa!$A:$Z,BK$5,0),0),IF(ISERROR(1/VLOOKUP($R22,Capa!$A:$Z,BK$5,0)),0,1/VLOOKUP($R22,Capa!$A:$Z,BK$5,0))))</f>
        <v/>
      </c>
      <c r="BL22" s="124" t="str">
        <f>IF(BL$6="","",IF(BL$3="Maior",iferror(VLOOKUP($R22,Capa!$A:$Z,BL$5,0),0),IF(ISERROR(1/VLOOKUP($R22,Capa!$A:$Z,BL$5,0)),0,1/VLOOKUP($R22,Capa!$A:$Z,BL$5,0))))</f>
        <v/>
      </c>
      <c r="BM22" s="124" t="str">
        <f>IF(BM$6="","",IF(BM$3="Maior",iferror(VLOOKUP($R22,Capa!$A:$Z,BM$5,0),0),IF(ISERROR(1/VLOOKUP($R22,Capa!$A:$Z,BM$5,0)),0,1/VLOOKUP($R22,Capa!$A:$Z,BM$5,0))))</f>
        <v/>
      </c>
      <c r="BN22" s="124" t="str">
        <f>IF(BN$6="","",IF(BN$3="Maior",iferror(VLOOKUP($R22,Capa!$A:$Z,BN$5,0),0),IF(ISERROR(1/VLOOKUP($R22,Capa!$A:$Z,BN$5,0)),0,1/VLOOKUP($R22,Capa!$A:$Z,BN$5,0))))</f>
        <v/>
      </c>
      <c r="BO22" s="124" t="str">
        <f>IF(BO$6="","",IF(BO$3="Maior",iferror(VLOOKUP($R22,Capa!$A:$Z,BO$5,0),0),IF(ISERROR(1/VLOOKUP($R22,Capa!$A:$Z,BO$5,0)),0,1/VLOOKUP($R22,Capa!$A:$Z,BO$5,0))))</f>
        <v/>
      </c>
      <c r="BP22" s="124" t="str">
        <f>IF(BP$6="","",IF(BP$3="Maior",iferror(VLOOKUP($R22,Capa!$A:$Z,BP$5,0),0),IF(ISERROR(1/VLOOKUP($R22,Capa!$A:$Z,BP$5,0)),0,1/VLOOKUP($R22,Capa!$A:$Z,BP$5,0))))</f>
        <v/>
      </c>
      <c r="BQ22" s="124" t="str">
        <f>IF(BQ$6="","",IF(BQ$3="Maior",iferror(VLOOKUP($R22,Capa!$A:$Z,BQ$5,0),0),IF(ISERROR(1/VLOOKUP($R22,Capa!$A:$Z,BQ$5,0)),0,1/VLOOKUP($R22,Capa!$A:$Z,BQ$5,0))))</f>
        <v/>
      </c>
      <c r="BR22" s="125" t="str">
        <f>IF(BR$6="","",IF(BR$3="Maior",iferror(VLOOKUP($R22,Capa!$A:$Z,BR$5,0),0),IF(ISERROR(1/VLOOKUP($R22,Capa!$A:$Z,BR$5,0)),0,1/VLOOKUP($R22,Capa!$A:$Z,BR$5,0))))</f>
        <v/>
      </c>
      <c r="BS22" s="88"/>
    </row>
    <row r="23">
      <c r="B23" s="115">
        <f t="shared" si="29"/>
        <v>1</v>
      </c>
      <c r="C23" s="134" t="s">
        <v>16</v>
      </c>
      <c r="D23" s="135" t="b">
        <v>0</v>
      </c>
      <c r="E23" s="136" t="s">
        <v>241</v>
      </c>
      <c r="F23" s="126">
        <f>MATCH(C23,Capa!$6:$6,0)</f>
        <v>13</v>
      </c>
      <c r="G23" s="9"/>
      <c r="H23" s="7">
        <v>17.0</v>
      </c>
      <c r="I23" s="129" t="str">
        <f t="shared" si="7"/>
        <v>VGIP11</v>
      </c>
      <c r="J23" s="112" t="str">
        <f>VLOOKUP(I23,Capa!A:G,7,0)</f>
        <v>Recebíveis Imobiliários</v>
      </c>
      <c r="K23" s="113">
        <f t="shared" si="8"/>
        <v>0.9192674847</v>
      </c>
      <c r="L23" s="113">
        <f t="shared" si="9"/>
        <v>0.1506184417</v>
      </c>
      <c r="M23" s="113" t="str">
        <f t="shared" si="10"/>
        <v/>
      </c>
      <c r="N23" s="113" t="str">
        <f t="shared" si="11"/>
        <v/>
      </c>
      <c r="O23" s="114">
        <f t="shared" si="12"/>
        <v>1821328.46</v>
      </c>
      <c r="P23" s="9"/>
      <c r="Q23" s="9"/>
      <c r="R23" s="115" t="s">
        <v>47</v>
      </c>
      <c r="S23" s="116">
        <f t="shared" si="13"/>
        <v>133.011518</v>
      </c>
      <c r="T23" s="117">
        <f>MID(VLOOKUP($R23,'Dados ClubeFII'!$A:$AU,23,0),3,100)/1</f>
        <v>1348892.58</v>
      </c>
      <c r="U23" s="118">
        <f t="shared" si="14"/>
        <v>115.0115</v>
      </c>
      <c r="V23" s="118">
        <f t="shared" si="15"/>
        <v>18.000018</v>
      </c>
      <c r="W23" s="118" t="str">
        <f t="shared" ref="W23:AS23" si="32">IF(AV23="","", RANK(AV23,AV$7:AV$405,0))</f>
        <v/>
      </c>
      <c r="X23" s="118" t="str">
        <f t="shared" si="32"/>
        <v/>
      </c>
      <c r="Y23" s="118" t="str">
        <f t="shared" si="32"/>
        <v/>
      </c>
      <c r="Z23" s="118" t="str">
        <f t="shared" si="32"/>
        <v/>
      </c>
      <c r="AA23" s="118" t="str">
        <f t="shared" si="32"/>
        <v/>
      </c>
      <c r="AB23" s="118" t="str">
        <f t="shared" si="32"/>
        <v/>
      </c>
      <c r="AC23" s="118" t="str">
        <f t="shared" si="32"/>
        <v/>
      </c>
      <c r="AD23" s="118" t="str">
        <f t="shared" si="32"/>
        <v/>
      </c>
      <c r="AE23" s="118" t="str">
        <f t="shared" si="32"/>
        <v/>
      </c>
      <c r="AF23" s="118" t="str">
        <f t="shared" si="32"/>
        <v/>
      </c>
      <c r="AG23" s="118" t="str">
        <f t="shared" si="32"/>
        <v/>
      </c>
      <c r="AH23" s="118" t="str">
        <f t="shared" si="32"/>
        <v/>
      </c>
      <c r="AI23" s="118" t="str">
        <f t="shared" si="32"/>
        <v/>
      </c>
      <c r="AJ23" s="118" t="str">
        <f t="shared" si="32"/>
        <v/>
      </c>
      <c r="AK23" s="118" t="str">
        <f t="shared" si="32"/>
        <v/>
      </c>
      <c r="AL23" s="118" t="str">
        <f t="shared" si="32"/>
        <v/>
      </c>
      <c r="AM23" s="118" t="str">
        <f t="shared" si="32"/>
        <v/>
      </c>
      <c r="AN23" s="118" t="str">
        <f t="shared" si="32"/>
        <v/>
      </c>
      <c r="AO23" s="118" t="str">
        <f t="shared" si="32"/>
        <v/>
      </c>
      <c r="AP23" s="118" t="str">
        <f t="shared" si="32"/>
        <v/>
      </c>
      <c r="AQ23" s="118" t="str">
        <f t="shared" si="32"/>
        <v/>
      </c>
      <c r="AR23" s="118" t="str">
        <f t="shared" si="32"/>
        <v/>
      </c>
      <c r="AS23" s="118" t="str">
        <f t="shared" si="32"/>
        <v/>
      </c>
      <c r="AT23" s="123">
        <f>IF(AT$6="","",IF(AT$3="Maior",iferror(VLOOKUP($R23,Capa!$A:$Z,AT$5,0),0),IF(ISERROR(1/VLOOKUP($R23,Capa!$A:$Z,AT$5,0)),0,1/VLOOKUP($R23,Capa!$A:$Z,AT$5,0))))</f>
        <v>1.162704935</v>
      </c>
      <c r="AU23" s="124">
        <f>IF(AU$6="","",IF(AU$3="Maior",iferror(VLOOKUP($R23,Capa!$A:$Z,AU$5,0),0),IF(ISERROR(1/VLOOKUP($R23,Capa!$A:$Z,AU$5,0)),0,1/VLOOKUP($R23,Capa!$A:$Z,AU$5,0))))</f>
        <v>0.1547136837</v>
      </c>
      <c r="AV23" s="124" t="str">
        <f>IF(AV$6="","",IF(AV$3="Maior",iferror(VLOOKUP($R23,Capa!$A:$Z,AV$5,0),0),IF(ISERROR(1/VLOOKUP($R23,Capa!$A:$Z,AV$5,0)),0,1/VLOOKUP($R23,Capa!$A:$Z,AV$5,0))))</f>
        <v/>
      </c>
      <c r="AW23" s="124" t="str">
        <f>IF(AW$6="","",IF(AW$3="Maior",iferror(VLOOKUP($R23,Capa!$A:$Z,AW$5,0),0),IF(ISERROR(1/VLOOKUP($R23,Capa!$A:$Z,AW$5,0)),0,1/VLOOKUP($R23,Capa!$A:$Z,AW$5,0))))</f>
        <v/>
      </c>
      <c r="AX23" s="124" t="str">
        <f>IF(AX$6="","",IF(AX$3="Maior",iferror(VLOOKUP($R23,Capa!$A:$Z,AX$5,0),0),IF(ISERROR(1/VLOOKUP($R23,Capa!$A:$Z,AX$5,0)),0,1/VLOOKUP($R23,Capa!$A:$Z,AX$5,0))))</f>
        <v/>
      </c>
      <c r="AY23" s="124" t="str">
        <f>IF(AY$6="","",IF(AY$3="Maior",iferror(VLOOKUP($R23,Capa!$A:$Z,AY$5,0),0),IF(ISERROR(1/VLOOKUP($R23,Capa!$A:$Z,AY$5,0)),0,1/VLOOKUP($R23,Capa!$A:$Z,AY$5,0))))</f>
        <v/>
      </c>
      <c r="AZ23" s="124" t="str">
        <f>IF(AZ$6="","",IF(AZ$3="Maior",iferror(VLOOKUP($R23,Capa!$A:$Z,AZ$5,0),0),IF(ISERROR(1/VLOOKUP($R23,Capa!$A:$Z,AZ$5,0)),0,1/VLOOKUP($R23,Capa!$A:$Z,AZ$5,0))))</f>
        <v/>
      </c>
      <c r="BA23" s="124" t="str">
        <f>IF(BA$6="","",IF(BA$3="Maior",iferror(VLOOKUP($R23,Capa!$A:$Z,BA$5,0),0),IF(ISERROR(1/VLOOKUP($R23,Capa!$A:$Z,BA$5,0)),0,1/VLOOKUP($R23,Capa!$A:$Z,BA$5,0))))</f>
        <v/>
      </c>
      <c r="BB23" s="124" t="str">
        <f>IF(BB$6="","",IF(BB$3="Maior",iferror(VLOOKUP($R23,Capa!$A:$Z,BB$5,0),0),IF(ISERROR(1/VLOOKUP($R23,Capa!$A:$Z,BB$5,0)),0,1/VLOOKUP($R23,Capa!$A:$Z,BB$5,0))))</f>
        <v/>
      </c>
      <c r="BC23" s="124" t="str">
        <f>IF(BC$6="","",IF(BC$3="Maior",iferror(VLOOKUP($R23,Capa!$A:$Z,BC$5,0),0),IF(ISERROR(1/VLOOKUP($R23,Capa!$A:$Z,BC$5,0)),0,1/VLOOKUP($R23,Capa!$A:$Z,BC$5,0))))</f>
        <v/>
      </c>
      <c r="BD23" s="124" t="str">
        <f>IF(BD$6="","",IF(BD$3="Maior",iferror(VLOOKUP($R23,Capa!$A:$Z,BD$5,0),0),IF(ISERROR(1/VLOOKUP($R23,Capa!$A:$Z,BD$5,0)),0,1/VLOOKUP($R23,Capa!$A:$Z,BD$5,0))))</f>
        <v/>
      </c>
      <c r="BE23" s="124" t="str">
        <f>IF(BE$6="","",IF(BE$3="Maior",iferror(VLOOKUP($R23,Capa!$A:$Z,BE$5,0),0),IF(ISERROR(1/VLOOKUP($R23,Capa!$A:$Z,BE$5,0)),0,1/VLOOKUP($R23,Capa!$A:$Z,BE$5,0))))</f>
        <v/>
      </c>
      <c r="BF23" s="124" t="str">
        <f>IF(BF$6="","",IF(BF$3="Maior",iferror(VLOOKUP($R23,Capa!$A:$Z,BF$5,0),0),IF(ISERROR(1/VLOOKUP($R23,Capa!$A:$Z,BF$5,0)),0,1/VLOOKUP($R23,Capa!$A:$Z,BF$5,0))))</f>
        <v/>
      </c>
      <c r="BG23" s="124" t="str">
        <f>IF(BG$6="","",IF(BG$3="Maior",iferror(VLOOKUP($R23,Capa!$A:$Z,BG$5,0),0),IF(ISERROR(1/VLOOKUP($R23,Capa!$A:$Z,BG$5,0)),0,1/VLOOKUP($R23,Capa!$A:$Z,BG$5,0))))</f>
        <v/>
      </c>
      <c r="BH23" s="124" t="str">
        <f>IF(BH$6="","",IF(BH$3="Maior",iferror(VLOOKUP($R23,Capa!$A:$Z,BH$5,0),0),IF(ISERROR(1/VLOOKUP($R23,Capa!$A:$Z,BH$5,0)),0,1/VLOOKUP($R23,Capa!$A:$Z,BH$5,0))))</f>
        <v/>
      </c>
      <c r="BI23" s="124" t="str">
        <f>IF(BI$6="","",IF(BI$3="Maior",iferror(VLOOKUP($R23,Capa!$A:$Z,BI$5,0),0),IF(ISERROR(1/VLOOKUP($R23,Capa!$A:$Z,BI$5,0)),0,1/VLOOKUP($R23,Capa!$A:$Z,BI$5,0))))</f>
        <v/>
      </c>
      <c r="BJ23" s="124" t="str">
        <f>IF(BJ$6="","",IF(BJ$3="Maior",iferror(VLOOKUP($R23,Capa!$A:$Z,BJ$5,0),0),IF(ISERROR(1/VLOOKUP($R23,Capa!$A:$Z,BJ$5,0)),0,1/VLOOKUP($R23,Capa!$A:$Z,BJ$5,0))))</f>
        <v/>
      </c>
      <c r="BK23" s="124" t="str">
        <f>IF(BK$6="","",IF(BK$3="Maior",iferror(VLOOKUP($R23,Capa!$A:$Z,BK$5,0),0),IF(ISERROR(1/VLOOKUP($R23,Capa!$A:$Z,BK$5,0)),0,1/VLOOKUP($R23,Capa!$A:$Z,BK$5,0))))</f>
        <v/>
      </c>
      <c r="BL23" s="124" t="str">
        <f>IF(BL$6="","",IF(BL$3="Maior",iferror(VLOOKUP($R23,Capa!$A:$Z,BL$5,0),0),IF(ISERROR(1/VLOOKUP($R23,Capa!$A:$Z,BL$5,0)),0,1/VLOOKUP($R23,Capa!$A:$Z,BL$5,0))))</f>
        <v/>
      </c>
      <c r="BM23" s="124" t="str">
        <f>IF(BM$6="","",IF(BM$3="Maior",iferror(VLOOKUP($R23,Capa!$A:$Z,BM$5,0),0),IF(ISERROR(1/VLOOKUP($R23,Capa!$A:$Z,BM$5,0)),0,1/VLOOKUP($R23,Capa!$A:$Z,BM$5,0))))</f>
        <v/>
      </c>
      <c r="BN23" s="124" t="str">
        <f>IF(BN$6="","",IF(BN$3="Maior",iferror(VLOOKUP($R23,Capa!$A:$Z,BN$5,0),0),IF(ISERROR(1/VLOOKUP($R23,Capa!$A:$Z,BN$5,0)),0,1/VLOOKUP($R23,Capa!$A:$Z,BN$5,0))))</f>
        <v/>
      </c>
      <c r="BO23" s="124" t="str">
        <f>IF(BO$6="","",IF(BO$3="Maior",iferror(VLOOKUP($R23,Capa!$A:$Z,BO$5,0),0),IF(ISERROR(1/VLOOKUP($R23,Capa!$A:$Z,BO$5,0)),0,1/VLOOKUP($R23,Capa!$A:$Z,BO$5,0))))</f>
        <v/>
      </c>
      <c r="BP23" s="124" t="str">
        <f>IF(BP$6="","",IF(BP$3="Maior",iferror(VLOOKUP($R23,Capa!$A:$Z,BP$5,0),0),IF(ISERROR(1/VLOOKUP($R23,Capa!$A:$Z,BP$5,0)),0,1/VLOOKUP($R23,Capa!$A:$Z,BP$5,0))))</f>
        <v/>
      </c>
      <c r="BQ23" s="124" t="str">
        <f>IF(BQ$6="","",IF(BQ$3="Maior",iferror(VLOOKUP($R23,Capa!$A:$Z,BQ$5,0),0),IF(ISERROR(1/VLOOKUP($R23,Capa!$A:$Z,BQ$5,0)),0,1/VLOOKUP($R23,Capa!$A:$Z,BQ$5,0))))</f>
        <v/>
      </c>
      <c r="BR23" s="125" t="str">
        <f>IF(BR$6="","",IF(BR$3="Maior",iferror(VLOOKUP($R23,Capa!$A:$Z,BR$5,0),0),IF(ISERROR(1/VLOOKUP($R23,Capa!$A:$Z,BR$5,0)),0,1/VLOOKUP($R23,Capa!$A:$Z,BR$5,0))))</f>
        <v/>
      </c>
      <c r="BS23" s="88"/>
    </row>
    <row r="24">
      <c r="B24" s="115">
        <f t="shared" si="29"/>
        <v>1</v>
      </c>
      <c r="C24" s="134" t="s">
        <v>17</v>
      </c>
      <c r="D24" s="135" t="b">
        <v>0</v>
      </c>
      <c r="E24" s="136" t="s">
        <v>241</v>
      </c>
      <c r="F24" s="126">
        <f>MATCH(C24,Capa!$6:$6,0)</f>
        <v>14</v>
      </c>
      <c r="G24" s="9"/>
      <c r="H24" s="7">
        <v>18.0</v>
      </c>
      <c r="I24" s="111" t="str">
        <f t="shared" si="7"/>
        <v>MCCI11</v>
      </c>
      <c r="J24" s="112" t="str">
        <f>VLOOKUP(I24,Capa!A:G,7,0)</f>
        <v>Recebíveis Imobiliários</v>
      </c>
      <c r="K24" s="113">
        <f t="shared" si="8"/>
        <v>0.9412433393</v>
      </c>
      <c r="L24" s="113">
        <f t="shared" si="9"/>
        <v>0.1551005329</v>
      </c>
      <c r="M24" s="113" t="str">
        <f t="shared" si="10"/>
        <v/>
      </c>
      <c r="N24" s="113" t="str">
        <f t="shared" si="11"/>
        <v/>
      </c>
      <c r="O24" s="114">
        <f t="shared" si="12"/>
        <v>4428370.74</v>
      </c>
      <c r="P24" s="9"/>
      <c r="Q24" s="9"/>
      <c r="R24" s="115" t="s">
        <v>44</v>
      </c>
      <c r="S24" s="116">
        <f t="shared" si="13"/>
        <v>213.016152</v>
      </c>
      <c r="T24" s="117">
        <f>MID(VLOOKUP($R24,'Dados ClubeFII'!$A:$AU,23,0),3,100)/1</f>
        <v>7340383.63</v>
      </c>
      <c r="U24" s="118">
        <f t="shared" si="14"/>
        <v>161.0161</v>
      </c>
      <c r="V24" s="118">
        <f t="shared" si="15"/>
        <v>52.000052</v>
      </c>
      <c r="W24" s="118" t="str">
        <f t="shared" ref="W24:AS24" si="33">IF(AV24="","", RANK(AV24,AV$7:AV$405,0))</f>
        <v/>
      </c>
      <c r="X24" s="118" t="str">
        <f t="shared" si="33"/>
        <v/>
      </c>
      <c r="Y24" s="118" t="str">
        <f t="shared" si="33"/>
        <v/>
      </c>
      <c r="Z24" s="118" t="str">
        <f t="shared" si="33"/>
        <v/>
      </c>
      <c r="AA24" s="118" t="str">
        <f t="shared" si="33"/>
        <v/>
      </c>
      <c r="AB24" s="118" t="str">
        <f t="shared" si="33"/>
        <v/>
      </c>
      <c r="AC24" s="118" t="str">
        <f t="shared" si="33"/>
        <v/>
      </c>
      <c r="AD24" s="118" t="str">
        <f t="shared" si="33"/>
        <v/>
      </c>
      <c r="AE24" s="118" t="str">
        <f t="shared" si="33"/>
        <v/>
      </c>
      <c r="AF24" s="118" t="str">
        <f t="shared" si="33"/>
        <v/>
      </c>
      <c r="AG24" s="118" t="str">
        <f t="shared" si="33"/>
        <v/>
      </c>
      <c r="AH24" s="118" t="str">
        <f t="shared" si="33"/>
        <v/>
      </c>
      <c r="AI24" s="118" t="str">
        <f t="shared" si="33"/>
        <v/>
      </c>
      <c r="AJ24" s="118" t="str">
        <f t="shared" si="33"/>
        <v/>
      </c>
      <c r="AK24" s="118" t="str">
        <f t="shared" si="33"/>
        <v/>
      </c>
      <c r="AL24" s="118" t="str">
        <f t="shared" si="33"/>
        <v/>
      </c>
      <c r="AM24" s="118" t="str">
        <f t="shared" si="33"/>
        <v/>
      </c>
      <c r="AN24" s="118" t="str">
        <f t="shared" si="33"/>
        <v/>
      </c>
      <c r="AO24" s="118" t="str">
        <f t="shared" si="33"/>
        <v/>
      </c>
      <c r="AP24" s="118" t="str">
        <f t="shared" si="33"/>
        <v/>
      </c>
      <c r="AQ24" s="118" t="str">
        <f t="shared" si="33"/>
        <v/>
      </c>
      <c r="AR24" s="118" t="str">
        <f t="shared" si="33"/>
        <v/>
      </c>
      <c r="AS24" s="118" t="str">
        <f t="shared" si="33"/>
        <v/>
      </c>
      <c r="AT24" s="123">
        <f>IF(AT$6="","",IF(AT$3="Maior",iferror(VLOOKUP($R24,Capa!$A:$Z,AT$5,0),0),IF(ISERROR(1/VLOOKUP($R24,Capa!$A:$Z,AT$5,0)),0,1/VLOOKUP($R24,Capa!$A:$Z,AT$5,0))))</f>
        <v>1.032520099</v>
      </c>
      <c r="AU24" s="124">
        <f>IF(AU$6="","",IF(AU$3="Maior",iferror(VLOOKUP($R24,Capa!$A:$Z,AU$5,0),0),IF(ISERROR(1/VLOOKUP($R24,Capa!$A:$Z,AU$5,0)),0,1/VLOOKUP($R24,Capa!$A:$Z,AU$5,0))))</f>
        <v>0.1351870375</v>
      </c>
      <c r="AV24" s="124" t="str">
        <f>IF(AV$6="","",IF(AV$3="Maior",iferror(VLOOKUP($R24,Capa!$A:$Z,AV$5,0),0),IF(ISERROR(1/VLOOKUP($R24,Capa!$A:$Z,AV$5,0)),0,1/VLOOKUP($R24,Capa!$A:$Z,AV$5,0))))</f>
        <v/>
      </c>
      <c r="AW24" s="124" t="str">
        <f>IF(AW$6="","",IF(AW$3="Maior",iferror(VLOOKUP($R24,Capa!$A:$Z,AW$5,0),0),IF(ISERROR(1/VLOOKUP($R24,Capa!$A:$Z,AW$5,0)),0,1/VLOOKUP($R24,Capa!$A:$Z,AW$5,0))))</f>
        <v/>
      </c>
      <c r="AX24" s="124" t="str">
        <f>IF(AX$6="","",IF(AX$3="Maior",iferror(VLOOKUP($R24,Capa!$A:$Z,AX$5,0),0),IF(ISERROR(1/VLOOKUP($R24,Capa!$A:$Z,AX$5,0)),0,1/VLOOKUP($R24,Capa!$A:$Z,AX$5,0))))</f>
        <v/>
      </c>
      <c r="AY24" s="124" t="str">
        <f>IF(AY$6="","",IF(AY$3="Maior",iferror(VLOOKUP($R24,Capa!$A:$Z,AY$5,0),0),IF(ISERROR(1/VLOOKUP($R24,Capa!$A:$Z,AY$5,0)),0,1/VLOOKUP($R24,Capa!$A:$Z,AY$5,0))))</f>
        <v/>
      </c>
      <c r="AZ24" s="124" t="str">
        <f>IF(AZ$6="","",IF(AZ$3="Maior",iferror(VLOOKUP($R24,Capa!$A:$Z,AZ$5,0),0),IF(ISERROR(1/VLOOKUP($R24,Capa!$A:$Z,AZ$5,0)),0,1/VLOOKUP($R24,Capa!$A:$Z,AZ$5,0))))</f>
        <v/>
      </c>
      <c r="BA24" s="124" t="str">
        <f>IF(BA$6="","",IF(BA$3="Maior",iferror(VLOOKUP($R24,Capa!$A:$Z,BA$5,0),0),IF(ISERROR(1/VLOOKUP($R24,Capa!$A:$Z,BA$5,0)),0,1/VLOOKUP($R24,Capa!$A:$Z,BA$5,0))))</f>
        <v/>
      </c>
      <c r="BB24" s="124" t="str">
        <f>IF(BB$6="","",IF(BB$3="Maior",iferror(VLOOKUP($R24,Capa!$A:$Z,BB$5,0),0),IF(ISERROR(1/VLOOKUP($R24,Capa!$A:$Z,BB$5,0)),0,1/VLOOKUP($R24,Capa!$A:$Z,BB$5,0))))</f>
        <v/>
      </c>
      <c r="BC24" s="124" t="str">
        <f>IF(BC$6="","",IF(BC$3="Maior",iferror(VLOOKUP($R24,Capa!$A:$Z,BC$5,0),0),IF(ISERROR(1/VLOOKUP($R24,Capa!$A:$Z,BC$5,0)),0,1/VLOOKUP($R24,Capa!$A:$Z,BC$5,0))))</f>
        <v/>
      </c>
      <c r="BD24" s="124" t="str">
        <f>IF(BD$6="","",IF(BD$3="Maior",iferror(VLOOKUP($R24,Capa!$A:$Z,BD$5,0),0),IF(ISERROR(1/VLOOKUP($R24,Capa!$A:$Z,BD$5,0)),0,1/VLOOKUP($R24,Capa!$A:$Z,BD$5,0))))</f>
        <v/>
      </c>
      <c r="BE24" s="124" t="str">
        <f>IF(BE$6="","",IF(BE$3="Maior",iferror(VLOOKUP($R24,Capa!$A:$Z,BE$5,0),0),IF(ISERROR(1/VLOOKUP($R24,Capa!$A:$Z,BE$5,0)),0,1/VLOOKUP($R24,Capa!$A:$Z,BE$5,0))))</f>
        <v/>
      </c>
      <c r="BF24" s="124" t="str">
        <f>IF(BF$6="","",IF(BF$3="Maior",iferror(VLOOKUP($R24,Capa!$A:$Z,BF$5,0),0),IF(ISERROR(1/VLOOKUP($R24,Capa!$A:$Z,BF$5,0)),0,1/VLOOKUP($R24,Capa!$A:$Z,BF$5,0))))</f>
        <v/>
      </c>
      <c r="BG24" s="124" t="str">
        <f>IF(BG$6="","",IF(BG$3="Maior",iferror(VLOOKUP($R24,Capa!$A:$Z,BG$5,0),0),IF(ISERROR(1/VLOOKUP($R24,Capa!$A:$Z,BG$5,0)),0,1/VLOOKUP($R24,Capa!$A:$Z,BG$5,0))))</f>
        <v/>
      </c>
      <c r="BH24" s="124" t="str">
        <f>IF(BH$6="","",IF(BH$3="Maior",iferror(VLOOKUP($R24,Capa!$A:$Z,BH$5,0),0),IF(ISERROR(1/VLOOKUP($R24,Capa!$A:$Z,BH$5,0)),0,1/VLOOKUP($R24,Capa!$A:$Z,BH$5,0))))</f>
        <v/>
      </c>
      <c r="BI24" s="124" t="str">
        <f>IF(BI$6="","",IF(BI$3="Maior",iferror(VLOOKUP($R24,Capa!$A:$Z,BI$5,0),0),IF(ISERROR(1/VLOOKUP($R24,Capa!$A:$Z,BI$5,0)),0,1/VLOOKUP($R24,Capa!$A:$Z,BI$5,0))))</f>
        <v/>
      </c>
      <c r="BJ24" s="124" t="str">
        <f>IF(BJ$6="","",IF(BJ$3="Maior",iferror(VLOOKUP($R24,Capa!$A:$Z,BJ$5,0),0),IF(ISERROR(1/VLOOKUP($R24,Capa!$A:$Z,BJ$5,0)),0,1/VLOOKUP($R24,Capa!$A:$Z,BJ$5,0))))</f>
        <v/>
      </c>
      <c r="BK24" s="124" t="str">
        <f>IF(BK$6="","",IF(BK$3="Maior",iferror(VLOOKUP($R24,Capa!$A:$Z,BK$5,0),0),IF(ISERROR(1/VLOOKUP($R24,Capa!$A:$Z,BK$5,0)),0,1/VLOOKUP($R24,Capa!$A:$Z,BK$5,0))))</f>
        <v/>
      </c>
      <c r="BL24" s="124" t="str">
        <f>IF(BL$6="","",IF(BL$3="Maior",iferror(VLOOKUP($R24,Capa!$A:$Z,BL$5,0),0),IF(ISERROR(1/VLOOKUP($R24,Capa!$A:$Z,BL$5,0)),0,1/VLOOKUP($R24,Capa!$A:$Z,BL$5,0))))</f>
        <v/>
      </c>
      <c r="BM24" s="124" t="str">
        <f>IF(BM$6="","",IF(BM$3="Maior",iferror(VLOOKUP($R24,Capa!$A:$Z,BM$5,0),0),IF(ISERROR(1/VLOOKUP($R24,Capa!$A:$Z,BM$5,0)),0,1/VLOOKUP($R24,Capa!$A:$Z,BM$5,0))))</f>
        <v/>
      </c>
      <c r="BN24" s="124" t="str">
        <f>IF(BN$6="","",IF(BN$3="Maior",iferror(VLOOKUP($R24,Capa!$A:$Z,BN$5,0),0),IF(ISERROR(1/VLOOKUP($R24,Capa!$A:$Z,BN$5,0)),0,1/VLOOKUP($R24,Capa!$A:$Z,BN$5,0))))</f>
        <v/>
      </c>
      <c r="BO24" s="124" t="str">
        <f>IF(BO$6="","",IF(BO$3="Maior",iferror(VLOOKUP($R24,Capa!$A:$Z,BO$5,0),0),IF(ISERROR(1/VLOOKUP($R24,Capa!$A:$Z,BO$5,0)),0,1/VLOOKUP($R24,Capa!$A:$Z,BO$5,0))))</f>
        <v/>
      </c>
      <c r="BP24" s="124" t="str">
        <f>IF(BP$6="","",IF(BP$3="Maior",iferror(VLOOKUP($R24,Capa!$A:$Z,BP$5,0),0),IF(ISERROR(1/VLOOKUP($R24,Capa!$A:$Z,BP$5,0)),0,1/VLOOKUP($R24,Capa!$A:$Z,BP$5,0))))</f>
        <v/>
      </c>
      <c r="BQ24" s="124" t="str">
        <f>IF(BQ$6="","",IF(BQ$3="Maior",iferror(VLOOKUP($R24,Capa!$A:$Z,BQ$5,0),0),IF(ISERROR(1/VLOOKUP($R24,Capa!$A:$Z,BQ$5,0)),0,1/VLOOKUP($R24,Capa!$A:$Z,BQ$5,0))))</f>
        <v/>
      </c>
      <c r="BR24" s="125" t="str">
        <f>IF(BR$6="","",IF(BR$3="Maior",iferror(VLOOKUP($R24,Capa!$A:$Z,BR$5,0),0),IF(ISERROR(1/VLOOKUP($R24,Capa!$A:$Z,BR$5,0)),0,1/VLOOKUP($R24,Capa!$A:$Z,BR$5,0))))</f>
        <v/>
      </c>
      <c r="BS24" s="88"/>
    </row>
    <row r="25">
      <c r="B25" s="115">
        <f t="shared" si="29"/>
        <v>1</v>
      </c>
      <c r="C25" s="134" t="s">
        <v>18</v>
      </c>
      <c r="D25" s="135" t="b">
        <v>0</v>
      </c>
      <c r="E25" s="136" t="s">
        <v>241</v>
      </c>
      <c r="F25" s="126">
        <f>MATCH(C25,Capa!$6:$6,0)</f>
        <v>15</v>
      </c>
      <c r="G25" s="9"/>
      <c r="H25" s="7">
        <v>19.0</v>
      </c>
      <c r="I25" s="111" t="str">
        <f t="shared" si="7"/>
        <v>GGRC11</v>
      </c>
      <c r="J25" s="112" t="str">
        <f>VLOOKUP(I25,Capa!A:G,7,0)</f>
        <v>Logisticos</v>
      </c>
      <c r="K25" s="113">
        <f t="shared" si="8"/>
        <v>0.8075748503</v>
      </c>
      <c r="L25" s="113">
        <f t="shared" si="9"/>
        <v>0.1111661677</v>
      </c>
      <c r="M25" s="113" t="str">
        <f t="shared" si="10"/>
        <v/>
      </c>
      <c r="N25" s="113" t="str">
        <f t="shared" si="11"/>
        <v/>
      </c>
      <c r="O25" s="114">
        <f t="shared" si="12"/>
        <v>2087732.73</v>
      </c>
      <c r="P25" s="9"/>
      <c r="Q25" s="9"/>
      <c r="R25" s="115" t="s">
        <v>89</v>
      </c>
      <c r="S25" s="116">
        <f t="shared" si="13"/>
        <v>1082.007606</v>
      </c>
      <c r="T25" s="117">
        <f>MID(VLOOKUP($R25,'Dados ClubeFII'!$A:$AU,23,0),3,100)/1</f>
        <v>123197.37</v>
      </c>
      <c r="U25" s="118">
        <f t="shared" si="14"/>
        <v>76.0076</v>
      </c>
      <c r="V25" s="118">
        <f t="shared" si="15"/>
        <v>6.000006</v>
      </c>
      <c r="W25" s="118" t="str">
        <f t="shared" ref="W25:AS25" si="34">IF(AV25="","", RANK(AV25,AV$7:AV$405,0))</f>
        <v/>
      </c>
      <c r="X25" s="118" t="str">
        <f t="shared" si="34"/>
        <v/>
      </c>
      <c r="Y25" s="118" t="str">
        <f t="shared" si="34"/>
        <v/>
      </c>
      <c r="Z25" s="118" t="str">
        <f t="shared" si="34"/>
        <v/>
      </c>
      <c r="AA25" s="118" t="str">
        <f t="shared" si="34"/>
        <v/>
      </c>
      <c r="AB25" s="118" t="str">
        <f t="shared" si="34"/>
        <v/>
      </c>
      <c r="AC25" s="118" t="str">
        <f t="shared" si="34"/>
        <v/>
      </c>
      <c r="AD25" s="118" t="str">
        <f t="shared" si="34"/>
        <v/>
      </c>
      <c r="AE25" s="118" t="str">
        <f t="shared" si="34"/>
        <v/>
      </c>
      <c r="AF25" s="118" t="str">
        <f t="shared" si="34"/>
        <v/>
      </c>
      <c r="AG25" s="118" t="str">
        <f t="shared" si="34"/>
        <v/>
      </c>
      <c r="AH25" s="118" t="str">
        <f t="shared" si="34"/>
        <v/>
      </c>
      <c r="AI25" s="118" t="str">
        <f t="shared" si="34"/>
        <v/>
      </c>
      <c r="AJ25" s="118" t="str">
        <f t="shared" si="34"/>
        <v/>
      </c>
      <c r="AK25" s="118" t="str">
        <f t="shared" si="34"/>
        <v/>
      </c>
      <c r="AL25" s="118" t="str">
        <f t="shared" si="34"/>
        <v/>
      </c>
      <c r="AM25" s="118" t="str">
        <f t="shared" si="34"/>
        <v/>
      </c>
      <c r="AN25" s="118" t="str">
        <f t="shared" si="34"/>
        <v/>
      </c>
      <c r="AO25" s="118" t="str">
        <f t="shared" si="34"/>
        <v/>
      </c>
      <c r="AP25" s="118" t="str">
        <f t="shared" si="34"/>
        <v/>
      </c>
      <c r="AQ25" s="118" t="str">
        <f t="shared" si="34"/>
        <v/>
      </c>
      <c r="AR25" s="118" t="str">
        <f t="shared" si="34"/>
        <v/>
      </c>
      <c r="AS25" s="118" t="str">
        <f t="shared" si="34"/>
        <v/>
      </c>
      <c r="AT25" s="123">
        <f>IF(AT$6="","",IF(AT$3="Maior",iferror(VLOOKUP($R25,Capa!$A:$Z,AT$5,0),0),IF(ISERROR(1/VLOOKUP($R25,Capa!$A:$Z,AT$5,0)),0,1/VLOOKUP($R25,Capa!$A:$Z,AT$5,0))))</f>
        <v>1.260330579</v>
      </c>
      <c r="AU25" s="124">
        <f>IF(AU$6="","",IF(AU$3="Maior",iferror(VLOOKUP($R25,Capa!$A:$Z,AU$5,0),0),IF(ISERROR(1/VLOOKUP($R25,Capa!$A:$Z,AU$5,0)),0,1/VLOOKUP($R25,Capa!$A:$Z,AU$5,0))))</f>
        <v>0.169102459</v>
      </c>
      <c r="AV25" s="124" t="str">
        <f>IF(AV$6="","",IF(AV$3="Maior",iferror(VLOOKUP($R25,Capa!$A:$Z,AV$5,0),0),IF(ISERROR(1/VLOOKUP($R25,Capa!$A:$Z,AV$5,0)),0,1/VLOOKUP($R25,Capa!$A:$Z,AV$5,0))))</f>
        <v/>
      </c>
      <c r="AW25" s="124" t="str">
        <f>IF(AW$6="","",IF(AW$3="Maior",iferror(VLOOKUP($R25,Capa!$A:$Z,AW$5,0),0),IF(ISERROR(1/VLOOKUP($R25,Capa!$A:$Z,AW$5,0)),0,1/VLOOKUP($R25,Capa!$A:$Z,AW$5,0))))</f>
        <v/>
      </c>
      <c r="AX25" s="124" t="str">
        <f>IF(AX$6="","",IF(AX$3="Maior",iferror(VLOOKUP($R25,Capa!$A:$Z,AX$5,0),0),IF(ISERROR(1/VLOOKUP($R25,Capa!$A:$Z,AX$5,0)),0,1/VLOOKUP($R25,Capa!$A:$Z,AX$5,0))))</f>
        <v/>
      </c>
      <c r="AY25" s="124" t="str">
        <f>IF(AY$6="","",IF(AY$3="Maior",iferror(VLOOKUP($R25,Capa!$A:$Z,AY$5,0),0),IF(ISERROR(1/VLOOKUP($R25,Capa!$A:$Z,AY$5,0)),0,1/VLOOKUP($R25,Capa!$A:$Z,AY$5,0))))</f>
        <v/>
      </c>
      <c r="AZ25" s="124" t="str">
        <f>IF(AZ$6="","",IF(AZ$3="Maior",iferror(VLOOKUP($R25,Capa!$A:$Z,AZ$5,0),0),IF(ISERROR(1/VLOOKUP($R25,Capa!$A:$Z,AZ$5,0)),0,1/VLOOKUP($R25,Capa!$A:$Z,AZ$5,0))))</f>
        <v/>
      </c>
      <c r="BA25" s="124" t="str">
        <f>IF(BA$6="","",IF(BA$3="Maior",iferror(VLOOKUP($R25,Capa!$A:$Z,BA$5,0),0),IF(ISERROR(1/VLOOKUP($R25,Capa!$A:$Z,BA$5,0)),0,1/VLOOKUP($R25,Capa!$A:$Z,BA$5,0))))</f>
        <v/>
      </c>
      <c r="BB25" s="124" t="str">
        <f>IF(BB$6="","",IF(BB$3="Maior",iferror(VLOOKUP($R25,Capa!$A:$Z,BB$5,0),0),IF(ISERROR(1/VLOOKUP($R25,Capa!$A:$Z,BB$5,0)),0,1/VLOOKUP($R25,Capa!$A:$Z,BB$5,0))))</f>
        <v/>
      </c>
      <c r="BC25" s="124" t="str">
        <f>IF(BC$6="","",IF(BC$3="Maior",iferror(VLOOKUP($R25,Capa!$A:$Z,BC$5,0),0),IF(ISERROR(1/VLOOKUP($R25,Capa!$A:$Z,BC$5,0)),0,1/VLOOKUP($R25,Capa!$A:$Z,BC$5,0))))</f>
        <v/>
      </c>
      <c r="BD25" s="124" t="str">
        <f>IF(BD$6="","",IF(BD$3="Maior",iferror(VLOOKUP($R25,Capa!$A:$Z,BD$5,0),0),IF(ISERROR(1/VLOOKUP($R25,Capa!$A:$Z,BD$5,0)),0,1/VLOOKUP($R25,Capa!$A:$Z,BD$5,0))))</f>
        <v/>
      </c>
      <c r="BE25" s="124" t="str">
        <f>IF(BE$6="","",IF(BE$3="Maior",iferror(VLOOKUP($R25,Capa!$A:$Z,BE$5,0),0),IF(ISERROR(1/VLOOKUP($R25,Capa!$A:$Z,BE$5,0)),0,1/VLOOKUP($R25,Capa!$A:$Z,BE$5,0))))</f>
        <v/>
      </c>
      <c r="BF25" s="124" t="str">
        <f>IF(BF$6="","",IF(BF$3="Maior",iferror(VLOOKUP($R25,Capa!$A:$Z,BF$5,0),0),IF(ISERROR(1/VLOOKUP($R25,Capa!$A:$Z,BF$5,0)),0,1/VLOOKUP($R25,Capa!$A:$Z,BF$5,0))))</f>
        <v/>
      </c>
      <c r="BG25" s="124" t="str">
        <f>IF(BG$6="","",IF(BG$3="Maior",iferror(VLOOKUP($R25,Capa!$A:$Z,BG$5,0),0),IF(ISERROR(1/VLOOKUP($R25,Capa!$A:$Z,BG$5,0)),0,1/VLOOKUP($R25,Capa!$A:$Z,BG$5,0))))</f>
        <v/>
      </c>
      <c r="BH25" s="124" t="str">
        <f>IF(BH$6="","",IF(BH$3="Maior",iferror(VLOOKUP($R25,Capa!$A:$Z,BH$5,0),0),IF(ISERROR(1/VLOOKUP($R25,Capa!$A:$Z,BH$5,0)),0,1/VLOOKUP($R25,Capa!$A:$Z,BH$5,0))))</f>
        <v/>
      </c>
      <c r="BI25" s="124" t="str">
        <f>IF(BI$6="","",IF(BI$3="Maior",iferror(VLOOKUP($R25,Capa!$A:$Z,BI$5,0),0),IF(ISERROR(1/VLOOKUP($R25,Capa!$A:$Z,BI$5,0)),0,1/VLOOKUP($R25,Capa!$A:$Z,BI$5,0))))</f>
        <v/>
      </c>
      <c r="BJ25" s="124" t="str">
        <f>IF(BJ$6="","",IF(BJ$3="Maior",iferror(VLOOKUP($R25,Capa!$A:$Z,BJ$5,0),0),IF(ISERROR(1/VLOOKUP($R25,Capa!$A:$Z,BJ$5,0)),0,1/VLOOKUP($R25,Capa!$A:$Z,BJ$5,0))))</f>
        <v/>
      </c>
      <c r="BK25" s="124" t="str">
        <f>IF(BK$6="","",IF(BK$3="Maior",iferror(VLOOKUP($R25,Capa!$A:$Z,BK$5,0),0),IF(ISERROR(1/VLOOKUP($R25,Capa!$A:$Z,BK$5,0)),0,1/VLOOKUP($R25,Capa!$A:$Z,BK$5,0))))</f>
        <v/>
      </c>
      <c r="BL25" s="124" t="str">
        <f>IF(BL$6="","",IF(BL$3="Maior",iferror(VLOOKUP($R25,Capa!$A:$Z,BL$5,0),0),IF(ISERROR(1/VLOOKUP($R25,Capa!$A:$Z,BL$5,0)),0,1/VLOOKUP($R25,Capa!$A:$Z,BL$5,0))))</f>
        <v/>
      </c>
      <c r="BM25" s="124" t="str">
        <f>IF(BM$6="","",IF(BM$3="Maior",iferror(VLOOKUP($R25,Capa!$A:$Z,BM$5,0),0),IF(ISERROR(1/VLOOKUP($R25,Capa!$A:$Z,BM$5,0)),0,1/VLOOKUP($R25,Capa!$A:$Z,BM$5,0))))</f>
        <v/>
      </c>
      <c r="BN25" s="124" t="str">
        <f>IF(BN$6="","",IF(BN$3="Maior",iferror(VLOOKUP($R25,Capa!$A:$Z,BN$5,0),0),IF(ISERROR(1/VLOOKUP($R25,Capa!$A:$Z,BN$5,0)),0,1/VLOOKUP($R25,Capa!$A:$Z,BN$5,0))))</f>
        <v/>
      </c>
      <c r="BO25" s="124" t="str">
        <f>IF(BO$6="","",IF(BO$3="Maior",iferror(VLOOKUP($R25,Capa!$A:$Z,BO$5,0),0),IF(ISERROR(1/VLOOKUP($R25,Capa!$A:$Z,BO$5,0)),0,1/VLOOKUP($R25,Capa!$A:$Z,BO$5,0))))</f>
        <v/>
      </c>
      <c r="BP25" s="124" t="str">
        <f>IF(BP$6="","",IF(BP$3="Maior",iferror(VLOOKUP($R25,Capa!$A:$Z,BP$5,0),0),IF(ISERROR(1/VLOOKUP($R25,Capa!$A:$Z,BP$5,0)),0,1/VLOOKUP($R25,Capa!$A:$Z,BP$5,0))))</f>
        <v/>
      </c>
      <c r="BQ25" s="124" t="str">
        <f>IF(BQ$6="","",IF(BQ$3="Maior",iferror(VLOOKUP($R25,Capa!$A:$Z,BQ$5,0),0),IF(ISERROR(1/VLOOKUP($R25,Capa!$A:$Z,BQ$5,0)),0,1/VLOOKUP($R25,Capa!$A:$Z,BQ$5,0))))</f>
        <v/>
      </c>
      <c r="BR25" s="125" t="str">
        <f>IF(BR$6="","",IF(BR$3="Maior",iferror(VLOOKUP($R25,Capa!$A:$Z,BR$5,0),0),IF(ISERROR(1/VLOOKUP($R25,Capa!$A:$Z,BR$5,0)),0,1/VLOOKUP($R25,Capa!$A:$Z,BR$5,0))))</f>
        <v/>
      </c>
      <c r="BS25" s="88"/>
    </row>
    <row r="26">
      <c r="B26" s="115">
        <f t="shared" si="29"/>
        <v>1</v>
      </c>
      <c r="C26" s="134" t="s">
        <v>19</v>
      </c>
      <c r="D26" s="135" t="b">
        <v>0</v>
      </c>
      <c r="E26" s="136" t="s">
        <v>241</v>
      </c>
      <c r="F26" s="126">
        <f>MATCH(C26,Capa!$6:$6,0)</f>
        <v>16</v>
      </c>
      <c r="G26" s="9"/>
      <c r="H26" s="7">
        <v>20.0</v>
      </c>
      <c r="I26" s="111" t="str">
        <f t="shared" si="7"/>
        <v>RBRY11</v>
      </c>
      <c r="J26" s="112" t="str">
        <f>VLOOKUP(I26,Capa!A:G,7,0)</f>
        <v>Recebíveis Imobiliários</v>
      </c>
      <c r="K26" s="113">
        <f t="shared" si="8"/>
        <v>0.9353723683</v>
      </c>
      <c r="L26" s="113">
        <f t="shared" si="9"/>
        <v>0.1498585943</v>
      </c>
      <c r="M26" s="113" t="str">
        <f t="shared" si="10"/>
        <v/>
      </c>
      <c r="N26" s="113" t="str">
        <f t="shared" si="11"/>
        <v/>
      </c>
      <c r="O26" s="114">
        <f t="shared" si="12"/>
        <v>1229171.61</v>
      </c>
      <c r="P26" s="9"/>
      <c r="Q26" s="9"/>
      <c r="R26" s="115" t="s">
        <v>97</v>
      </c>
      <c r="S26" s="116">
        <f t="shared" si="13"/>
        <v>1144.009945</v>
      </c>
      <c r="T26" s="117">
        <f>MID(VLOOKUP($R26,'Dados ClubeFII'!$A:$AU,23,0),3,100)/1</f>
        <v>15774.54</v>
      </c>
      <c r="U26" s="118">
        <f t="shared" si="14"/>
        <v>99.0099</v>
      </c>
      <c r="V26" s="118">
        <f t="shared" si="15"/>
        <v>45.000045</v>
      </c>
      <c r="W26" s="118" t="str">
        <f t="shared" ref="W26:AS26" si="35">IF(AV26="","", RANK(AV26,AV$7:AV$405,0))</f>
        <v/>
      </c>
      <c r="X26" s="118" t="str">
        <f t="shared" si="35"/>
        <v/>
      </c>
      <c r="Y26" s="118" t="str">
        <f t="shared" si="35"/>
        <v/>
      </c>
      <c r="Z26" s="118" t="str">
        <f t="shared" si="35"/>
        <v/>
      </c>
      <c r="AA26" s="118" t="str">
        <f t="shared" si="35"/>
        <v/>
      </c>
      <c r="AB26" s="118" t="str">
        <f t="shared" si="35"/>
        <v/>
      </c>
      <c r="AC26" s="118" t="str">
        <f t="shared" si="35"/>
        <v/>
      </c>
      <c r="AD26" s="118" t="str">
        <f t="shared" si="35"/>
        <v/>
      </c>
      <c r="AE26" s="118" t="str">
        <f t="shared" si="35"/>
        <v/>
      </c>
      <c r="AF26" s="118" t="str">
        <f t="shared" si="35"/>
        <v/>
      </c>
      <c r="AG26" s="118" t="str">
        <f t="shared" si="35"/>
        <v/>
      </c>
      <c r="AH26" s="118" t="str">
        <f t="shared" si="35"/>
        <v/>
      </c>
      <c r="AI26" s="118" t="str">
        <f t="shared" si="35"/>
        <v/>
      </c>
      <c r="AJ26" s="118" t="str">
        <f t="shared" si="35"/>
        <v/>
      </c>
      <c r="AK26" s="118" t="str">
        <f t="shared" si="35"/>
        <v/>
      </c>
      <c r="AL26" s="118" t="str">
        <f t="shared" si="35"/>
        <v/>
      </c>
      <c r="AM26" s="118" t="str">
        <f t="shared" si="35"/>
        <v/>
      </c>
      <c r="AN26" s="118" t="str">
        <f t="shared" si="35"/>
        <v/>
      </c>
      <c r="AO26" s="118" t="str">
        <f t="shared" si="35"/>
        <v/>
      </c>
      <c r="AP26" s="118" t="str">
        <f t="shared" si="35"/>
        <v/>
      </c>
      <c r="AQ26" s="118" t="str">
        <f t="shared" si="35"/>
        <v/>
      </c>
      <c r="AR26" s="118" t="str">
        <f t="shared" si="35"/>
        <v/>
      </c>
      <c r="AS26" s="118" t="str">
        <f t="shared" si="35"/>
        <v/>
      </c>
      <c r="AT26" s="123">
        <f>IF(AT$6="","",IF(AT$3="Maior",iferror(VLOOKUP($R26,Capa!$A:$Z,AT$5,0),0),IF(ISERROR(1/VLOOKUP($R26,Capa!$A:$Z,AT$5,0)),0,1/VLOOKUP($R26,Capa!$A:$Z,AT$5,0))))</f>
        <v>1.196675785</v>
      </c>
      <c r="AU26" s="124">
        <f>IF(AU$6="","",IF(AU$3="Maior",iferror(VLOOKUP($R26,Capa!$A:$Z,AU$5,0),0),IF(ISERROR(1/VLOOKUP($R26,Capa!$A:$Z,AU$5,0)),0,1/VLOOKUP($R26,Capa!$A:$Z,AU$5,0))))</f>
        <v>0.1398452277</v>
      </c>
      <c r="AV26" s="124" t="str">
        <f>IF(AV$6="","",IF(AV$3="Maior",iferror(VLOOKUP($R26,Capa!$A:$Z,AV$5,0),0),IF(ISERROR(1/VLOOKUP($R26,Capa!$A:$Z,AV$5,0)),0,1/VLOOKUP($R26,Capa!$A:$Z,AV$5,0))))</f>
        <v/>
      </c>
      <c r="AW26" s="124" t="str">
        <f>IF(AW$6="","",IF(AW$3="Maior",iferror(VLOOKUP($R26,Capa!$A:$Z,AW$5,0),0),IF(ISERROR(1/VLOOKUP($R26,Capa!$A:$Z,AW$5,0)),0,1/VLOOKUP($R26,Capa!$A:$Z,AW$5,0))))</f>
        <v/>
      </c>
      <c r="AX26" s="124" t="str">
        <f>IF(AX$6="","",IF(AX$3="Maior",iferror(VLOOKUP($R26,Capa!$A:$Z,AX$5,0),0),IF(ISERROR(1/VLOOKUP($R26,Capa!$A:$Z,AX$5,0)),0,1/VLOOKUP($R26,Capa!$A:$Z,AX$5,0))))</f>
        <v/>
      </c>
      <c r="AY26" s="124" t="str">
        <f>IF(AY$6="","",IF(AY$3="Maior",iferror(VLOOKUP($R26,Capa!$A:$Z,AY$5,0),0),IF(ISERROR(1/VLOOKUP($R26,Capa!$A:$Z,AY$5,0)),0,1/VLOOKUP($R26,Capa!$A:$Z,AY$5,0))))</f>
        <v/>
      </c>
      <c r="AZ26" s="124" t="str">
        <f>IF(AZ$6="","",IF(AZ$3="Maior",iferror(VLOOKUP($R26,Capa!$A:$Z,AZ$5,0),0),IF(ISERROR(1/VLOOKUP($R26,Capa!$A:$Z,AZ$5,0)),0,1/VLOOKUP($R26,Capa!$A:$Z,AZ$5,0))))</f>
        <v/>
      </c>
      <c r="BA26" s="124" t="str">
        <f>IF(BA$6="","",IF(BA$3="Maior",iferror(VLOOKUP($R26,Capa!$A:$Z,BA$5,0),0),IF(ISERROR(1/VLOOKUP($R26,Capa!$A:$Z,BA$5,0)),0,1/VLOOKUP($R26,Capa!$A:$Z,BA$5,0))))</f>
        <v/>
      </c>
      <c r="BB26" s="124" t="str">
        <f>IF(BB$6="","",IF(BB$3="Maior",iferror(VLOOKUP($R26,Capa!$A:$Z,BB$5,0),0),IF(ISERROR(1/VLOOKUP($R26,Capa!$A:$Z,BB$5,0)),0,1/VLOOKUP($R26,Capa!$A:$Z,BB$5,0))))</f>
        <v/>
      </c>
      <c r="BC26" s="124" t="str">
        <f>IF(BC$6="","",IF(BC$3="Maior",iferror(VLOOKUP($R26,Capa!$A:$Z,BC$5,0),0),IF(ISERROR(1/VLOOKUP($R26,Capa!$A:$Z,BC$5,0)),0,1/VLOOKUP($R26,Capa!$A:$Z,BC$5,0))))</f>
        <v/>
      </c>
      <c r="BD26" s="124" t="str">
        <f>IF(BD$6="","",IF(BD$3="Maior",iferror(VLOOKUP($R26,Capa!$A:$Z,BD$5,0),0),IF(ISERROR(1/VLOOKUP($R26,Capa!$A:$Z,BD$5,0)),0,1/VLOOKUP($R26,Capa!$A:$Z,BD$5,0))))</f>
        <v/>
      </c>
      <c r="BE26" s="124" t="str">
        <f>IF(BE$6="","",IF(BE$3="Maior",iferror(VLOOKUP($R26,Capa!$A:$Z,BE$5,0),0),IF(ISERROR(1/VLOOKUP($R26,Capa!$A:$Z,BE$5,0)),0,1/VLOOKUP($R26,Capa!$A:$Z,BE$5,0))))</f>
        <v/>
      </c>
      <c r="BF26" s="124" t="str">
        <f>IF(BF$6="","",IF(BF$3="Maior",iferror(VLOOKUP($R26,Capa!$A:$Z,BF$5,0),0),IF(ISERROR(1/VLOOKUP($R26,Capa!$A:$Z,BF$5,0)),0,1/VLOOKUP($R26,Capa!$A:$Z,BF$5,0))))</f>
        <v/>
      </c>
      <c r="BG26" s="124" t="str">
        <f>IF(BG$6="","",IF(BG$3="Maior",iferror(VLOOKUP($R26,Capa!$A:$Z,BG$5,0),0),IF(ISERROR(1/VLOOKUP($R26,Capa!$A:$Z,BG$5,0)),0,1/VLOOKUP($R26,Capa!$A:$Z,BG$5,0))))</f>
        <v/>
      </c>
      <c r="BH26" s="124" t="str">
        <f>IF(BH$6="","",IF(BH$3="Maior",iferror(VLOOKUP($R26,Capa!$A:$Z,BH$5,0),0),IF(ISERROR(1/VLOOKUP($R26,Capa!$A:$Z,BH$5,0)),0,1/VLOOKUP($R26,Capa!$A:$Z,BH$5,0))))</f>
        <v/>
      </c>
      <c r="BI26" s="124" t="str">
        <f>IF(BI$6="","",IF(BI$3="Maior",iferror(VLOOKUP($R26,Capa!$A:$Z,BI$5,0),0),IF(ISERROR(1/VLOOKUP($R26,Capa!$A:$Z,BI$5,0)),0,1/VLOOKUP($R26,Capa!$A:$Z,BI$5,0))))</f>
        <v/>
      </c>
      <c r="BJ26" s="124" t="str">
        <f>IF(BJ$6="","",IF(BJ$3="Maior",iferror(VLOOKUP($R26,Capa!$A:$Z,BJ$5,0),0),IF(ISERROR(1/VLOOKUP($R26,Capa!$A:$Z,BJ$5,0)),0,1/VLOOKUP($R26,Capa!$A:$Z,BJ$5,0))))</f>
        <v/>
      </c>
      <c r="BK26" s="124" t="str">
        <f>IF(BK$6="","",IF(BK$3="Maior",iferror(VLOOKUP($R26,Capa!$A:$Z,BK$5,0),0),IF(ISERROR(1/VLOOKUP($R26,Capa!$A:$Z,BK$5,0)),0,1/VLOOKUP($R26,Capa!$A:$Z,BK$5,0))))</f>
        <v/>
      </c>
      <c r="BL26" s="124" t="str">
        <f>IF(BL$6="","",IF(BL$3="Maior",iferror(VLOOKUP($R26,Capa!$A:$Z,BL$5,0),0),IF(ISERROR(1/VLOOKUP($R26,Capa!$A:$Z,BL$5,0)),0,1/VLOOKUP($R26,Capa!$A:$Z,BL$5,0))))</f>
        <v/>
      </c>
      <c r="BM26" s="124" t="str">
        <f>IF(BM$6="","",IF(BM$3="Maior",iferror(VLOOKUP($R26,Capa!$A:$Z,BM$5,0),0),IF(ISERROR(1/VLOOKUP($R26,Capa!$A:$Z,BM$5,0)),0,1/VLOOKUP($R26,Capa!$A:$Z,BM$5,0))))</f>
        <v/>
      </c>
      <c r="BN26" s="124" t="str">
        <f>IF(BN$6="","",IF(BN$3="Maior",iferror(VLOOKUP($R26,Capa!$A:$Z,BN$5,0),0),IF(ISERROR(1/VLOOKUP($R26,Capa!$A:$Z,BN$5,0)),0,1/VLOOKUP($R26,Capa!$A:$Z,BN$5,0))))</f>
        <v/>
      </c>
      <c r="BO26" s="124" t="str">
        <f>IF(BO$6="","",IF(BO$3="Maior",iferror(VLOOKUP($R26,Capa!$A:$Z,BO$5,0),0),IF(ISERROR(1/VLOOKUP($R26,Capa!$A:$Z,BO$5,0)),0,1/VLOOKUP($R26,Capa!$A:$Z,BO$5,0))))</f>
        <v/>
      </c>
      <c r="BP26" s="124" t="str">
        <f>IF(BP$6="","",IF(BP$3="Maior",iferror(VLOOKUP($R26,Capa!$A:$Z,BP$5,0),0),IF(ISERROR(1/VLOOKUP($R26,Capa!$A:$Z,BP$5,0)),0,1/VLOOKUP($R26,Capa!$A:$Z,BP$5,0))))</f>
        <v/>
      </c>
      <c r="BQ26" s="124" t="str">
        <f>IF(BQ$6="","",IF(BQ$3="Maior",iferror(VLOOKUP($R26,Capa!$A:$Z,BQ$5,0),0),IF(ISERROR(1/VLOOKUP($R26,Capa!$A:$Z,BQ$5,0)),0,1/VLOOKUP($R26,Capa!$A:$Z,BQ$5,0))))</f>
        <v/>
      </c>
      <c r="BR26" s="125" t="str">
        <f>IF(BR$6="","",IF(BR$3="Maior",iferror(VLOOKUP($R26,Capa!$A:$Z,BR$5,0),0),IF(ISERROR(1/VLOOKUP($R26,Capa!$A:$Z,BR$5,0)),0,1/VLOOKUP($R26,Capa!$A:$Z,BR$5,0))))</f>
        <v/>
      </c>
      <c r="BS26" s="88"/>
    </row>
    <row r="27">
      <c r="B27" s="115">
        <f t="shared" si="29"/>
        <v>1</v>
      </c>
      <c r="C27" s="134" t="s">
        <v>20</v>
      </c>
      <c r="D27" s="135" t="b">
        <v>0</v>
      </c>
      <c r="E27" s="136" t="s">
        <v>241</v>
      </c>
      <c r="F27" s="126">
        <f>MATCH(C27,Capa!$6:$6,0)</f>
        <v>17</v>
      </c>
      <c r="G27" s="9"/>
      <c r="H27" s="7">
        <v>21.0</v>
      </c>
      <c r="I27" s="111" t="str">
        <f t="shared" si="7"/>
        <v>RBRR11</v>
      </c>
      <c r="J27" s="112" t="str">
        <f>VLOOKUP(I27,Capa!A:G,7,0)</f>
        <v>Recebíveis Imobiliários</v>
      </c>
      <c r="K27" s="113">
        <f t="shared" si="8"/>
        <v>0.9270530239</v>
      </c>
      <c r="L27" s="113">
        <f t="shared" si="9"/>
        <v>0.1459593483</v>
      </c>
      <c r="M27" s="113" t="str">
        <f t="shared" si="10"/>
        <v/>
      </c>
      <c r="N27" s="113" t="str">
        <f t="shared" si="11"/>
        <v/>
      </c>
      <c r="O27" s="114">
        <f t="shared" si="12"/>
        <v>4204460.86</v>
      </c>
      <c r="P27" s="9"/>
      <c r="Q27" s="9"/>
      <c r="R27" s="115" t="s">
        <v>51</v>
      </c>
      <c r="S27" s="116">
        <f t="shared" si="13"/>
        <v>1155.006095</v>
      </c>
      <c r="T27" s="117">
        <f>MID(VLOOKUP($R27,'Dados ClubeFII'!$A:$AU,23,0),3,100)/1</f>
        <v>273575.24</v>
      </c>
      <c r="U27" s="118">
        <f t="shared" si="14"/>
        <v>60.006</v>
      </c>
      <c r="V27" s="118">
        <f t="shared" si="15"/>
        <v>95.000095</v>
      </c>
      <c r="W27" s="118" t="str">
        <f t="shared" ref="W27:AS27" si="36">IF(AV27="","", RANK(AV27,AV$7:AV$405,0))</f>
        <v/>
      </c>
      <c r="X27" s="118" t="str">
        <f t="shared" si="36"/>
        <v/>
      </c>
      <c r="Y27" s="118" t="str">
        <f t="shared" si="36"/>
        <v/>
      </c>
      <c r="Z27" s="118" t="str">
        <f t="shared" si="36"/>
        <v/>
      </c>
      <c r="AA27" s="118" t="str">
        <f t="shared" si="36"/>
        <v/>
      </c>
      <c r="AB27" s="118" t="str">
        <f t="shared" si="36"/>
        <v/>
      </c>
      <c r="AC27" s="118" t="str">
        <f t="shared" si="36"/>
        <v/>
      </c>
      <c r="AD27" s="118" t="str">
        <f t="shared" si="36"/>
        <v/>
      </c>
      <c r="AE27" s="118" t="str">
        <f t="shared" si="36"/>
        <v/>
      </c>
      <c r="AF27" s="118" t="str">
        <f t="shared" si="36"/>
        <v/>
      </c>
      <c r="AG27" s="118" t="str">
        <f t="shared" si="36"/>
        <v/>
      </c>
      <c r="AH27" s="118" t="str">
        <f t="shared" si="36"/>
        <v/>
      </c>
      <c r="AI27" s="118" t="str">
        <f t="shared" si="36"/>
        <v/>
      </c>
      <c r="AJ27" s="118" t="str">
        <f t="shared" si="36"/>
        <v/>
      </c>
      <c r="AK27" s="118" t="str">
        <f t="shared" si="36"/>
        <v/>
      </c>
      <c r="AL27" s="118" t="str">
        <f t="shared" si="36"/>
        <v/>
      </c>
      <c r="AM27" s="118" t="str">
        <f t="shared" si="36"/>
        <v/>
      </c>
      <c r="AN27" s="118" t="str">
        <f t="shared" si="36"/>
        <v/>
      </c>
      <c r="AO27" s="118" t="str">
        <f t="shared" si="36"/>
        <v/>
      </c>
      <c r="AP27" s="118" t="str">
        <f t="shared" si="36"/>
        <v/>
      </c>
      <c r="AQ27" s="118" t="str">
        <f t="shared" si="36"/>
        <v/>
      </c>
      <c r="AR27" s="118" t="str">
        <f t="shared" si="36"/>
        <v/>
      </c>
      <c r="AS27" s="118" t="str">
        <f t="shared" si="36"/>
        <v/>
      </c>
      <c r="AT27" s="123">
        <f>IF(AT$6="","",IF(AT$3="Maior",iferror(VLOOKUP($R27,Capa!$A:$Z,AT$5,0),0),IF(ISERROR(1/VLOOKUP($R27,Capa!$A:$Z,AT$5,0)),0,1/VLOOKUP($R27,Capa!$A:$Z,AT$5,0))))</f>
        <v>1.343507204</v>
      </c>
      <c r="AU27" s="124">
        <f>IF(AU$6="","",IF(AU$3="Maior",iferror(VLOOKUP($R27,Capa!$A:$Z,AU$5,0),0),IF(ISERROR(1/VLOOKUP($R27,Capa!$A:$Z,AU$5,0)),0,1/VLOOKUP($R27,Capa!$A:$Z,AU$5,0))))</f>
        <v>0.1112663773</v>
      </c>
      <c r="AV27" s="124" t="str">
        <f>IF(AV$6="","",IF(AV$3="Maior",iferror(VLOOKUP($R27,Capa!$A:$Z,AV$5,0),0),IF(ISERROR(1/VLOOKUP($R27,Capa!$A:$Z,AV$5,0)),0,1/VLOOKUP($R27,Capa!$A:$Z,AV$5,0))))</f>
        <v/>
      </c>
      <c r="AW27" s="124" t="str">
        <f>IF(AW$6="","",IF(AW$3="Maior",iferror(VLOOKUP($R27,Capa!$A:$Z,AW$5,0),0),IF(ISERROR(1/VLOOKUP($R27,Capa!$A:$Z,AW$5,0)),0,1/VLOOKUP($R27,Capa!$A:$Z,AW$5,0))))</f>
        <v/>
      </c>
      <c r="AX27" s="124" t="str">
        <f>IF(AX$6="","",IF(AX$3="Maior",iferror(VLOOKUP($R27,Capa!$A:$Z,AX$5,0),0),IF(ISERROR(1/VLOOKUP($R27,Capa!$A:$Z,AX$5,0)),0,1/VLOOKUP($R27,Capa!$A:$Z,AX$5,0))))</f>
        <v/>
      </c>
      <c r="AY27" s="124" t="str">
        <f>IF(AY$6="","",IF(AY$3="Maior",iferror(VLOOKUP($R27,Capa!$A:$Z,AY$5,0),0),IF(ISERROR(1/VLOOKUP($R27,Capa!$A:$Z,AY$5,0)),0,1/VLOOKUP($R27,Capa!$A:$Z,AY$5,0))))</f>
        <v/>
      </c>
      <c r="AZ27" s="124" t="str">
        <f>IF(AZ$6="","",IF(AZ$3="Maior",iferror(VLOOKUP($R27,Capa!$A:$Z,AZ$5,0),0),IF(ISERROR(1/VLOOKUP($R27,Capa!$A:$Z,AZ$5,0)),0,1/VLOOKUP($R27,Capa!$A:$Z,AZ$5,0))))</f>
        <v/>
      </c>
      <c r="BA27" s="124" t="str">
        <f>IF(BA$6="","",IF(BA$3="Maior",iferror(VLOOKUP($R27,Capa!$A:$Z,BA$5,0),0),IF(ISERROR(1/VLOOKUP($R27,Capa!$A:$Z,BA$5,0)),0,1/VLOOKUP($R27,Capa!$A:$Z,BA$5,0))))</f>
        <v/>
      </c>
      <c r="BB27" s="124" t="str">
        <f>IF(BB$6="","",IF(BB$3="Maior",iferror(VLOOKUP($R27,Capa!$A:$Z,BB$5,0),0),IF(ISERROR(1/VLOOKUP($R27,Capa!$A:$Z,BB$5,0)),0,1/VLOOKUP($R27,Capa!$A:$Z,BB$5,0))))</f>
        <v/>
      </c>
      <c r="BC27" s="124" t="str">
        <f>IF(BC$6="","",IF(BC$3="Maior",iferror(VLOOKUP($R27,Capa!$A:$Z,BC$5,0),0),IF(ISERROR(1/VLOOKUP($R27,Capa!$A:$Z,BC$5,0)),0,1/VLOOKUP($R27,Capa!$A:$Z,BC$5,0))))</f>
        <v/>
      </c>
      <c r="BD27" s="124" t="str">
        <f>IF(BD$6="","",IF(BD$3="Maior",iferror(VLOOKUP($R27,Capa!$A:$Z,BD$5,0),0),IF(ISERROR(1/VLOOKUP($R27,Capa!$A:$Z,BD$5,0)),0,1/VLOOKUP($R27,Capa!$A:$Z,BD$5,0))))</f>
        <v/>
      </c>
      <c r="BE27" s="124" t="str">
        <f>IF(BE$6="","",IF(BE$3="Maior",iferror(VLOOKUP($R27,Capa!$A:$Z,BE$5,0),0),IF(ISERROR(1/VLOOKUP($R27,Capa!$A:$Z,BE$5,0)),0,1/VLOOKUP($R27,Capa!$A:$Z,BE$5,0))))</f>
        <v/>
      </c>
      <c r="BF27" s="124" t="str">
        <f>IF(BF$6="","",IF(BF$3="Maior",iferror(VLOOKUP($R27,Capa!$A:$Z,BF$5,0),0),IF(ISERROR(1/VLOOKUP($R27,Capa!$A:$Z,BF$5,0)),0,1/VLOOKUP($R27,Capa!$A:$Z,BF$5,0))))</f>
        <v/>
      </c>
      <c r="BG27" s="124" t="str">
        <f>IF(BG$6="","",IF(BG$3="Maior",iferror(VLOOKUP($R27,Capa!$A:$Z,BG$5,0),0),IF(ISERROR(1/VLOOKUP($R27,Capa!$A:$Z,BG$5,0)),0,1/VLOOKUP($R27,Capa!$A:$Z,BG$5,0))))</f>
        <v/>
      </c>
      <c r="BH27" s="124" t="str">
        <f>IF(BH$6="","",IF(BH$3="Maior",iferror(VLOOKUP($R27,Capa!$A:$Z,BH$5,0),0),IF(ISERROR(1/VLOOKUP($R27,Capa!$A:$Z,BH$5,0)),0,1/VLOOKUP($R27,Capa!$A:$Z,BH$5,0))))</f>
        <v/>
      </c>
      <c r="BI27" s="124" t="str">
        <f>IF(BI$6="","",IF(BI$3="Maior",iferror(VLOOKUP($R27,Capa!$A:$Z,BI$5,0),0),IF(ISERROR(1/VLOOKUP($R27,Capa!$A:$Z,BI$5,0)),0,1/VLOOKUP($R27,Capa!$A:$Z,BI$5,0))))</f>
        <v/>
      </c>
      <c r="BJ27" s="124" t="str">
        <f>IF(BJ$6="","",IF(BJ$3="Maior",iferror(VLOOKUP($R27,Capa!$A:$Z,BJ$5,0),0),IF(ISERROR(1/VLOOKUP($R27,Capa!$A:$Z,BJ$5,0)),0,1/VLOOKUP($R27,Capa!$A:$Z,BJ$5,0))))</f>
        <v/>
      </c>
      <c r="BK27" s="124" t="str">
        <f>IF(BK$6="","",IF(BK$3="Maior",iferror(VLOOKUP($R27,Capa!$A:$Z,BK$5,0),0),IF(ISERROR(1/VLOOKUP($R27,Capa!$A:$Z,BK$5,0)),0,1/VLOOKUP($R27,Capa!$A:$Z,BK$5,0))))</f>
        <v/>
      </c>
      <c r="BL27" s="124" t="str">
        <f>IF(BL$6="","",IF(BL$3="Maior",iferror(VLOOKUP($R27,Capa!$A:$Z,BL$5,0),0),IF(ISERROR(1/VLOOKUP($R27,Capa!$A:$Z,BL$5,0)),0,1/VLOOKUP($R27,Capa!$A:$Z,BL$5,0))))</f>
        <v/>
      </c>
      <c r="BM27" s="124" t="str">
        <f>IF(BM$6="","",IF(BM$3="Maior",iferror(VLOOKUP($R27,Capa!$A:$Z,BM$5,0),0),IF(ISERROR(1/VLOOKUP($R27,Capa!$A:$Z,BM$5,0)),0,1/VLOOKUP($R27,Capa!$A:$Z,BM$5,0))))</f>
        <v/>
      </c>
      <c r="BN27" s="124" t="str">
        <f>IF(BN$6="","",IF(BN$3="Maior",iferror(VLOOKUP($R27,Capa!$A:$Z,BN$5,0),0),IF(ISERROR(1/VLOOKUP($R27,Capa!$A:$Z,BN$5,0)),0,1/VLOOKUP($R27,Capa!$A:$Z,BN$5,0))))</f>
        <v/>
      </c>
      <c r="BO27" s="124" t="str">
        <f>IF(BO$6="","",IF(BO$3="Maior",iferror(VLOOKUP($R27,Capa!$A:$Z,BO$5,0),0),IF(ISERROR(1/VLOOKUP($R27,Capa!$A:$Z,BO$5,0)),0,1/VLOOKUP($R27,Capa!$A:$Z,BO$5,0))))</f>
        <v/>
      </c>
      <c r="BP27" s="124" t="str">
        <f>IF(BP$6="","",IF(BP$3="Maior",iferror(VLOOKUP($R27,Capa!$A:$Z,BP$5,0),0),IF(ISERROR(1/VLOOKUP($R27,Capa!$A:$Z,BP$5,0)),0,1/VLOOKUP($R27,Capa!$A:$Z,BP$5,0))))</f>
        <v/>
      </c>
      <c r="BQ27" s="124" t="str">
        <f>IF(BQ$6="","",IF(BQ$3="Maior",iferror(VLOOKUP($R27,Capa!$A:$Z,BQ$5,0),0),IF(ISERROR(1/VLOOKUP($R27,Capa!$A:$Z,BQ$5,0)),0,1/VLOOKUP($R27,Capa!$A:$Z,BQ$5,0))))</f>
        <v/>
      </c>
      <c r="BR27" s="125" t="str">
        <f>IF(BR$6="","",IF(BR$3="Maior",iferror(VLOOKUP($R27,Capa!$A:$Z,BR$5,0),0),IF(ISERROR(1/VLOOKUP($R27,Capa!$A:$Z,BR$5,0)),0,1/VLOOKUP($R27,Capa!$A:$Z,BR$5,0))))</f>
        <v/>
      </c>
      <c r="BS27" s="88"/>
    </row>
    <row r="28">
      <c r="B28" s="115">
        <f t="shared" si="29"/>
        <v>2</v>
      </c>
      <c r="C28" s="134" t="s">
        <v>21</v>
      </c>
      <c r="D28" s="135" t="b">
        <v>1</v>
      </c>
      <c r="E28" s="136" t="s">
        <v>241</v>
      </c>
      <c r="F28" s="126">
        <f>MATCH(C28,Capa!$6:$6,0)</f>
        <v>18</v>
      </c>
      <c r="G28" s="9"/>
      <c r="H28" s="7">
        <v>22.0</v>
      </c>
      <c r="I28" s="111" t="str">
        <f t="shared" si="7"/>
        <v>VINO11</v>
      </c>
      <c r="J28" s="112" t="str">
        <f>VLOOKUP(I28,Capa!A:G,7,0)</f>
        <v>Lajes Comerciais</v>
      </c>
      <c r="K28" s="113">
        <f t="shared" si="8"/>
        <v>0.7675953079</v>
      </c>
      <c r="L28" s="113">
        <f t="shared" si="9"/>
        <v>0.1009131965</v>
      </c>
      <c r="M28" s="113" t="str">
        <f t="shared" si="10"/>
        <v/>
      </c>
      <c r="N28" s="113" t="str">
        <f t="shared" si="11"/>
        <v/>
      </c>
      <c r="O28" s="114">
        <f t="shared" si="12"/>
        <v>1058557.65</v>
      </c>
      <c r="P28" s="9"/>
      <c r="Q28" s="9"/>
      <c r="R28" s="127" t="s">
        <v>59</v>
      </c>
      <c r="S28" s="116">
        <f t="shared" si="13"/>
        <v>207.014364</v>
      </c>
      <c r="T28" s="117">
        <f>MID(VLOOKUP($R28,'Dados ClubeFII'!$A:$AU,23,0),3,100)/1</f>
        <v>1063086.31</v>
      </c>
      <c r="U28" s="118">
        <f t="shared" si="14"/>
        <v>143.0143</v>
      </c>
      <c r="V28" s="118">
        <f t="shared" si="15"/>
        <v>64.000064</v>
      </c>
      <c r="W28" s="118" t="str">
        <f t="shared" ref="W28:AS28" si="37">IF(AV28="","", RANK(AV28,AV$7:AV$405,0))</f>
        <v/>
      </c>
      <c r="X28" s="118" t="str">
        <f t="shared" si="37"/>
        <v/>
      </c>
      <c r="Y28" s="118" t="str">
        <f t="shared" si="37"/>
        <v/>
      </c>
      <c r="Z28" s="118" t="str">
        <f t="shared" si="37"/>
        <v/>
      </c>
      <c r="AA28" s="118" t="str">
        <f t="shared" si="37"/>
        <v/>
      </c>
      <c r="AB28" s="118" t="str">
        <f t="shared" si="37"/>
        <v/>
      </c>
      <c r="AC28" s="118" t="str">
        <f t="shared" si="37"/>
        <v/>
      </c>
      <c r="AD28" s="118" t="str">
        <f t="shared" si="37"/>
        <v/>
      </c>
      <c r="AE28" s="118" t="str">
        <f t="shared" si="37"/>
        <v/>
      </c>
      <c r="AF28" s="118" t="str">
        <f t="shared" si="37"/>
        <v/>
      </c>
      <c r="AG28" s="118" t="str">
        <f t="shared" si="37"/>
        <v/>
      </c>
      <c r="AH28" s="118" t="str">
        <f t="shared" si="37"/>
        <v/>
      </c>
      <c r="AI28" s="118" t="str">
        <f t="shared" si="37"/>
        <v/>
      </c>
      <c r="AJ28" s="118" t="str">
        <f t="shared" si="37"/>
        <v/>
      </c>
      <c r="AK28" s="118" t="str">
        <f t="shared" si="37"/>
        <v/>
      </c>
      <c r="AL28" s="118" t="str">
        <f t="shared" si="37"/>
        <v/>
      </c>
      <c r="AM28" s="118" t="str">
        <f t="shared" si="37"/>
        <v/>
      </c>
      <c r="AN28" s="118" t="str">
        <f t="shared" si="37"/>
        <v/>
      </c>
      <c r="AO28" s="118" t="str">
        <f t="shared" si="37"/>
        <v/>
      </c>
      <c r="AP28" s="118" t="str">
        <f t="shared" si="37"/>
        <v/>
      </c>
      <c r="AQ28" s="118" t="str">
        <f t="shared" si="37"/>
        <v/>
      </c>
      <c r="AR28" s="118" t="str">
        <f t="shared" si="37"/>
        <v/>
      </c>
      <c r="AS28" s="118" t="str">
        <f t="shared" si="37"/>
        <v/>
      </c>
      <c r="AT28" s="123">
        <f>IF(AT$6="","",IF(AT$3="Maior",iferror(VLOOKUP($R28,Capa!$A:$Z,AT$5,0),0),IF(ISERROR(1/VLOOKUP($R28,Capa!$A:$Z,AT$5,0)),0,1/VLOOKUP($R28,Capa!$A:$Z,AT$5,0))))</f>
        <v>1.089501772</v>
      </c>
      <c r="AU28" s="124">
        <f>IF(AU$6="","",IF(AU$3="Maior",iferror(VLOOKUP($R28,Capa!$A:$Z,AU$5,0),0),IF(ISERROR(1/VLOOKUP($R28,Capa!$A:$Z,AU$5,0)),0,1/VLOOKUP($R28,Capa!$A:$Z,AU$5,0))))</f>
        <v>0.1278082472</v>
      </c>
      <c r="AV28" s="124" t="str">
        <f>IF(AV$6="","",IF(AV$3="Maior",iferror(VLOOKUP($R28,Capa!$A:$Z,AV$5,0),0),IF(ISERROR(1/VLOOKUP($R28,Capa!$A:$Z,AV$5,0)),0,1/VLOOKUP($R28,Capa!$A:$Z,AV$5,0))))</f>
        <v/>
      </c>
      <c r="AW28" s="124" t="str">
        <f>IF(AW$6="","",IF(AW$3="Maior",iferror(VLOOKUP($R28,Capa!$A:$Z,AW$5,0),0),IF(ISERROR(1/VLOOKUP($R28,Capa!$A:$Z,AW$5,0)),0,1/VLOOKUP($R28,Capa!$A:$Z,AW$5,0))))</f>
        <v/>
      </c>
      <c r="AX28" s="124" t="str">
        <f>IF(AX$6="","",IF(AX$3="Maior",iferror(VLOOKUP($R28,Capa!$A:$Z,AX$5,0),0),IF(ISERROR(1/VLOOKUP($R28,Capa!$A:$Z,AX$5,0)),0,1/VLOOKUP($R28,Capa!$A:$Z,AX$5,0))))</f>
        <v/>
      </c>
      <c r="AY28" s="124" t="str">
        <f>IF(AY$6="","",IF(AY$3="Maior",iferror(VLOOKUP($R28,Capa!$A:$Z,AY$5,0),0),IF(ISERROR(1/VLOOKUP($R28,Capa!$A:$Z,AY$5,0)),0,1/VLOOKUP($R28,Capa!$A:$Z,AY$5,0))))</f>
        <v/>
      </c>
      <c r="AZ28" s="124" t="str">
        <f>IF(AZ$6="","",IF(AZ$3="Maior",iferror(VLOOKUP($R28,Capa!$A:$Z,AZ$5,0),0),IF(ISERROR(1/VLOOKUP($R28,Capa!$A:$Z,AZ$5,0)),0,1/VLOOKUP($R28,Capa!$A:$Z,AZ$5,0))))</f>
        <v/>
      </c>
      <c r="BA28" s="124" t="str">
        <f>IF(BA$6="","",IF(BA$3="Maior",iferror(VLOOKUP($R28,Capa!$A:$Z,BA$5,0),0),IF(ISERROR(1/VLOOKUP($R28,Capa!$A:$Z,BA$5,0)),0,1/VLOOKUP($R28,Capa!$A:$Z,BA$5,0))))</f>
        <v/>
      </c>
      <c r="BB28" s="124" t="str">
        <f>IF(BB$6="","",IF(BB$3="Maior",iferror(VLOOKUP($R28,Capa!$A:$Z,BB$5,0),0),IF(ISERROR(1/VLOOKUP($R28,Capa!$A:$Z,BB$5,0)),0,1/VLOOKUP($R28,Capa!$A:$Z,BB$5,0))))</f>
        <v/>
      </c>
      <c r="BC28" s="124" t="str">
        <f>IF(BC$6="","",IF(BC$3="Maior",iferror(VLOOKUP($R28,Capa!$A:$Z,BC$5,0),0),IF(ISERROR(1/VLOOKUP($R28,Capa!$A:$Z,BC$5,0)),0,1/VLOOKUP($R28,Capa!$A:$Z,BC$5,0))))</f>
        <v/>
      </c>
      <c r="BD28" s="124" t="str">
        <f>IF(BD$6="","",IF(BD$3="Maior",iferror(VLOOKUP($R28,Capa!$A:$Z,BD$5,0),0),IF(ISERROR(1/VLOOKUP($R28,Capa!$A:$Z,BD$5,0)),0,1/VLOOKUP($R28,Capa!$A:$Z,BD$5,0))))</f>
        <v/>
      </c>
      <c r="BE28" s="124" t="str">
        <f>IF(BE$6="","",IF(BE$3="Maior",iferror(VLOOKUP($R28,Capa!$A:$Z,BE$5,0),0),IF(ISERROR(1/VLOOKUP($R28,Capa!$A:$Z,BE$5,0)),0,1/VLOOKUP($R28,Capa!$A:$Z,BE$5,0))))</f>
        <v/>
      </c>
      <c r="BF28" s="124" t="str">
        <f>IF(BF$6="","",IF(BF$3="Maior",iferror(VLOOKUP($R28,Capa!$A:$Z,BF$5,0),0),IF(ISERROR(1/VLOOKUP($R28,Capa!$A:$Z,BF$5,0)),0,1/VLOOKUP($R28,Capa!$A:$Z,BF$5,0))))</f>
        <v/>
      </c>
      <c r="BG28" s="124" t="str">
        <f>IF(BG$6="","",IF(BG$3="Maior",iferror(VLOOKUP($R28,Capa!$A:$Z,BG$5,0),0),IF(ISERROR(1/VLOOKUP($R28,Capa!$A:$Z,BG$5,0)),0,1/VLOOKUP($R28,Capa!$A:$Z,BG$5,0))))</f>
        <v/>
      </c>
      <c r="BH28" s="124" t="str">
        <f>IF(BH$6="","",IF(BH$3="Maior",iferror(VLOOKUP($R28,Capa!$A:$Z,BH$5,0),0),IF(ISERROR(1/VLOOKUP($R28,Capa!$A:$Z,BH$5,0)),0,1/VLOOKUP($R28,Capa!$A:$Z,BH$5,0))))</f>
        <v/>
      </c>
      <c r="BI28" s="124" t="str">
        <f>IF(BI$6="","",IF(BI$3="Maior",iferror(VLOOKUP($R28,Capa!$A:$Z,BI$5,0),0),IF(ISERROR(1/VLOOKUP($R28,Capa!$A:$Z,BI$5,0)),0,1/VLOOKUP($R28,Capa!$A:$Z,BI$5,0))))</f>
        <v/>
      </c>
      <c r="BJ28" s="124" t="str">
        <f>IF(BJ$6="","",IF(BJ$3="Maior",iferror(VLOOKUP($R28,Capa!$A:$Z,BJ$5,0),0),IF(ISERROR(1/VLOOKUP($R28,Capa!$A:$Z,BJ$5,0)),0,1/VLOOKUP($R28,Capa!$A:$Z,BJ$5,0))))</f>
        <v/>
      </c>
      <c r="BK28" s="124" t="str">
        <f>IF(BK$6="","",IF(BK$3="Maior",iferror(VLOOKUP($R28,Capa!$A:$Z,BK$5,0),0),IF(ISERROR(1/VLOOKUP($R28,Capa!$A:$Z,BK$5,0)),0,1/VLOOKUP($R28,Capa!$A:$Z,BK$5,0))))</f>
        <v/>
      </c>
      <c r="BL28" s="124" t="str">
        <f>IF(BL$6="","",IF(BL$3="Maior",iferror(VLOOKUP($R28,Capa!$A:$Z,BL$5,0),0),IF(ISERROR(1/VLOOKUP($R28,Capa!$A:$Z,BL$5,0)),0,1/VLOOKUP($R28,Capa!$A:$Z,BL$5,0))))</f>
        <v/>
      </c>
      <c r="BM28" s="124" t="str">
        <f>IF(BM$6="","",IF(BM$3="Maior",iferror(VLOOKUP($R28,Capa!$A:$Z,BM$5,0),0),IF(ISERROR(1/VLOOKUP($R28,Capa!$A:$Z,BM$5,0)),0,1/VLOOKUP($R28,Capa!$A:$Z,BM$5,0))))</f>
        <v/>
      </c>
      <c r="BN28" s="124" t="str">
        <f>IF(BN$6="","",IF(BN$3="Maior",iferror(VLOOKUP($R28,Capa!$A:$Z,BN$5,0),0),IF(ISERROR(1/VLOOKUP($R28,Capa!$A:$Z,BN$5,0)),0,1/VLOOKUP($R28,Capa!$A:$Z,BN$5,0))))</f>
        <v/>
      </c>
      <c r="BO28" s="124" t="str">
        <f>IF(BO$6="","",IF(BO$3="Maior",iferror(VLOOKUP($R28,Capa!$A:$Z,BO$5,0),0),IF(ISERROR(1/VLOOKUP($R28,Capa!$A:$Z,BO$5,0)),0,1/VLOOKUP($R28,Capa!$A:$Z,BO$5,0))))</f>
        <v/>
      </c>
      <c r="BP28" s="124" t="str">
        <f>IF(BP$6="","",IF(BP$3="Maior",iferror(VLOOKUP($R28,Capa!$A:$Z,BP$5,0),0),IF(ISERROR(1/VLOOKUP($R28,Capa!$A:$Z,BP$5,0)),0,1/VLOOKUP($R28,Capa!$A:$Z,BP$5,0))))</f>
        <v/>
      </c>
      <c r="BQ28" s="124" t="str">
        <f>IF(BQ$6="","",IF(BQ$3="Maior",iferror(VLOOKUP($R28,Capa!$A:$Z,BQ$5,0),0),IF(ISERROR(1/VLOOKUP($R28,Capa!$A:$Z,BQ$5,0)),0,1/VLOOKUP($R28,Capa!$A:$Z,BQ$5,0))))</f>
        <v/>
      </c>
      <c r="BR28" s="125" t="str">
        <f>IF(BR$6="","",IF(BR$3="Maior",iferror(VLOOKUP($R28,Capa!$A:$Z,BR$5,0),0),IF(ISERROR(1/VLOOKUP($R28,Capa!$A:$Z,BR$5,0)),0,1/VLOOKUP($R28,Capa!$A:$Z,BR$5,0))))</f>
        <v/>
      </c>
      <c r="BS28" s="88"/>
    </row>
    <row r="29">
      <c r="B29" s="115">
        <f t="shared" si="29"/>
        <v>2</v>
      </c>
      <c r="C29" s="134" t="s">
        <v>22</v>
      </c>
      <c r="D29" s="135" t="b">
        <v>0</v>
      </c>
      <c r="E29" s="136" t="s">
        <v>242</v>
      </c>
      <c r="F29" s="126">
        <f>MATCH(C29,Capa!$6:$6,0)</f>
        <v>19</v>
      </c>
      <c r="G29" s="9"/>
      <c r="H29" s="7">
        <v>23.0</v>
      </c>
      <c r="I29" s="111" t="str">
        <f t="shared" si="7"/>
        <v>VGHF11</v>
      </c>
      <c r="J29" s="112" t="str">
        <f>VLOOKUP(I29,Capa!A:G,7,0)</f>
        <v>Recebíveis Imobiliários</v>
      </c>
      <c r="K29" s="113">
        <f t="shared" si="8"/>
        <v>0.9856243094</v>
      </c>
      <c r="L29" s="113">
        <f t="shared" si="9"/>
        <v>0.1549122652</v>
      </c>
      <c r="M29" s="113" t="str">
        <f t="shared" si="10"/>
        <v/>
      </c>
      <c r="N29" s="113" t="str">
        <f t="shared" si="11"/>
        <v/>
      </c>
      <c r="O29" s="114">
        <f t="shared" si="12"/>
        <v>1991947.09</v>
      </c>
      <c r="P29" s="9"/>
      <c r="Q29" s="9"/>
      <c r="R29" s="127" t="s">
        <v>54</v>
      </c>
      <c r="S29" s="116">
        <f t="shared" si="13"/>
        <v>193.014746</v>
      </c>
      <c r="T29" s="117">
        <f>MID(VLOOKUP($R29,'Dados ClubeFII'!$A:$AU,23,0),3,100)/1</f>
        <v>4737112.56</v>
      </c>
      <c r="U29" s="118">
        <f t="shared" si="14"/>
        <v>147.0147</v>
      </c>
      <c r="V29" s="118">
        <f t="shared" si="15"/>
        <v>46.000046</v>
      </c>
      <c r="W29" s="118" t="str">
        <f t="shared" ref="W29:AS29" si="38">IF(AV29="","", RANK(AV29,AV$7:AV$405,0))</f>
        <v/>
      </c>
      <c r="X29" s="118" t="str">
        <f t="shared" si="38"/>
        <v/>
      </c>
      <c r="Y29" s="118" t="str">
        <f t="shared" si="38"/>
        <v/>
      </c>
      <c r="Z29" s="118" t="str">
        <f t="shared" si="38"/>
        <v/>
      </c>
      <c r="AA29" s="118" t="str">
        <f t="shared" si="38"/>
        <v/>
      </c>
      <c r="AB29" s="118" t="str">
        <f t="shared" si="38"/>
        <v/>
      </c>
      <c r="AC29" s="118" t="str">
        <f t="shared" si="38"/>
        <v/>
      </c>
      <c r="AD29" s="118" t="str">
        <f t="shared" si="38"/>
        <v/>
      </c>
      <c r="AE29" s="118" t="str">
        <f t="shared" si="38"/>
        <v/>
      </c>
      <c r="AF29" s="118" t="str">
        <f t="shared" si="38"/>
        <v/>
      </c>
      <c r="AG29" s="118" t="str">
        <f t="shared" si="38"/>
        <v/>
      </c>
      <c r="AH29" s="118" t="str">
        <f t="shared" si="38"/>
        <v/>
      </c>
      <c r="AI29" s="118" t="str">
        <f t="shared" si="38"/>
        <v/>
      </c>
      <c r="AJ29" s="118" t="str">
        <f t="shared" si="38"/>
        <v/>
      </c>
      <c r="AK29" s="118" t="str">
        <f t="shared" si="38"/>
        <v/>
      </c>
      <c r="AL29" s="118" t="str">
        <f t="shared" si="38"/>
        <v/>
      </c>
      <c r="AM29" s="118" t="str">
        <f t="shared" si="38"/>
        <v/>
      </c>
      <c r="AN29" s="118" t="str">
        <f t="shared" si="38"/>
        <v/>
      </c>
      <c r="AO29" s="118" t="str">
        <f t="shared" si="38"/>
        <v/>
      </c>
      <c r="AP29" s="118" t="str">
        <f t="shared" si="38"/>
        <v/>
      </c>
      <c r="AQ29" s="118" t="str">
        <f t="shared" si="38"/>
        <v/>
      </c>
      <c r="AR29" s="118" t="str">
        <f t="shared" si="38"/>
        <v/>
      </c>
      <c r="AS29" s="118" t="str">
        <f t="shared" si="38"/>
        <v/>
      </c>
      <c r="AT29" s="123">
        <f>IF(AT$6="","",IF(AT$3="Maior",iferror(VLOOKUP($R29,Capa!$A:$Z,AT$5,0),0),IF(ISERROR(1/VLOOKUP($R29,Capa!$A:$Z,AT$5,0)),0,1/VLOOKUP($R29,Capa!$A:$Z,AT$5,0))))</f>
        <v>1.07781016</v>
      </c>
      <c r="AU29" s="124">
        <f>IF(AU$6="","",IF(AU$3="Maior",iferror(VLOOKUP($R29,Capa!$A:$Z,AU$5,0),0),IF(ISERROR(1/VLOOKUP($R29,Capa!$A:$Z,AU$5,0)),0,1/VLOOKUP($R29,Capa!$A:$Z,AU$5,0))))</f>
        <v>0.1398406278</v>
      </c>
      <c r="AV29" s="124" t="str">
        <f>IF(AV$6="","",IF(AV$3="Maior",iferror(VLOOKUP($R29,Capa!$A:$Z,AV$5,0),0),IF(ISERROR(1/VLOOKUP($R29,Capa!$A:$Z,AV$5,0)),0,1/VLOOKUP($R29,Capa!$A:$Z,AV$5,0))))</f>
        <v/>
      </c>
      <c r="AW29" s="124" t="str">
        <f>IF(AW$6="","",IF(AW$3="Maior",iferror(VLOOKUP($R29,Capa!$A:$Z,AW$5,0),0),IF(ISERROR(1/VLOOKUP($R29,Capa!$A:$Z,AW$5,0)),0,1/VLOOKUP($R29,Capa!$A:$Z,AW$5,0))))</f>
        <v/>
      </c>
      <c r="AX29" s="124" t="str">
        <f>IF(AX$6="","",IF(AX$3="Maior",iferror(VLOOKUP($R29,Capa!$A:$Z,AX$5,0),0),IF(ISERROR(1/VLOOKUP($R29,Capa!$A:$Z,AX$5,0)),0,1/VLOOKUP($R29,Capa!$A:$Z,AX$5,0))))</f>
        <v/>
      </c>
      <c r="AY29" s="124" t="str">
        <f>IF(AY$6="","",IF(AY$3="Maior",iferror(VLOOKUP($R29,Capa!$A:$Z,AY$5,0),0),IF(ISERROR(1/VLOOKUP($R29,Capa!$A:$Z,AY$5,0)),0,1/VLOOKUP($R29,Capa!$A:$Z,AY$5,0))))</f>
        <v/>
      </c>
      <c r="AZ29" s="124" t="str">
        <f>IF(AZ$6="","",IF(AZ$3="Maior",iferror(VLOOKUP($R29,Capa!$A:$Z,AZ$5,0),0),IF(ISERROR(1/VLOOKUP($R29,Capa!$A:$Z,AZ$5,0)),0,1/VLOOKUP($R29,Capa!$A:$Z,AZ$5,0))))</f>
        <v/>
      </c>
      <c r="BA29" s="124" t="str">
        <f>IF(BA$6="","",IF(BA$3="Maior",iferror(VLOOKUP($R29,Capa!$A:$Z,BA$5,0),0),IF(ISERROR(1/VLOOKUP($R29,Capa!$A:$Z,BA$5,0)),0,1/VLOOKUP($R29,Capa!$A:$Z,BA$5,0))))</f>
        <v/>
      </c>
      <c r="BB29" s="124" t="str">
        <f>IF(BB$6="","",IF(BB$3="Maior",iferror(VLOOKUP($R29,Capa!$A:$Z,BB$5,0),0),IF(ISERROR(1/VLOOKUP($R29,Capa!$A:$Z,BB$5,0)),0,1/VLOOKUP($R29,Capa!$A:$Z,BB$5,0))))</f>
        <v/>
      </c>
      <c r="BC29" s="124" t="str">
        <f>IF(BC$6="","",IF(BC$3="Maior",iferror(VLOOKUP($R29,Capa!$A:$Z,BC$5,0),0),IF(ISERROR(1/VLOOKUP($R29,Capa!$A:$Z,BC$5,0)),0,1/VLOOKUP($R29,Capa!$A:$Z,BC$5,0))))</f>
        <v/>
      </c>
      <c r="BD29" s="124" t="str">
        <f>IF(BD$6="","",IF(BD$3="Maior",iferror(VLOOKUP($R29,Capa!$A:$Z,BD$5,0),0),IF(ISERROR(1/VLOOKUP($R29,Capa!$A:$Z,BD$5,0)),0,1/VLOOKUP($R29,Capa!$A:$Z,BD$5,0))))</f>
        <v/>
      </c>
      <c r="BE29" s="124" t="str">
        <f>IF(BE$6="","",IF(BE$3="Maior",iferror(VLOOKUP($R29,Capa!$A:$Z,BE$5,0),0),IF(ISERROR(1/VLOOKUP($R29,Capa!$A:$Z,BE$5,0)),0,1/VLOOKUP($R29,Capa!$A:$Z,BE$5,0))))</f>
        <v/>
      </c>
      <c r="BF29" s="124" t="str">
        <f>IF(BF$6="","",IF(BF$3="Maior",iferror(VLOOKUP($R29,Capa!$A:$Z,BF$5,0),0),IF(ISERROR(1/VLOOKUP($R29,Capa!$A:$Z,BF$5,0)),0,1/VLOOKUP($R29,Capa!$A:$Z,BF$5,0))))</f>
        <v/>
      </c>
      <c r="BG29" s="124" t="str">
        <f>IF(BG$6="","",IF(BG$3="Maior",iferror(VLOOKUP($R29,Capa!$A:$Z,BG$5,0),0),IF(ISERROR(1/VLOOKUP($R29,Capa!$A:$Z,BG$5,0)),0,1/VLOOKUP($R29,Capa!$A:$Z,BG$5,0))))</f>
        <v/>
      </c>
      <c r="BH29" s="124" t="str">
        <f>IF(BH$6="","",IF(BH$3="Maior",iferror(VLOOKUP($R29,Capa!$A:$Z,BH$5,0),0),IF(ISERROR(1/VLOOKUP($R29,Capa!$A:$Z,BH$5,0)),0,1/VLOOKUP($R29,Capa!$A:$Z,BH$5,0))))</f>
        <v/>
      </c>
      <c r="BI29" s="124" t="str">
        <f>IF(BI$6="","",IF(BI$3="Maior",iferror(VLOOKUP($R29,Capa!$A:$Z,BI$5,0),0),IF(ISERROR(1/VLOOKUP($R29,Capa!$A:$Z,BI$5,0)),0,1/VLOOKUP($R29,Capa!$A:$Z,BI$5,0))))</f>
        <v/>
      </c>
      <c r="BJ29" s="124" t="str">
        <f>IF(BJ$6="","",IF(BJ$3="Maior",iferror(VLOOKUP($R29,Capa!$A:$Z,BJ$5,0),0),IF(ISERROR(1/VLOOKUP($R29,Capa!$A:$Z,BJ$5,0)),0,1/VLOOKUP($R29,Capa!$A:$Z,BJ$5,0))))</f>
        <v/>
      </c>
      <c r="BK29" s="124" t="str">
        <f>IF(BK$6="","",IF(BK$3="Maior",iferror(VLOOKUP($R29,Capa!$A:$Z,BK$5,0),0),IF(ISERROR(1/VLOOKUP($R29,Capa!$A:$Z,BK$5,0)),0,1/VLOOKUP($R29,Capa!$A:$Z,BK$5,0))))</f>
        <v/>
      </c>
      <c r="BL29" s="124" t="str">
        <f>IF(BL$6="","",IF(BL$3="Maior",iferror(VLOOKUP($R29,Capa!$A:$Z,BL$5,0),0),IF(ISERROR(1/VLOOKUP($R29,Capa!$A:$Z,BL$5,0)),0,1/VLOOKUP($R29,Capa!$A:$Z,BL$5,0))))</f>
        <v/>
      </c>
      <c r="BM29" s="124" t="str">
        <f>IF(BM$6="","",IF(BM$3="Maior",iferror(VLOOKUP($R29,Capa!$A:$Z,BM$5,0),0),IF(ISERROR(1/VLOOKUP($R29,Capa!$A:$Z,BM$5,0)),0,1/VLOOKUP($R29,Capa!$A:$Z,BM$5,0))))</f>
        <v/>
      </c>
      <c r="BN29" s="124" t="str">
        <f>IF(BN$6="","",IF(BN$3="Maior",iferror(VLOOKUP($R29,Capa!$A:$Z,BN$5,0),0),IF(ISERROR(1/VLOOKUP($R29,Capa!$A:$Z,BN$5,0)),0,1/VLOOKUP($R29,Capa!$A:$Z,BN$5,0))))</f>
        <v/>
      </c>
      <c r="BO29" s="124" t="str">
        <f>IF(BO$6="","",IF(BO$3="Maior",iferror(VLOOKUP($R29,Capa!$A:$Z,BO$5,0),0),IF(ISERROR(1/VLOOKUP($R29,Capa!$A:$Z,BO$5,0)),0,1/VLOOKUP($R29,Capa!$A:$Z,BO$5,0))))</f>
        <v/>
      </c>
      <c r="BP29" s="124" t="str">
        <f>IF(BP$6="","",IF(BP$3="Maior",iferror(VLOOKUP($R29,Capa!$A:$Z,BP$5,0),0),IF(ISERROR(1/VLOOKUP($R29,Capa!$A:$Z,BP$5,0)),0,1/VLOOKUP($R29,Capa!$A:$Z,BP$5,0))))</f>
        <v/>
      </c>
      <c r="BQ29" s="124" t="str">
        <f>IF(BQ$6="","",IF(BQ$3="Maior",iferror(VLOOKUP($R29,Capa!$A:$Z,BQ$5,0),0),IF(ISERROR(1/VLOOKUP($R29,Capa!$A:$Z,BQ$5,0)),0,1/VLOOKUP($R29,Capa!$A:$Z,BQ$5,0))))</f>
        <v/>
      </c>
      <c r="BR29" s="125" t="str">
        <f>IF(BR$6="","",IF(BR$3="Maior",iferror(VLOOKUP($R29,Capa!$A:$Z,BR$5,0),0),IF(ISERROR(1/VLOOKUP($R29,Capa!$A:$Z,BR$5,0)),0,1/VLOOKUP($R29,Capa!$A:$Z,BR$5,0))))</f>
        <v/>
      </c>
      <c r="BS29" s="88"/>
    </row>
    <row r="30">
      <c r="B30" s="115">
        <f t="shared" si="29"/>
        <v>2</v>
      </c>
      <c r="C30" s="134" t="s">
        <v>23</v>
      </c>
      <c r="D30" s="135" t="b">
        <v>0</v>
      </c>
      <c r="E30" s="136" t="s">
        <v>242</v>
      </c>
      <c r="F30" s="126">
        <f>MATCH(C30,Capa!$6:$6,0)</f>
        <v>20</v>
      </c>
      <c r="G30" s="9"/>
      <c r="H30" s="7">
        <v>24.0</v>
      </c>
      <c r="I30" s="111" t="str">
        <f t="shared" si="7"/>
        <v>MCHF11</v>
      </c>
      <c r="J30" s="112" t="str">
        <f>VLOOKUP(I30,Capa!A:G,7,0)</f>
        <v>Recebíveis Imobiliários</v>
      </c>
      <c r="K30" s="113">
        <f t="shared" si="8"/>
        <v>0.9393258427</v>
      </c>
      <c r="L30" s="113">
        <f t="shared" si="9"/>
        <v>0.1455460674</v>
      </c>
      <c r="M30" s="113" t="str">
        <f t="shared" si="10"/>
        <v/>
      </c>
      <c r="N30" s="113" t="str">
        <f t="shared" si="11"/>
        <v/>
      </c>
      <c r="O30" s="114">
        <f t="shared" si="12"/>
        <v>1120067.37</v>
      </c>
      <c r="P30" s="9"/>
      <c r="Q30" s="9"/>
      <c r="R30" s="115" t="s">
        <v>41</v>
      </c>
      <c r="S30" s="116">
        <f t="shared" si="13"/>
        <v>226.017353</v>
      </c>
      <c r="T30" s="117">
        <f>MID(VLOOKUP($R30,'Dados ClubeFII'!$A:$AU,23,0),3,100)/1</f>
        <v>2855871.02</v>
      </c>
      <c r="U30" s="118">
        <f t="shared" si="14"/>
        <v>173.0173</v>
      </c>
      <c r="V30" s="118">
        <f t="shared" si="15"/>
        <v>53.000053</v>
      </c>
      <c r="W30" s="118" t="str">
        <f t="shared" ref="W30:AS30" si="39">IF(AV30="","", RANK(AV30,AV$7:AV$405,0))</f>
        <v/>
      </c>
      <c r="X30" s="118" t="str">
        <f t="shared" si="39"/>
        <v/>
      </c>
      <c r="Y30" s="118" t="str">
        <f t="shared" si="39"/>
        <v/>
      </c>
      <c r="Z30" s="118" t="str">
        <f t="shared" si="39"/>
        <v/>
      </c>
      <c r="AA30" s="118" t="str">
        <f t="shared" si="39"/>
        <v/>
      </c>
      <c r="AB30" s="118" t="str">
        <f t="shared" si="39"/>
        <v/>
      </c>
      <c r="AC30" s="118" t="str">
        <f t="shared" si="39"/>
        <v/>
      </c>
      <c r="AD30" s="118" t="str">
        <f t="shared" si="39"/>
        <v/>
      </c>
      <c r="AE30" s="118" t="str">
        <f t="shared" si="39"/>
        <v/>
      </c>
      <c r="AF30" s="118" t="str">
        <f t="shared" si="39"/>
        <v/>
      </c>
      <c r="AG30" s="118" t="str">
        <f t="shared" si="39"/>
        <v/>
      </c>
      <c r="AH30" s="118" t="str">
        <f t="shared" si="39"/>
        <v/>
      </c>
      <c r="AI30" s="118" t="str">
        <f t="shared" si="39"/>
        <v/>
      </c>
      <c r="AJ30" s="118" t="str">
        <f t="shared" si="39"/>
        <v/>
      </c>
      <c r="AK30" s="118" t="str">
        <f t="shared" si="39"/>
        <v/>
      </c>
      <c r="AL30" s="118" t="str">
        <f t="shared" si="39"/>
        <v/>
      </c>
      <c r="AM30" s="118" t="str">
        <f t="shared" si="39"/>
        <v/>
      </c>
      <c r="AN30" s="118" t="str">
        <f t="shared" si="39"/>
        <v/>
      </c>
      <c r="AO30" s="118" t="str">
        <f t="shared" si="39"/>
        <v/>
      </c>
      <c r="AP30" s="118" t="str">
        <f t="shared" si="39"/>
        <v/>
      </c>
      <c r="AQ30" s="118" t="str">
        <f t="shared" si="39"/>
        <v/>
      </c>
      <c r="AR30" s="118" t="str">
        <f t="shared" si="39"/>
        <v/>
      </c>
      <c r="AS30" s="118" t="str">
        <f t="shared" si="39"/>
        <v/>
      </c>
      <c r="AT30" s="123">
        <f>IF(AT$6="","",IF(AT$3="Maior",iferror(VLOOKUP($R30,Capa!$A:$Z,AT$5,0),0),IF(ISERROR(1/VLOOKUP($R30,Capa!$A:$Z,AT$5,0)),0,1/VLOOKUP($R30,Capa!$A:$Z,AT$5,0))))</f>
        <v>1.000569801</v>
      </c>
      <c r="AU30" s="124">
        <f>IF(AU$6="","",IF(AU$3="Maior",iferror(VLOOKUP($R30,Capa!$A:$Z,AU$5,0),0),IF(ISERROR(1/VLOOKUP($R30,Capa!$A:$Z,AU$5,0)),0,1/VLOOKUP($R30,Capa!$A:$Z,AU$5,0))))</f>
        <v>0.1339640712</v>
      </c>
      <c r="AV30" s="124" t="str">
        <f>IF(AV$6="","",IF(AV$3="Maior",iferror(VLOOKUP($R30,Capa!$A:$Z,AV$5,0),0),IF(ISERROR(1/VLOOKUP($R30,Capa!$A:$Z,AV$5,0)),0,1/VLOOKUP($R30,Capa!$A:$Z,AV$5,0))))</f>
        <v/>
      </c>
      <c r="AW30" s="124" t="str">
        <f>IF(AW$6="","",IF(AW$3="Maior",iferror(VLOOKUP($R30,Capa!$A:$Z,AW$5,0),0),IF(ISERROR(1/VLOOKUP($R30,Capa!$A:$Z,AW$5,0)),0,1/VLOOKUP($R30,Capa!$A:$Z,AW$5,0))))</f>
        <v/>
      </c>
      <c r="AX30" s="124" t="str">
        <f>IF(AX$6="","",IF(AX$3="Maior",iferror(VLOOKUP($R30,Capa!$A:$Z,AX$5,0),0),IF(ISERROR(1/VLOOKUP($R30,Capa!$A:$Z,AX$5,0)),0,1/VLOOKUP($R30,Capa!$A:$Z,AX$5,0))))</f>
        <v/>
      </c>
      <c r="AY30" s="124" t="str">
        <f>IF(AY$6="","",IF(AY$3="Maior",iferror(VLOOKUP($R30,Capa!$A:$Z,AY$5,0),0),IF(ISERROR(1/VLOOKUP($R30,Capa!$A:$Z,AY$5,0)),0,1/VLOOKUP($R30,Capa!$A:$Z,AY$5,0))))</f>
        <v/>
      </c>
      <c r="AZ30" s="124" t="str">
        <f>IF(AZ$6="","",IF(AZ$3="Maior",iferror(VLOOKUP($R30,Capa!$A:$Z,AZ$5,0),0),IF(ISERROR(1/VLOOKUP($R30,Capa!$A:$Z,AZ$5,0)),0,1/VLOOKUP($R30,Capa!$A:$Z,AZ$5,0))))</f>
        <v/>
      </c>
      <c r="BA30" s="124" t="str">
        <f>IF(BA$6="","",IF(BA$3="Maior",iferror(VLOOKUP($R30,Capa!$A:$Z,BA$5,0),0),IF(ISERROR(1/VLOOKUP($R30,Capa!$A:$Z,BA$5,0)),0,1/VLOOKUP($R30,Capa!$A:$Z,BA$5,0))))</f>
        <v/>
      </c>
      <c r="BB30" s="124" t="str">
        <f>IF(BB$6="","",IF(BB$3="Maior",iferror(VLOOKUP($R30,Capa!$A:$Z,BB$5,0),0),IF(ISERROR(1/VLOOKUP($R30,Capa!$A:$Z,BB$5,0)),0,1/VLOOKUP($R30,Capa!$A:$Z,BB$5,0))))</f>
        <v/>
      </c>
      <c r="BC30" s="124" t="str">
        <f>IF(BC$6="","",IF(BC$3="Maior",iferror(VLOOKUP($R30,Capa!$A:$Z,BC$5,0),0),IF(ISERROR(1/VLOOKUP($R30,Capa!$A:$Z,BC$5,0)),0,1/VLOOKUP($R30,Capa!$A:$Z,BC$5,0))))</f>
        <v/>
      </c>
      <c r="BD30" s="124" t="str">
        <f>IF(BD$6="","",IF(BD$3="Maior",iferror(VLOOKUP($R30,Capa!$A:$Z,BD$5,0),0),IF(ISERROR(1/VLOOKUP($R30,Capa!$A:$Z,BD$5,0)),0,1/VLOOKUP($R30,Capa!$A:$Z,BD$5,0))))</f>
        <v/>
      </c>
      <c r="BE30" s="124" t="str">
        <f>IF(BE$6="","",IF(BE$3="Maior",iferror(VLOOKUP($R30,Capa!$A:$Z,BE$5,0),0),IF(ISERROR(1/VLOOKUP($R30,Capa!$A:$Z,BE$5,0)),0,1/VLOOKUP($R30,Capa!$A:$Z,BE$5,0))))</f>
        <v/>
      </c>
      <c r="BF30" s="124" t="str">
        <f>IF(BF$6="","",IF(BF$3="Maior",iferror(VLOOKUP($R30,Capa!$A:$Z,BF$5,0),0),IF(ISERROR(1/VLOOKUP($R30,Capa!$A:$Z,BF$5,0)),0,1/VLOOKUP($R30,Capa!$A:$Z,BF$5,0))))</f>
        <v/>
      </c>
      <c r="BG30" s="124" t="str">
        <f>IF(BG$6="","",IF(BG$3="Maior",iferror(VLOOKUP($R30,Capa!$A:$Z,BG$5,0),0),IF(ISERROR(1/VLOOKUP($R30,Capa!$A:$Z,BG$5,0)),0,1/VLOOKUP($R30,Capa!$A:$Z,BG$5,0))))</f>
        <v/>
      </c>
      <c r="BH30" s="124" t="str">
        <f>IF(BH$6="","",IF(BH$3="Maior",iferror(VLOOKUP($R30,Capa!$A:$Z,BH$5,0),0),IF(ISERROR(1/VLOOKUP($R30,Capa!$A:$Z,BH$5,0)),0,1/VLOOKUP($R30,Capa!$A:$Z,BH$5,0))))</f>
        <v/>
      </c>
      <c r="BI30" s="124" t="str">
        <f>IF(BI$6="","",IF(BI$3="Maior",iferror(VLOOKUP($R30,Capa!$A:$Z,BI$5,0),0),IF(ISERROR(1/VLOOKUP($R30,Capa!$A:$Z,BI$5,0)),0,1/VLOOKUP($R30,Capa!$A:$Z,BI$5,0))))</f>
        <v/>
      </c>
      <c r="BJ30" s="124" t="str">
        <f>IF(BJ$6="","",IF(BJ$3="Maior",iferror(VLOOKUP($R30,Capa!$A:$Z,BJ$5,0),0),IF(ISERROR(1/VLOOKUP($R30,Capa!$A:$Z,BJ$5,0)),0,1/VLOOKUP($R30,Capa!$A:$Z,BJ$5,0))))</f>
        <v/>
      </c>
      <c r="BK30" s="124" t="str">
        <f>IF(BK$6="","",IF(BK$3="Maior",iferror(VLOOKUP($R30,Capa!$A:$Z,BK$5,0),0),IF(ISERROR(1/VLOOKUP($R30,Capa!$A:$Z,BK$5,0)),0,1/VLOOKUP($R30,Capa!$A:$Z,BK$5,0))))</f>
        <v/>
      </c>
      <c r="BL30" s="124" t="str">
        <f>IF(BL$6="","",IF(BL$3="Maior",iferror(VLOOKUP($R30,Capa!$A:$Z,BL$5,0),0),IF(ISERROR(1/VLOOKUP($R30,Capa!$A:$Z,BL$5,0)),0,1/VLOOKUP($R30,Capa!$A:$Z,BL$5,0))))</f>
        <v/>
      </c>
      <c r="BM30" s="124" t="str">
        <f>IF(BM$6="","",IF(BM$3="Maior",iferror(VLOOKUP($R30,Capa!$A:$Z,BM$5,0),0),IF(ISERROR(1/VLOOKUP($R30,Capa!$A:$Z,BM$5,0)),0,1/VLOOKUP($R30,Capa!$A:$Z,BM$5,0))))</f>
        <v/>
      </c>
      <c r="BN30" s="124" t="str">
        <f>IF(BN$6="","",IF(BN$3="Maior",iferror(VLOOKUP($R30,Capa!$A:$Z,BN$5,0),0),IF(ISERROR(1/VLOOKUP($R30,Capa!$A:$Z,BN$5,0)),0,1/VLOOKUP($R30,Capa!$A:$Z,BN$5,0))))</f>
        <v/>
      </c>
      <c r="BO30" s="124" t="str">
        <f>IF(BO$6="","",IF(BO$3="Maior",iferror(VLOOKUP($R30,Capa!$A:$Z,BO$5,0),0),IF(ISERROR(1/VLOOKUP($R30,Capa!$A:$Z,BO$5,0)),0,1/VLOOKUP($R30,Capa!$A:$Z,BO$5,0))))</f>
        <v/>
      </c>
      <c r="BP30" s="124" t="str">
        <f>IF(BP$6="","",IF(BP$3="Maior",iferror(VLOOKUP($R30,Capa!$A:$Z,BP$5,0),0),IF(ISERROR(1/VLOOKUP($R30,Capa!$A:$Z,BP$5,0)),0,1/VLOOKUP($R30,Capa!$A:$Z,BP$5,0))))</f>
        <v/>
      </c>
      <c r="BQ30" s="124" t="str">
        <f>IF(BQ$6="","",IF(BQ$3="Maior",iferror(VLOOKUP($R30,Capa!$A:$Z,BQ$5,0),0),IF(ISERROR(1/VLOOKUP($R30,Capa!$A:$Z,BQ$5,0)),0,1/VLOOKUP($R30,Capa!$A:$Z,BQ$5,0))))</f>
        <v/>
      </c>
      <c r="BR30" s="125" t="str">
        <f>IF(BR$6="","",IF(BR$3="Maior",iferror(VLOOKUP($R30,Capa!$A:$Z,BR$5,0),0),IF(ISERROR(1/VLOOKUP($R30,Capa!$A:$Z,BR$5,0)),0,1/VLOOKUP($R30,Capa!$A:$Z,BR$5,0))))</f>
        <v/>
      </c>
      <c r="BS30" s="88"/>
    </row>
    <row r="31">
      <c r="B31" s="115">
        <f t="shared" si="29"/>
        <v>2</v>
      </c>
      <c r="C31" s="134" t="s">
        <v>24</v>
      </c>
      <c r="D31" s="135" t="b">
        <v>0</v>
      </c>
      <c r="E31" s="136" t="s">
        <v>242</v>
      </c>
      <c r="F31" s="126">
        <f>MATCH(C31,Capa!$6:$6,0)</f>
        <v>21</v>
      </c>
      <c r="G31" s="9"/>
      <c r="H31" s="7">
        <v>25.0</v>
      </c>
      <c r="I31" s="111" t="str">
        <f t="shared" si="7"/>
        <v>VRTA11</v>
      </c>
      <c r="J31" s="112" t="str">
        <f>VLOOKUP(I31,Capa!A:G,7,0)</f>
        <v>Recebíveis Imobiliários</v>
      </c>
      <c r="K31" s="113">
        <f t="shared" si="8"/>
        <v>0.9535497096</v>
      </c>
      <c r="L31" s="113">
        <f t="shared" si="9"/>
        <v>0.1482968455</v>
      </c>
      <c r="M31" s="113" t="str">
        <f t="shared" si="10"/>
        <v/>
      </c>
      <c r="N31" s="113" t="str">
        <f t="shared" si="11"/>
        <v/>
      </c>
      <c r="O31" s="114">
        <f t="shared" si="12"/>
        <v>2106000.28</v>
      </c>
      <c r="P31" s="9"/>
      <c r="Q31" s="9"/>
      <c r="R31" s="115" t="s">
        <v>90</v>
      </c>
      <c r="S31" s="116">
        <f t="shared" si="13"/>
        <v>1169.014128</v>
      </c>
      <c r="T31" s="117">
        <f>MID(VLOOKUP($R31,'Dados ClubeFII'!$A:$AU,23,0),3,100)/1</f>
        <v>974204.95</v>
      </c>
      <c r="U31" s="118">
        <f t="shared" si="14"/>
        <v>141.0141</v>
      </c>
      <c r="V31" s="118">
        <f t="shared" si="15"/>
        <v>28.000028</v>
      </c>
      <c r="W31" s="118" t="str">
        <f t="shared" ref="W31:AS31" si="40">IF(AV31="","", RANK(AV31,AV$7:AV$405,0))</f>
        <v/>
      </c>
      <c r="X31" s="118" t="str">
        <f t="shared" si="40"/>
        <v/>
      </c>
      <c r="Y31" s="118" t="str">
        <f t="shared" si="40"/>
        <v/>
      </c>
      <c r="Z31" s="118" t="str">
        <f t="shared" si="40"/>
        <v/>
      </c>
      <c r="AA31" s="118" t="str">
        <f t="shared" si="40"/>
        <v/>
      </c>
      <c r="AB31" s="118" t="str">
        <f t="shared" si="40"/>
        <v/>
      </c>
      <c r="AC31" s="118" t="str">
        <f t="shared" si="40"/>
        <v/>
      </c>
      <c r="AD31" s="118" t="str">
        <f t="shared" si="40"/>
        <v/>
      </c>
      <c r="AE31" s="118" t="str">
        <f t="shared" si="40"/>
        <v/>
      </c>
      <c r="AF31" s="118" t="str">
        <f t="shared" si="40"/>
        <v/>
      </c>
      <c r="AG31" s="118" t="str">
        <f t="shared" si="40"/>
        <v/>
      </c>
      <c r="AH31" s="118" t="str">
        <f t="shared" si="40"/>
        <v/>
      </c>
      <c r="AI31" s="118" t="str">
        <f t="shared" si="40"/>
        <v/>
      </c>
      <c r="AJ31" s="118" t="str">
        <f t="shared" si="40"/>
        <v/>
      </c>
      <c r="AK31" s="118" t="str">
        <f t="shared" si="40"/>
        <v/>
      </c>
      <c r="AL31" s="118" t="str">
        <f t="shared" si="40"/>
        <v/>
      </c>
      <c r="AM31" s="118" t="str">
        <f t="shared" si="40"/>
        <v/>
      </c>
      <c r="AN31" s="118" t="str">
        <f t="shared" si="40"/>
        <v/>
      </c>
      <c r="AO31" s="118" t="str">
        <f t="shared" si="40"/>
        <v/>
      </c>
      <c r="AP31" s="118" t="str">
        <f t="shared" si="40"/>
        <v/>
      </c>
      <c r="AQ31" s="118" t="str">
        <f t="shared" si="40"/>
        <v/>
      </c>
      <c r="AR31" s="118" t="str">
        <f t="shared" si="40"/>
        <v/>
      </c>
      <c r="AS31" s="118" t="str">
        <f t="shared" si="40"/>
        <v/>
      </c>
      <c r="AT31" s="123">
        <f>IF(AT$6="","",IF(AT$3="Maior",iferror(VLOOKUP($R31,Capa!$A:$Z,AT$5,0),0),IF(ISERROR(1/VLOOKUP($R31,Capa!$A:$Z,AT$5,0)),0,1/VLOOKUP($R31,Capa!$A:$Z,AT$5,0))))</f>
        <v>1.093398077</v>
      </c>
      <c r="AU31" s="124">
        <f>IF(AU$6="","",IF(AU$3="Maior",iferror(VLOOKUP($R31,Capa!$A:$Z,AU$5,0),0),IF(ISERROR(1/VLOOKUP($R31,Capa!$A:$Z,AU$5,0)),0,1/VLOOKUP($R31,Capa!$A:$Z,AU$5,0))))</f>
        <v>0.1493499691</v>
      </c>
      <c r="AV31" s="124" t="str">
        <f>IF(AV$6="","",IF(AV$3="Maior",iferror(VLOOKUP(#REF!,Capa!$A:$Z,AV$5,0),0),IF(ISERROR(1/VLOOKUP(#REF!,Capa!$A:$Z,AV$5,0)),0,1/VLOOKUP(#REF!,Capa!$A:$Z,AV$5,0))))</f>
        <v/>
      </c>
      <c r="AW31" s="124" t="str">
        <f>IF(AW$6="","",IF(AW$3="Maior",iferror(VLOOKUP(#REF!,Capa!$A:$Z,AW$5,0),0),IF(ISERROR(1/VLOOKUP(#REF!,Capa!$A:$Z,AW$5,0)),0,1/VLOOKUP(#REF!,Capa!$A:$Z,AW$5,0))))</f>
        <v/>
      </c>
      <c r="AX31" s="124" t="str">
        <f>IF(AX$6="","",IF(AX$3="Maior",iferror(VLOOKUP(#REF!,Capa!$A:$Z,AX$5,0),0),IF(ISERROR(1/VLOOKUP(#REF!,Capa!$A:$Z,AX$5,0)),0,1/VLOOKUP(#REF!,Capa!$A:$Z,AX$5,0))))</f>
        <v/>
      </c>
      <c r="AY31" s="124" t="str">
        <f>IF(AY$6="","",IF(AY$3="Maior",iferror(VLOOKUP(#REF!,Capa!$A:$Z,AY$5,0),0),IF(ISERROR(1/VLOOKUP(#REF!,Capa!$A:$Z,AY$5,0)),0,1/VLOOKUP(#REF!,Capa!$A:$Z,AY$5,0))))</f>
        <v/>
      </c>
      <c r="AZ31" s="124" t="str">
        <f>IF(AZ$6="","",IF(AZ$3="Maior",iferror(VLOOKUP(#REF!,Capa!$A:$Z,AZ$5,0),0),IF(ISERROR(1/VLOOKUP(#REF!,Capa!$A:$Z,AZ$5,0)),0,1/VLOOKUP(#REF!,Capa!$A:$Z,AZ$5,0))))</f>
        <v/>
      </c>
      <c r="BA31" s="124" t="str">
        <f>IF(BA$6="","",IF(BA$3="Maior",iferror(VLOOKUP(#REF!,Capa!$A:$Z,BA$5,0),0),IF(ISERROR(1/VLOOKUP(#REF!,Capa!$A:$Z,BA$5,0)),0,1/VLOOKUP(#REF!,Capa!$A:$Z,BA$5,0))))</f>
        <v/>
      </c>
      <c r="BB31" s="124" t="str">
        <f>IF(BB$6="","",IF(BB$3="Maior",iferror(VLOOKUP(#REF!,Capa!$A:$Z,BB$5,0),0),IF(ISERROR(1/VLOOKUP(#REF!,Capa!$A:$Z,BB$5,0)),0,1/VLOOKUP(#REF!,Capa!$A:$Z,BB$5,0))))</f>
        <v/>
      </c>
      <c r="BC31" s="124" t="str">
        <f>IF(BC$6="","",IF(BC$3="Maior",iferror(VLOOKUP(#REF!,Capa!$A:$Z,BC$5,0),0),IF(ISERROR(1/VLOOKUP(#REF!,Capa!$A:$Z,BC$5,0)),0,1/VLOOKUP(#REF!,Capa!$A:$Z,BC$5,0))))</f>
        <v/>
      </c>
      <c r="BD31" s="124" t="str">
        <f>IF(BD$6="","",IF(BD$3="Maior",iferror(VLOOKUP(#REF!,Capa!$A:$Z,BD$5,0),0),IF(ISERROR(1/VLOOKUP(#REF!,Capa!$A:$Z,BD$5,0)),0,1/VLOOKUP(#REF!,Capa!$A:$Z,BD$5,0))))</f>
        <v/>
      </c>
      <c r="BE31" s="124" t="str">
        <f>IF(BE$6="","",IF(BE$3="Maior",iferror(VLOOKUP(#REF!,Capa!$A:$Z,BE$5,0),0),IF(ISERROR(1/VLOOKUP(#REF!,Capa!$A:$Z,BE$5,0)),0,1/VLOOKUP(#REF!,Capa!$A:$Z,BE$5,0))))</f>
        <v/>
      </c>
      <c r="BF31" s="124" t="str">
        <f>IF(BF$6="","",IF(BF$3="Maior",iferror(VLOOKUP(#REF!,Capa!$A:$Z,BF$5,0),0),IF(ISERROR(1/VLOOKUP(#REF!,Capa!$A:$Z,BF$5,0)),0,1/VLOOKUP(#REF!,Capa!$A:$Z,BF$5,0))))</f>
        <v/>
      </c>
      <c r="BG31" s="124" t="str">
        <f>IF(BG$6="","",IF(BG$3="Maior",iferror(VLOOKUP(#REF!,Capa!$A:$Z,BG$5,0),0),IF(ISERROR(1/VLOOKUP(#REF!,Capa!$A:$Z,BG$5,0)),0,1/VLOOKUP(#REF!,Capa!$A:$Z,BG$5,0))))</f>
        <v/>
      </c>
      <c r="BH31" s="124" t="str">
        <f>IF(BH$6="","",IF(BH$3="Maior",iferror(VLOOKUP(#REF!,Capa!$A:$Z,BH$5,0),0),IF(ISERROR(1/VLOOKUP(#REF!,Capa!$A:$Z,BH$5,0)),0,1/VLOOKUP(#REF!,Capa!$A:$Z,BH$5,0))))</f>
        <v/>
      </c>
      <c r="BI31" s="124" t="str">
        <f>IF(BI$6="","",IF(BI$3="Maior",iferror(VLOOKUP(#REF!,Capa!$A:$Z,BI$5,0),0),IF(ISERROR(1/VLOOKUP(#REF!,Capa!$A:$Z,BI$5,0)),0,1/VLOOKUP(#REF!,Capa!$A:$Z,BI$5,0))))</f>
        <v/>
      </c>
      <c r="BJ31" s="124" t="str">
        <f>IF(BJ$6="","",IF(BJ$3="Maior",iferror(VLOOKUP(#REF!,Capa!$A:$Z,BJ$5,0),0),IF(ISERROR(1/VLOOKUP(#REF!,Capa!$A:$Z,BJ$5,0)),0,1/VLOOKUP(#REF!,Capa!$A:$Z,BJ$5,0))))</f>
        <v/>
      </c>
      <c r="BK31" s="124" t="str">
        <f>IF(BK$6="","",IF(BK$3="Maior",iferror(VLOOKUP(#REF!,Capa!$A:$Z,BK$5,0),0),IF(ISERROR(1/VLOOKUP(#REF!,Capa!$A:$Z,BK$5,0)),0,1/VLOOKUP(#REF!,Capa!$A:$Z,BK$5,0))))</f>
        <v/>
      </c>
      <c r="BL31" s="124" t="str">
        <f>IF(BL$6="","",IF(BL$3="Maior",iferror(VLOOKUP(#REF!,Capa!$A:$Z,BL$5,0),0),IF(ISERROR(1/VLOOKUP(#REF!,Capa!$A:$Z,BL$5,0)),0,1/VLOOKUP(#REF!,Capa!$A:$Z,BL$5,0))))</f>
        <v/>
      </c>
      <c r="BM31" s="124" t="str">
        <f>IF(BM$6="","",IF(BM$3="Maior",iferror(VLOOKUP(#REF!,Capa!$A:$Z,BM$5,0),0),IF(ISERROR(1/VLOOKUP(#REF!,Capa!$A:$Z,BM$5,0)),0,1/VLOOKUP(#REF!,Capa!$A:$Z,BM$5,0))))</f>
        <v/>
      </c>
      <c r="BN31" s="124" t="str">
        <f>IF(BN$6="","",IF(BN$3="Maior",iferror(VLOOKUP(#REF!,Capa!$A:$Z,BN$5,0),0),IF(ISERROR(1/VLOOKUP(#REF!,Capa!$A:$Z,BN$5,0)),0,1/VLOOKUP(#REF!,Capa!$A:$Z,BN$5,0))))</f>
        <v/>
      </c>
      <c r="BO31" s="124" t="str">
        <f>IF(BO$6="","",IF(BO$3="Maior",iferror(VLOOKUP(#REF!,Capa!$A:$Z,BO$5,0),0),IF(ISERROR(1/VLOOKUP(#REF!,Capa!$A:$Z,BO$5,0)),0,1/VLOOKUP(#REF!,Capa!$A:$Z,BO$5,0))))</f>
        <v/>
      </c>
      <c r="BP31" s="124" t="str">
        <f>IF(BP$6="","",IF(BP$3="Maior",iferror(VLOOKUP(#REF!,Capa!$A:$Z,BP$5,0),0),IF(ISERROR(1/VLOOKUP(#REF!,Capa!$A:$Z,BP$5,0)),0,1/VLOOKUP(#REF!,Capa!$A:$Z,BP$5,0))))</f>
        <v/>
      </c>
      <c r="BQ31" s="124" t="str">
        <f>IF(BQ$6="","",IF(BQ$3="Maior",iferror(VLOOKUP(#REF!,Capa!$A:$Z,BQ$5,0),0),IF(ISERROR(1/VLOOKUP(#REF!,Capa!$A:$Z,BQ$5,0)),0,1/VLOOKUP(#REF!,Capa!$A:$Z,BQ$5,0))))</f>
        <v/>
      </c>
      <c r="BR31" s="125" t="str">
        <f>IF(BR$6="","",IF(BR$3="Maior",iferror(VLOOKUP(#REF!,Capa!$A:$Z,BR$5,0),0),IF(ISERROR(1/VLOOKUP(#REF!,Capa!$A:$Z,BR$5,0)),0,1/VLOOKUP(#REF!,Capa!$A:$Z,BR$5,0))))</f>
        <v/>
      </c>
      <c r="BS31" s="88"/>
    </row>
    <row r="32">
      <c r="B32" s="115">
        <f t="shared" si="29"/>
        <v>2</v>
      </c>
      <c r="C32" s="134" t="s">
        <v>25</v>
      </c>
      <c r="D32" s="135" t="b">
        <v>0</v>
      </c>
      <c r="E32" s="136" t="s">
        <v>242</v>
      </c>
      <c r="F32" s="126">
        <f>MATCH(C32,Capa!$6:$6,0)</f>
        <v>22</v>
      </c>
      <c r="G32" s="9"/>
      <c r="H32" s="7">
        <v>26.0</v>
      </c>
      <c r="I32" s="111" t="str">
        <f t="shared" si="7"/>
        <v>BTAL11</v>
      </c>
      <c r="J32" s="112" t="str">
        <f>VLOOKUP(I32,Capa!A:G,7,0)</f>
        <v>Agronegócio</v>
      </c>
      <c r="K32" s="113">
        <f t="shared" si="8"/>
        <v>0.827027027</v>
      </c>
      <c r="L32" s="113">
        <f t="shared" si="9"/>
        <v>0.1086810811</v>
      </c>
      <c r="M32" s="113" t="str">
        <f t="shared" si="10"/>
        <v/>
      </c>
      <c r="N32" s="113" t="str">
        <f t="shared" si="11"/>
        <v/>
      </c>
      <c r="O32" s="114">
        <f t="shared" si="12"/>
        <v>1150158.07</v>
      </c>
      <c r="P32" s="9"/>
      <c r="Q32" s="9"/>
      <c r="R32" s="115" t="s">
        <v>86</v>
      </c>
      <c r="S32" s="116">
        <f t="shared" si="13"/>
        <v>1132.008943</v>
      </c>
      <c r="T32" s="117">
        <f>MID(VLOOKUP($R32,'Dados ClubeFII'!$A:$AU,23,0),3,100)/1</f>
        <v>186799.97</v>
      </c>
      <c r="U32" s="118">
        <f t="shared" si="14"/>
        <v>89.0089</v>
      </c>
      <c r="V32" s="118">
        <f t="shared" si="15"/>
        <v>43.000043</v>
      </c>
      <c r="W32" s="118" t="str">
        <f t="shared" ref="W32:AS32" si="41">IF(AV32="","", RANK(AV32,AV$7:AV$405,0))</f>
        <v/>
      </c>
      <c r="X32" s="118" t="str">
        <f t="shared" si="41"/>
        <v/>
      </c>
      <c r="Y32" s="118" t="str">
        <f t="shared" si="41"/>
        <v/>
      </c>
      <c r="Z32" s="118" t="str">
        <f t="shared" si="41"/>
        <v/>
      </c>
      <c r="AA32" s="118" t="str">
        <f t="shared" si="41"/>
        <v/>
      </c>
      <c r="AB32" s="118" t="str">
        <f t="shared" si="41"/>
        <v/>
      </c>
      <c r="AC32" s="118" t="str">
        <f t="shared" si="41"/>
        <v/>
      </c>
      <c r="AD32" s="118" t="str">
        <f t="shared" si="41"/>
        <v/>
      </c>
      <c r="AE32" s="118" t="str">
        <f t="shared" si="41"/>
        <v/>
      </c>
      <c r="AF32" s="118" t="str">
        <f t="shared" si="41"/>
        <v/>
      </c>
      <c r="AG32" s="118" t="str">
        <f t="shared" si="41"/>
        <v/>
      </c>
      <c r="AH32" s="118" t="str">
        <f t="shared" si="41"/>
        <v/>
      </c>
      <c r="AI32" s="118" t="str">
        <f t="shared" si="41"/>
        <v/>
      </c>
      <c r="AJ32" s="118" t="str">
        <f t="shared" si="41"/>
        <v/>
      </c>
      <c r="AK32" s="118" t="str">
        <f t="shared" si="41"/>
        <v/>
      </c>
      <c r="AL32" s="118" t="str">
        <f t="shared" si="41"/>
        <v/>
      </c>
      <c r="AM32" s="118" t="str">
        <f t="shared" si="41"/>
        <v/>
      </c>
      <c r="AN32" s="118" t="str">
        <f t="shared" si="41"/>
        <v/>
      </c>
      <c r="AO32" s="118" t="str">
        <f t="shared" si="41"/>
        <v/>
      </c>
      <c r="AP32" s="118" t="str">
        <f t="shared" si="41"/>
        <v/>
      </c>
      <c r="AQ32" s="118" t="str">
        <f t="shared" si="41"/>
        <v/>
      </c>
      <c r="AR32" s="118" t="str">
        <f t="shared" si="41"/>
        <v/>
      </c>
      <c r="AS32" s="118" t="str">
        <f t="shared" si="41"/>
        <v/>
      </c>
      <c r="AT32" s="123">
        <f>IF(AT$6="","",IF(AT$3="Maior",iferror(VLOOKUP($R32,Capa!$A:$Z,AT$5,0),0),IF(ISERROR(1/VLOOKUP($R32,Capa!$A:$Z,AT$5,0)),0,1/VLOOKUP($R32,Capa!$A:$Z,AT$5,0))))</f>
        <v>1.211529163</v>
      </c>
      <c r="AU32" s="124">
        <f>IF(AU$6="","",IF(AU$3="Maior",iferror(VLOOKUP($R32,Capa!$A:$Z,AU$5,0),0),IF(ISERROR(1/VLOOKUP($R32,Capa!$A:$Z,AU$5,0)),0,1/VLOOKUP($R32,Capa!$A:$Z,AU$5,0))))</f>
        <v>0.1404179834</v>
      </c>
      <c r="AV32" s="124" t="str">
        <f>IF(AV$6="","",IF(AV$3="Maior",iferror(VLOOKUP($R31,Capa!$A:$Z,AV$5,0),0),IF(ISERROR(1/VLOOKUP($R31,Capa!$A:$Z,AV$5,0)),0,1/VLOOKUP($R31,Capa!$A:$Z,AV$5,0))))</f>
        <v/>
      </c>
      <c r="AW32" s="124" t="str">
        <f>IF(AW$6="","",IF(AW$3="Maior",iferror(VLOOKUP($R31,Capa!$A:$Z,AW$5,0),0),IF(ISERROR(1/VLOOKUP($R31,Capa!$A:$Z,AW$5,0)),0,1/VLOOKUP($R31,Capa!$A:$Z,AW$5,0))))</f>
        <v/>
      </c>
      <c r="AX32" s="124" t="str">
        <f>IF(AX$6="","",IF(AX$3="Maior",iferror(VLOOKUP($R31,Capa!$A:$Z,AX$5,0),0),IF(ISERROR(1/VLOOKUP($R31,Capa!$A:$Z,AX$5,0)),0,1/VLOOKUP($R31,Capa!$A:$Z,AX$5,0))))</f>
        <v/>
      </c>
      <c r="AY32" s="124" t="str">
        <f>IF(AY$6="","",IF(AY$3="Maior",iferror(VLOOKUP($R31,Capa!$A:$Z,AY$5,0),0),IF(ISERROR(1/VLOOKUP($R31,Capa!$A:$Z,AY$5,0)),0,1/VLOOKUP($R31,Capa!$A:$Z,AY$5,0))))</f>
        <v/>
      </c>
      <c r="AZ32" s="124" t="str">
        <f>IF(AZ$6="","",IF(AZ$3="Maior",iferror(VLOOKUP($R31,Capa!$A:$Z,AZ$5,0),0),IF(ISERROR(1/VLOOKUP($R31,Capa!$A:$Z,AZ$5,0)),0,1/VLOOKUP($R31,Capa!$A:$Z,AZ$5,0))))</f>
        <v/>
      </c>
      <c r="BA32" s="124" t="str">
        <f>IF(BA$6="","",IF(BA$3="Maior",iferror(VLOOKUP($R31,Capa!$A:$Z,BA$5,0),0),IF(ISERROR(1/VLOOKUP($R31,Capa!$A:$Z,BA$5,0)),0,1/VLOOKUP($R31,Capa!$A:$Z,BA$5,0))))</f>
        <v/>
      </c>
      <c r="BB32" s="124" t="str">
        <f>IF(BB$6="","",IF(BB$3="Maior",iferror(VLOOKUP($R31,Capa!$A:$Z,BB$5,0),0),IF(ISERROR(1/VLOOKUP($R31,Capa!$A:$Z,BB$5,0)),0,1/VLOOKUP($R31,Capa!$A:$Z,BB$5,0))))</f>
        <v/>
      </c>
      <c r="BC32" s="124" t="str">
        <f>IF(BC$6="","",IF(BC$3="Maior",iferror(VLOOKUP($R31,Capa!$A:$Z,BC$5,0),0),IF(ISERROR(1/VLOOKUP($R31,Capa!$A:$Z,BC$5,0)),0,1/VLOOKUP($R31,Capa!$A:$Z,BC$5,0))))</f>
        <v/>
      </c>
      <c r="BD32" s="124" t="str">
        <f>IF(BD$6="","",IF(BD$3="Maior",iferror(VLOOKUP($R31,Capa!$A:$Z,BD$5,0),0),IF(ISERROR(1/VLOOKUP($R31,Capa!$A:$Z,BD$5,0)),0,1/VLOOKUP($R31,Capa!$A:$Z,BD$5,0))))</f>
        <v/>
      </c>
      <c r="BE32" s="124" t="str">
        <f>IF(BE$6="","",IF(BE$3="Maior",iferror(VLOOKUP($R31,Capa!$A:$Z,BE$5,0),0),IF(ISERROR(1/VLOOKUP($R31,Capa!$A:$Z,BE$5,0)),0,1/VLOOKUP($R31,Capa!$A:$Z,BE$5,0))))</f>
        <v/>
      </c>
      <c r="BF32" s="124" t="str">
        <f>IF(BF$6="","",IF(BF$3="Maior",iferror(VLOOKUP($R31,Capa!$A:$Z,BF$5,0),0),IF(ISERROR(1/VLOOKUP($R31,Capa!$A:$Z,BF$5,0)),0,1/VLOOKUP($R31,Capa!$A:$Z,BF$5,0))))</f>
        <v/>
      </c>
      <c r="BG32" s="124" t="str">
        <f>IF(BG$6="","",IF(BG$3="Maior",iferror(VLOOKUP($R31,Capa!$A:$Z,BG$5,0),0),IF(ISERROR(1/VLOOKUP($R31,Capa!$A:$Z,BG$5,0)),0,1/VLOOKUP($R31,Capa!$A:$Z,BG$5,0))))</f>
        <v/>
      </c>
      <c r="BH32" s="124" t="str">
        <f>IF(BH$6="","",IF(BH$3="Maior",iferror(VLOOKUP($R31,Capa!$A:$Z,BH$5,0),0),IF(ISERROR(1/VLOOKUP($R31,Capa!$A:$Z,BH$5,0)),0,1/VLOOKUP($R31,Capa!$A:$Z,BH$5,0))))</f>
        <v/>
      </c>
      <c r="BI32" s="124" t="str">
        <f>IF(BI$6="","",IF(BI$3="Maior",iferror(VLOOKUP($R31,Capa!$A:$Z,BI$5,0),0),IF(ISERROR(1/VLOOKUP($R31,Capa!$A:$Z,BI$5,0)),0,1/VLOOKUP($R31,Capa!$A:$Z,BI$5,0))))</f>
        <v/>
      </c>
      <c r="BJ32" s="124" t="str">
        <f>IF(BJ$6="","",IF(BJ$3="Maior",iferror(VLOOKUP($R31,Capa!$A:$Z,BJ$5,0),0),IF(ISERROR(1/VLOOKUP($R31,Capa!$A:$Z,BJ$5,0)),0,1/VLOOKUP($R31,Capa!$A:$Z,BJ$5,0))))</f>
        <v/>
      </c>
      <c r="BK32" s="124" t="str">
        <f>IF(BK$6="","",IF(BK$3="Maior",iferror(VLOOKUP($R31,Capa!$A:$Z,BK$5,0),0),IF(ISERROR(1/VLOOKUP($R31,Capa!$A:$Z,BK$5,0)),0,1/VLOOKUP($R31,Capa!$A:$Z,BK$5,0))))</f>
        <v/>
      </c>
      <c r="BL32" s="124" t="str">
        <f>IF(BL$6="","",IF(BL$3="Maior",iferror(VLOOKUP($R31,Capa!$A:$Z,BL$5,0),0),IF(ISERROR(1/VLOOKUP($R31,Capa!$A:$Z,BL$5,0)),0,1/VLOOKUP($R31,Capa!$A:$Z,BL$5,0))))</f>
        <v/>
      </c>
      <c r="BM32" s="124" t="str">
        <f>IF(BM$6="","",IF(BM$3="Maior",iferror(VLOOKUP($R31,Capa!$A:$Z,BM$5,0),0),IF(ISERROR(1/VLOOKUP($R31,Capa!$A:$Z,BM$5,0)),0,1/VLOOKUP($R31,Capa!$A:$Z,BM$5,0))))</f>
        <v/>
      </c>
      <c r="BN32" s="124" t="str">
        <f>IF(BN$6="","",IF(BN$3="Maior",iferror(VLOOKUP($R31,Capa!$A:$Z,BN$5,0),0),IF(ISERROR(1/VLOOKUP($R31,Capa!$A:$Z,BN$5,0)),0,1/VLOOKUP($R31,Capa!$A:$Z,BN$5,0))))</f>
        <v/>
      </c>
      <c r="BO32" s="124" t="str">
        <f>IF(BO$6="","",IF(BO$3="Maior",iferror(VLOOKUP($R31,Capa!$A:$Z,BO$5,0),0),IF(ISERROR(1/VLOOKUP($R31,Capa!$A:$Z,BO$5,0)),0,1/VLOOKUP($R31,Capa!$A:$Z,BO$5,0))))</f>
        <v/>
      </c>
      <c r="BP32" s="124" t="str">
        <f>IF(BP$6="","",IF(BP$3="Maior",iferror(VLOOKUP($R31,Capa!$A:$Z,BP$5,0),0),IF(ISERROR(1/VLOOKUP($R31,Capa!$A:$Z,BP$5,0)),0,1/VLOOKUP($R31,Capa!$A:$Z,BP$5,0))))</f>
        <v/>
      </c>
      <c r="BQ32" s="124" t="str">
        <f>IF(BQ$6="","",IF(BQ$3="Maior",iferror(VLOOKUP($R31,Capa!$A:$Z,BQ$5,0),0),IF(ISERROR(1/VLOOKUP($R31,Capa!$A:$Z,BQ$5,0)),0,1/VLOOKUP($R31,Capa!$A:$Z,BQ$5,0))))</f>
        <v/>
      </c>
      <c r="BR32" s="125" t="str">
        <f>IF(BR$6="","",IF(BR$3="Maior",iferror(VLOOKUP($R31,Capa!$A:$Z,BR$5,0),0),IF(ISERROR(1/VLOOKUP($R31,Capa!$A:$Z,BR$5,0)),0,1/VLOOKUP($R31,Capa!$A:$Z,BR$5,0))))</f>
        <v/>
      </c>
      <c r="BS32" s="88"/>
    </row>
    <row r="33">
      <c r="B33" s="115">
        <f t="shared" si="29"/>
        <v>2</v>
      </c>
      <c r="C33" s="134" t="s">
        <v>26</v>
      </c>
      <c r="D33" s="135" t="b">
        <v>0</v>
      </c>
      <c r="E33" s="136" t="s">
        <v>241</v>
      </c>
      <c r="F33" s="126">
        <f>MATCH(C33,Capa!$6:$6,0)</f>
        <v>23</v>
      </c>
      <c r="G33" s="9"/>
      <c r="H33" s="7">
        <v>27.0</v>
      </c>
      <c r="I33" s="129" t="str">
        <f t="shared" si="7"/>
        <v>IRDM11</v>
      </c>
      <c r="J33" s="112" t="str">
        <f>VLOOKUP(I33,Capa!A:G,7,0)</f>
        <v>Recebíveis Imobiliários</v>
      </c>
      <c r="K33" s="113">
        <f t="shared" si="8"/>
        <v>0.9278071749</v>
      </c>
      <c r="L33" s="113">
        <f t="shared" si="9"/>
        <v>0.1398406278</v>
      </c>
      <c r="M33" s="113" t="str">
        <f t="shared" si="10"/>
        <v/>
      </c>
      <c r="N33" s="113" t="str">
        <f t="shared" si="11"/>
        <v/>
      </c>
      <c r="O33" s="114">
        <f t="shared" si="12"/>
        <v>4737112.56</v>
      </c>
      <c r="P33" s="9"/>
      <c r="Q33" s="9"/>
      <c r="R33" s="115" t="s">
        <v>198</v>
      </c>
      <c r="S33" s="116">
        <f t="shared" si="13"/>
        <v>1208.002881</v>
      </c>
      <c r="T33" s="117">
        <f>MID(VLOOKUP($R33,'Dados ClubeFII'!$A:$AU,23,0),3,100)/1</f>
        <v>8693.69</v>
      </c>
      <c r="U33" s="118">
        <f t="shared" si="14"/>
        <v>27.0027</v>
      </c>
      <c r="V33" s="118">
        <f t="shared" si="15"/>
        <v>181.000181</v>
      </c>
      <c r="W33" s="118" t="str">
        <f t="shared" ref="W33:AS33" si="42">IF(AV33="","", RANK(AV33,AV$7:AV$405,0))</f>
        <v/>
      </c>
      <c r="X33" s="118" t="str">
        <f t="shared" si="42"/>
        <v/>
      </c>
      <c r="Y33" s="118" t="str">
        <f t="shared" si="42"/>
        <v/>
      </c>
      <c r="Z33" s="118" t="str">
        <f t="shared" si="42"/>
        <v/>
      </c>
      <c r="AA33" s="118" t="str">
        <f t="shared" si="42"/>
        <v/>
      </c>
      <c r="AB33" s="118" t="str">
        <f t="shared" si="42"/>
        <v/>
      </c>
      <c r="AC33" s="118" t="str">
        <f t="shared" si="42"/>
        <v/>
      </c>
      <c r="AD33" s="118" t="str">
        <f t="shared" si="42"/>
        <v/>
      </c>
      <c r="AE33" s="118" t="str">
        <f t="shared" si="42"/>
        <v/>
      </c>
      <c r="AF33" s="118" t="str">
        <f t="shared" si="42"/>
        <v/>
      </c>
      <c r="AG33" s="118" t="str">
        <f t="shared" si="42"/>
        <v/>
      </c>
      <c r="AH33" s="118" t="str">
        <f t="shared" si="42"/>
        <v/>
      </c>
      <c r="AI33" s="118" t="str">
        <f t="shared" si="42"/>
        <v/>
      </c>
      <c r="AJ33" s="118" t="str">
        <f t="shared" si="42"/>
        <v/>
      </c>
      <c r="AK33" s="118" t="str">
        <f t="shared" si="42"/>
        <v/>
      </c>
      <c r="AL33" s="118" t="str">
        <f t="shared" si="42"/>
        <v/>
      </c>
      <c r="AM33" s="118" t="str">
        <f t="shared" si="42"/>
        <v/>
      </c>
      <c r="AN33" s="118" t="str">
        <f t="shared" si="42"/>
        <v/>
      </c>
      <c r="AO33" s="118" t="str">
        <f t="shared" si="42"/>
        <v/>
      </c>
      <c r="AP33" s="118" t="str">
        <f t="shared" si="42"/>
        <v/>
      </c>
      <c r="AQ33" s="118" t="str">
        <f t="shared" si="42"/>
        <v/>
      </c>
      <c r="AR33" s="118" t="str">
        <f t="shared" si="42"/>
        <v/>
      </c>
      <c r="AS33" s="118" t="str">
        <f t="shared" si="42"/>
        <v/>
      </c>
      <c r="AT33" s="123">
        <f>IF(AT$6="","",IF(AT$3="Maior",iferror(VLOOKUP($R33,Capa!$A:$Z,AT$5,0),0),IF(ISERROR(1/VLOOKUP($R33,Capa!$A:$Z,AT$5,0)),0,1/VLOOKUP($R33,Capa!$A:$Z,AT$5,0))))</f>
        <v>1.759466667</v>
      </c>
      <c r="AU33" s="124">
        <f>IF(AU$6="","",IF(AU$3="Maior",iferror(VLOOKUP($R33,Capa!$A:$Z,AU$5,0),0),IF(ISERROR(1/VLOOKUP($R33,Capa!$A:$Z,AU$5,0)),0,1/VLOOKUP($R33,Capa!$A:$Z,AU$5,0))))</f>
        <v>0</v>
      </c>
      <c r="AV33" s="124" t="str">
        <f>IF(AV$6="","",IF(AV$3="Maior",iferror(VLOOKUP($R32,Capa!$A:$Z,AV$5,0),0),IF(ISERROR(1/VLOOKUP($R32,Capa!$A:$Z,AV$5,0)),0,1/VLOOKUP($R32,Capa!$A:$Z,AV$5,0))))</f>
        <v/>
      </c>
      <c r="AW33" s="124" t="str">
        <f>IF(AW$6="","",IF(AW$3="Maior",iferror(VLOOKUP($R32,Capa!$A:$Z,AW$5,0),0),IF(ISERROR(1/VLOOKUP($R32,Capa!$A:$Z,AW$5,0)),0,1/VLOOKUP($R32,Capa!$A:$Z,AW$5,0))))</f>
        <v/>
      </c>
      <c r="AX33" s="124" t="str">
        <f>IF(AX$6="","",IF(AX$3="Maior",iferror(VLOOKUP($R32,Capa!$A:$Z,AX$5,0),0),IF(ISERROR(1/VLOOKUP($R32,Capa!$A:$Z,AX$5,0)),0,1/VLOOKUP($R32,Capa!$A:$Z,AX$5,0))))</f>
        <v/>
      </c>
      <c r="AY33" s="124" t="str">
        <f>IF(AY$6="","",IF(AY$3="Maior",iferror(VLOOKUP($R32,Capa!$A:$Z,AY$5,0),0),IF(ISERROR(1/VLOOKUP($R32,Capa!$A:$Z,AY$5,0)),0,1/VLOOKUP($R32,Capa!$A:$Z,AY$5,0))))</f>
        <v/>
      </c>
      <c r="AZ33" s="124" t="str">
        <f>IF(AZ$6="","",IF(AZ$3="Maior",iferror(VLOOKUP($R32,Capa!$A:$Z,AZ$5,0),0),IF(ISERROR(1/VLOOKUP($R32,Capa!$A:$Z,AZ$5,0)),0,1/VLOOKUP($R32,Capa!$A:$Z,AZ$5,0))))</f>
        <v/>
      </c>
      <c r="BA33" s="124" t="str">
        <f>IF(BA$6="","",IF(BA$3="Maior",iferror(VLOOKUP($R32,Capa!$A:$Z,BA$5,0),0),IF(ISERROR(1/VLOOKUP($R32,Capa!$A:$Z,BA$5,0)),0,1/VLOOKUP($R32,Capa!$A:$Z,BA$5,0))))</f>
        <v/>
      </c>
      <c r="BB33" s="124" t="str">
        <f>IF(BB$6="","",IF(BB$3="Maior",iferror(VLOOKUP($R32,Capa!$A:$Z,BB$5,0),0),IF(ISERROR(1/VLOOKUP($R32,Capa!$A:$Z,BB$5,0)),0,1/VLOOKUP($R32,Capa!$A:$Z,BB$5,0))))</f>
        <v/>
      </c>
      <c r="BC33" s="124" t="str">
        <f>IF(BC$6="","",IF(BC$3="Maior",iferror(VLOOKUP($R32,Capa!$A:$Z,BC$5,0),0),IF(ISERROR(1/VLOOKUP($R32,Capa!$A:$Z,BC$5,0)),0,1/VLOOKUP($R32,Capa!$A:$Z,BC$5,0))))</f>
        <v/>
      </c>
      <c r="BD33" s="124" t="str">
        <f>IF(BD$6="","",IF(BD$3="Maior",iferror(VLOOKUP($R32,Capa!$A:$Z,BD$5,0),0),IF(ISERROR(1/VLOOKUP($R32,Capa!$A:$Z,BD$5,0)),0,1/VLOOKUP($R32,Capa!$A:$Z,BD$5,0))))</f>
        <v/>
      </c>
      <c r="BE33" s="124" t="str">
        <f>IF(BE$6="","",IF(BE$3="Maior",iferror(VLOOKUP($R32,Capa!$A:$Z,BE$5,0),0),IF(ISERROR(1/VLOOKUP($R32,Capa!$A:$Z,BE$5,0)),0,1/VLOOKUP($R32,Capa!$A:$Z,BE$5,0))))</f>
        <v/>
      </c>
      <c r="BF33" s="124" t="str">
        <f>IF(BF$6="","",IF(BF$3="Maior",iferror(VLOOKUP($R32,Capa!$A:$Z,BF$5,0),0),IF(ISERROR(1/VLOOKUP($R32,Capa!$A:$Z,BF$5,0)),0,1/VLOOKUP($R32,Capa!$A:$Z,BF$5,0))))</f>
        <v/>
      </c>
      <c r="BG33" s="124" t="str">
        <f>IF(BG$6="","",IF(BG$3="Maior",iferror(VLOOKUP($R32,Capa!$A:$Z,BG$5,0),0),IF(ISERROR(1/VLOOKUP($R32,Capa!$A:$Z,BG$5,0)),0,1/VLOOKUP($R32,Capa!$A:$Z,BG$5,0))))</f>
        <v/>
      </c>
      <c r="BH33" s="124" t="str">
        <f>IF(BH$6="","",IF(BH$3="Maior",iferror(VLOOKUP($R32,Capa!$A:$Z,BH$5,0),0),IF(ISERROR(1/VLOOKUP($R32,Capa!$A:$Z,BH$5,0)),0,1/VLOOKUP($R32,Capa!$A:$Z,BH$5,0))))</f>
        <v/>
      </c>
      <c r="BI33" s="124" t="str">
        <f>IF(BI$6="","",IF(BI$3="Maior",iferror(VLOOKUP($R32,Capa!$A:$Z,BI$5,0),0),IF(ISERROR(1/VLOOKUP($R32,Capa!$A:$Z,BI$5,0)),0,1/VLOOKUP($R32,Capa!$A:$Z,BI$5,0))))</f>
        <v/>
      </c>
      <c r="BJ33" s="124" t="str">
        <f>IF(BJ$6="","",IF(BJ$3="Maior",iferror(VLOOKUP($R32,Capa!$A:$Z,BJ$5,0),0),IF(ISERROR(1/VLOOKUP($R32,Capa!$A:$Z,BJ$5,0)),0,1/VLOOKUP($R32,Capa!$A:$Z,BJ$5,0))))</f>
        <v/>
      </c>
      <c r="BK33" s="124" t="str">
        <f>IF(BK$6="","",IF(BK$3="Maior",iferror(VLOOKUP($R32,Capa!$A:$Z,BK$5,0),0),IF(ISERROR(1/VLOOKUP($R32,Capa!$A:$Z,BK$5,0)),0,1/VLOOKUP($R32,Capa!$A:$Z,BK$5,0))))</f>
        <v/>
      </c>
      <c r="BL33" s="124" t="str">
        <f>IF(BL$6="","",IF(BL$3="Maior",iferror(VLOOKUP($R32,Capa!$A:$Z,BL$5,0),0),IF(ISERROR(1/VLOOKUP($R32,Capa!$A:$Z,BL$5,0)),0,1/VLOOKUP($R32,Capa!$A:$Z,BL$5,0))))</f>
        <v/>
      </c>
      <c r="BM33" s="124" t="str">
        <f>IF(BM$6="","",IF(BM$3="Maior",iferror(VLOOKUP($R32,Capa!$A:$Z,BM$5,0),0),IF(ISERROR(1/VLOOKUP($R32,Capa!$A:$Z,BM$5,0)),0,1/VLOOKUP($R32,Capa!$A:$Z,BM$5,0))))</f>
        <v/>
      </c>
      <c r="BN33" s="124" t="str">
        <f>IF(BN$6="","",IF(BN$3="Maior",iferror(VLOOKUP($R32,Capa!$A:$Z,BN$5,0),0),IF(ISERROR(1/VLOOKUP($R32,Capa!$A:$Z,BN$5,0)),0,1/VLOOKUP($R32,Capa!$A:$Z,BN$5,0))))</f>
        <v/>
      </c>
      <c r="BO33" s="124" t="str">
        <f>IF(BO$6="","",IF(BO$3="Maior",iferror(VLOOKUP($R32,Capa!$A:$Z,BO$5,0),0),IF(ISERROR(1/VLOOKUP($R32,Capa!$A:$Z,BO$5,0)),0,1/VLOOKUP($R32,Capa!$A:$Z,BO$5,0))))</f>
        <v/>
      </c>
      <c r="BP33" s="124" t="str">
        <f>IF(BP$6="","",IF(BP$3="Maior",iferror(VLOOKUP($R32,Capa!$A:$Z,BP$5,0),0),IF(ISERROR(1/VLOOKUP($R32,Capa!$A:$Z,BP$5,0)),0,1/VLOOKUP($R32,Capa!$A:$Z,BP$5,0))))</f>
        <v/>
      </c>
      <c r="BQ33" s="124" t="str">
        <f>IF(BQ$6="","",IF(BQ$3="Maior",iferror(VLOOKUP($R32,Capa!$A:$Z,BQ$5,0),0),IF(ISERROR(1/VLOOKUP($R32,Capa!$A:$Z,BQ$5,0)),0,1/VLOOKUP($R32,Capa!$A:$Z,BQ$5,0))))</f>
        <v/>
      </c>
      <c r="BR33" s="125" t="str">
        <f>IF(BR$6="","",IF(BR$3="Maior",iferror(VLOOKUP($R32,Capa!$A:$Z,BR$5,0),0),IF(ISERROR(1/VLOOKUP($R32,Capa!$A:$Z,BR$5,0)),0,1/VLOOKUP($R32,Capa!$A:$Z,BR$5,0))))</f>
        <v/>
      </c>
      <c r="BS33" s="88"/>
    </row>
    <row r="34">
      <c r="B34" s="115">
        <f t="shared" si="29"/>
        <v>2</v>
      </c>
      <c r="C34" s="134" t="s">
        <v>27</v>
      </c>
      <c r="D34" s="135" t="b">
        <v>0</v>
      </c>
      <c r="E34" s="136" t="s">
        <v>241</v>
      </c>
      <c r="F34" s="126">
        <f>MATCH(C34,Capa!$6:$6,0)</f>
        <v>24</v>
      </c>
      <c r="G34" s="9"/>
      <c r="H34" s="7">
        <v>28.0</v>
      </c>
      <c r="I34" s="129" t="str">
        <f t="shared" si="7"/>
        <v>VGIR11</v>
      </c>
      <c r="J34" s="112" t="str">
        <f>VLOOKUP(I34,Capa!A:G,7,0)</f>
        <v>Recebíveis Imobiliários</v>
      </c>
      <c r="K34" s="113">
        <f t="shared" si="8"/>
        <v>0.9860515464</v>
      </c>
      <c r="L34" s="113">
        <f t="shared" si="9"/>
        <v>0.1510318557</v>
      </c>
      <c r="M34" s="113" t="str">
        <f t="shared" si="10"/>
        <v/>
      </c>
      <c r="N34" s="113" t="str">
        <f t="shared" si="11"/>
        <v/>
      </c>
      <c r="O34" s="114">
        <f t="shared" si="12"/>
        <v>4040957.93</v>
      </c>
      <c r="P34" s="9"/>
      <c r="Q34" s="9"/>
      <c r="R34" s="115" t="s">
        <v>124</v>
      </c>
      <c r="S34" s="116">
        <f t="shared" si="13"/>
        <v>1181.009289</v>
      </c>
      <c r="T34" s="117">
        <f>MID(VLOOKUP($R34,'Dados ClubeFII'!$A:$AU,23,0),3,100)/1</f>
        <v>505356.56</v>
      </c>
      <c r="U34" s="118">
        <f t="shared" si="14"/>
        <v>92.0092</v>
      </c>
      <c r="V34" s="118">
        <f t="shared" si="15"/>
        <v>89.000089</v>
      </c>
      <c r="W34" s="118" t="str">
        <f t="shared" ref="W34:AS34" si="43">IF(AV34="","", RANK(AV34,AV$7:AV$405,0))</f>
        <v/>
      </c>
      <c r="X34" s="118" t="str">
        <f t="shared" si="43"/>
        <v/>
      </c>
      <c r="Y34" s="118" t="str">
        <f t="shared" si="43"/>
        <v/>
      </c>
      <c r="Z34" s="118" t="str">
        <f t="shared" si="43"/>
        <v/>
      </c>
      <c r="AA34" s="118" t="str">
        <f t="shared" si="43"/>
        <v/>
      </c>
      <c r="AB34" s="118" t="str">
        <f t="shared" si="43"/>
        <v/>
      </c>
      <c r="AC34" s="118" t="str">
        <f t="shared" si="43"/>
        <v/>
      </c>
      <c r="AD34" s="118" t="str">
        <f t="shared" si="43"/>
        <v/>
      </c>
      <c r="AE34" s="118" t="str">
        <f t="shared" si="43"/>
        <v/>
      </c>
      <c r="AF34" s="118" t="str">
        <f t="shared" si="43"/>
        <v/>
      </c>
      <c r="AG34" s="118" t="str">
        <f t="shared" si="43"/>
        <v/>
      </c>
      <c r="AH34" s="118" t="str">
        <f t="shared" si="43"/>
        <v/>
      </c>
      <c r="AI34" s="118" t="str">
        <f t="shared" si="43"/>
        <v/>
      </c>
      <c r="AJ34" s="118" t="str">
        <f t="shared" si="43"/>
        <v/>
      </c>
      <c r="AK34" s="118" t="str">
        <f t="shared" si="43"/>
        <v/>
      </c>
      <c r="AL34" s="118" t="str">
        <f t="shared" si="43"/>
        <v/>
      </c>
      <c r="AM34" s="118" t="str">
        <f t="shared" si="43"/>
        <v/>
      </c>
      <c r="AN34" s="118" t="str">
        <f t="shared" si="43"/>
        <v/>
      </c>
      <c r="AO34" s="118" t="str">
        <f t="shared" si="43"/>
        <v/>
      </c>
      <c r="AP34" s="118" t="str">
        <f t="shared" si="43"/>
        <v/>
      </c>
      <c r="AQ34" s="118" t="str">
        <f t="shared" si="43"/>
        <v/>
      </c>
      <c r="AR34" s="118" t="str">
        <f t="shared" si="43"/>
        <v/>
      </c>
      <c r="AS34" s="118" t="str">
        <f t="shared" si="43"/>
        <v/>
      </c>
      <c r="AT34" s="123">
        <f>IF(AT$6="","",IF(AT$3="Maior",iferror(VLOOKUP($R34,Capa!$A:$Z,AT$5,0),0),IF(ISERROR(1/VLOOKUP($R34,Capa!$A:$Z,AT$5,0)),0,1/VLOOKUP($R34,Capa!$A:$Z,AT$5,0))))</f>
        <v>1.207285605</v>
      </c>
      <c r="AU34" s="124">
        <f>IF(AU$6="","",IF(AU$3="Maior",iferror(VLOOKUP($R34,Capa!$A:$Z,AU$5,0),0),IF(ISERROR(1/VLOOKUP($R34,Capa!$A:$Z,AU$5,0)),0,1/VLOOKUP($R34,Capa!$A:$Z,AU$5,0))))</f>
        <v>0.1133038635</v>
      </c>
      <c r="AV34" s="124" t="str">
        <f>IF(AV$6="","",IF(AV$3="Maior",iferror(VLOOKUP($R33,Capa!$A:$Z,AV$5,0),0),IF(ISERROR(1/VLOOKUP($R33,Capa!$A:$Z,AV$5,0)),0,1/VLOOKUP($R33,Capa!$A:$Z,AV$5,0))))</f>
        <v/>
      </c>
      <c r="AW34" s="124" t="str">
        <f>IF(AW$6="","",IF(AW$3="Maior",iferror(VLOOKUP($R33,Capa!$A:$Z,AW$5,0),0),IF(ISERROR(1/VLOOKUP($R33,Capa!$A:$Z,AW$5,0)),0,1/VLOOKUP($R33,Capa!$A:$Z,AW$5,0))))</f>
        <v/>
      </c>
      <c r="AX34" s="124" t="str">
        <f>IF(AX$6="","",IF(AX$3="Maior",iferror(VLOOKUP($R33,Capa!$A:$Z,AX$5,0),0),IF(ISERROR(1/VLOOKUP($R33,Capa!$A:$Z,AX$5,0)),0,1/VLOOKUP($R33,Capa!$A:$Z,AX$5,0))))</f>
        <v/>
      </c>
      <c r="AY34" s="124" t="str">
        <f>IF(AY$6="","",IF(AY$3="Maior",iferror(VLOOKUP($R33,Capa!$A:$Z,AY$5,0),0),IF(ISERROR(1/VLOOKUP($R33,Capa!$A:$Z,AY$5,0)),0,1/VLOOKUP($R33,Capa!$A:$Z,AY$5,0))))</f>
        <v/>
      </c>
      <c r="AZ34" s="124" t="str">
        <f>IF(AZ$6="","",IF(AZ$3="Maior",iferror(VLOOKUP($R33,Capa!$A:$Z,AZ$5,0),0),IF(ISERROR(1/VLOOKUP($R33,Capa!$A:$Z,AZ$5,0)),0,1/VLOOKUP($R33,Capa!$A:$Z,AZ$5,0))))</f>
        <v/>
      </c>
      <c r="BA34" s="124" t="str">
        <f>IF(BA$6="","",IF(BA$3="Maior",iferror(VLOOKUP($R33,Capa!$A:$Z,BA$5,0),0),IF(ISERROR(1/VLOOKUP($R33,Capa!$A:$Z,BA$5,0)),0,1/VLOOKUP($R33,Capa!$A:$Z,BA$5,0))))</f>
        <v/>
      </c>
      <c r="BB34" s="124" t="str">
        <f>IF(BB$6="","",IF(BB$3="Maior",iferror(VLOOKUP($R33,Capa!$A:$Z,BB$5,0),0),IF(ISERROR(1/VLOOKUP($R33,Capa!$A:$Z,BB$5,0)),0,1/VLOOKUP($R33,Capa!$A:$Z,BB$5,0))))</f>
        <v/>
      </c>
      <c r="BC34" s="124" t="str">
        <f>IF(BC$6="","",IF(BC$3="Maior",iferror(VLOOKUP($R33,Capa!$A:$Z,BC$5,0),0),IF(ISERROR(1/VLOOKUP($R33,Capa!$A:$Z,BC$5,0)),0,1/VLOOKUP($R33,Capa!$A:$Z,BC$5,0))))</f>
        <v/>
      </c>
      <c r="BD34" s="124" t="str">
        <f>IF(BD$6="","",IF(BD$3="Maior",iferror(VLOOKUP($R33,Capa!$A:$Z,BD$5,0),0),IF(ISERROR(1/VLOOKUP($R33,Capa!$A:$Z,BD$5,0)),0,1/VLOOKUP($R33,Capa!$A:$Z,BD$5,0))))</f>
        <v/>
      </c>
      <c r="BE34" s="124" t="str">
        <f>IF(BE$6="","",IF(BE$3="Maior",iferror(VLOOKUP($R33,Capa!$A:$Z,BE$5,0),0),IF(ISERROR(1/VLOOKUP($R33,Capa!$A:$Z,BE$5,0)),0,1/VLOOKUP($R33,Capa!$A:$Z,BE$5,0))))</f>
        <v/>
      </c>
      <c r="BF34" s="124" t="str">
        <f>IF(BF$6="","",IF(BF$3="Maior",iferror(VLOOKUP($R33,Capa!$A:$Z,BF$5,0),0),IF(ISERROR(1/VLOOKUP($R33,Capa!$A:$Z,BF$5,0)),0,1/VLOOKUP($R33,Capa!$A:$Z,BF$5,0))))</f>
        <v/>
      </c>
      <c r="BG34" s="124" t="str">
        <f>IF(BG$6="","",IF(BG$3="Maior",iferror(VLOOKUP($R33,Capa!$A:$Z,BG$5,0),0),IF(ISERROR(1/VLOOKUP($R33,Capa!$A:$Z,BG$5,0)),0,1/VLOOKUP($R33,Capa!$A:$Z,BG$5,0))))</f>
        <v/>
      </c>
      <c r="BH34" s="124" t="str">
        <f>IF(BH$6="","",IF(BH$3="Maior",iferror(VLOOKUP($R33,Capa!$A:$Z,BH$5,0),0),IF(ISERROR(1/VLOOKUP($R33,Capa!$A:$Z,BH$5,0)),0,1/VLOOKUP($R33,Capa!$A:$Z,BH$5,0))))</f>
        <v/>
      </c>
      <c r="BI34" s="124" t="str">
        <f>IF(BI$6="","",IF(BI$3="Maior",iferror(VLOOKUP($R33,Capa!$A:$Z,BI$5,0),0),IF(ISERROR(1/VLOOKUP($R33,Capa!$A:$Z,BI$5,0)),0,1/VLOOKUP($R33,Capa!$A:$Z,BI$5,0))))</f>
        <v/>
      </c>
      <c r="BJ34" s="124" t="str">
        <f>IF(BJ$6="","",IF(BJ$3="Maior",iferror(VLOOKUP($R33,Capa!$A:$Z,BJ$5,0),0),IF(ISERROR(1/VLOOKUP($R33,Capa!$A:$Z,BJ$5,0)),0,1/VLOOKUP($R33,Capa!$A:$Z,BJ$5,0))))</f>
        <v/>
      </c>
      <c r="BK34" s="124" t="str">
        <f>IF(BK$6="","",IF(BK$3="Maior",iferror(VLOOKUP($R33,Capa!$A:$Z,BK$5,0),0),IF(ISERROR(1/VLOOKUP($R33,Capa!$A:$Z,BK$5,0)),0,1/VLOOKUP($R33,Capa!$A:$Z,BK$5,0))))</f>
        <v/>
      </c>
      <c r="BL34" s="124" t="str">
        <f>IF(BL$6="","",IF(BL$3="Maior",iferror(VLOOKUP($R33,Capa!$A:$Z,BL$5,0),0),IF(ISERROR(1/VLOOKUP($R33,Capa!$A:$Z,BL$5,0)),0,1/VLOOKUP($R33,Capa!$A:$Z,BL$5,0))))</f>
        <v/>
      </c>
      <c r="BM34" s="124" t="str">
        <f>IF(BM$6="","",IF(BM$3="Maior",iferror(VLOOKUP($R33,Capa!$A:$Z,BM$5,0),0),IF(ISERROR(1/VLOOKUP($R33,Capa!$A:$Z,BM$5,0)),0,1/VLOOKUP($R33,Capa!$A:$Z,BM$5,0))))</f>
        <v/>
      </c>
      <c r="BN34" s="124" t="str">
        <f>IF(BN$6="","",IF(BN$3="Maior",iferror(VLOOKUP($R33,Capa!$A:$Z,BN$5,0),0),IF(ISERROR(1/VLOOKUP($R33,Capa!$A:$Z,BN$5,0)),0,1/VLOOKUP($R33,Capa!$A:$Z,BN$5,0))))</f>
        <v/>
      </c>
      <c r="BO34" s="124" t="str">
        <f>IF(BO$6="","",IF(BO$3="Maior",iferror(VLOOKUP($R33,Capa!$A:$Z,BO$5,0),0),IF(ISERROR(1/VLOOKUP($R33,Capa!$A:$Z,BO$5,0)),0,1/VLOOKUP($R33,Capa!$A:$Z,BO$5,0))))</f>
        <v/>
      </c>
      <c r="BP34" s="124" t="str">
        <f>IF(BP$6="","",IF(BP$3="Maior",iferror(VLOOKUP($R33,Capa!$A:$Z,BP$5,0),0),IF(ISERROR(1/VLOOKUP($R33,Capa!$A:$Z,BP$5,0)),0,1/VLOOKUP($R33,Capa!$A:$Z,BP$5,0))))</f>
        <v/>
      </c>
      <c r="BQ34" s="124" t="str">
        <f>IF(BQ$6="","",IF(BQ$3="Maior",iferror(VLOOKUP($R33,Capa!$A:$Z,BQ$5,0),0),IF(ISERROR(1/VLOOKUP($R33,Capa!$A:$Z,BQ$5,0)),0,1/VLOOKUP($R33,Capa!$A:$Z,BQ$5,0))))</f>
        <v/>
      </c>
      <c r="BR34" s="125" t="str">
        <f>IF(BR$6="","",IF(BR$3="Maior",iferror(VLOOKUP($R33,Capa!$A:$Z,BR$5,0),0),IF(ISERROR(1/VLOOKUP($R33,Capa!$A:$Z,BR$5,0)),0,1/VLOOKUP($R33,Capa!$A:$Z,BR$5,0))))</f>
        <v/>
      </c>
      <c r="BS34" s="88"/>
    </row>
    <row r="35">
      <c r="B35" s="115">
        <f t="shared" si="29"/>
        <v>2</v>
      </c>
      <c r="C35" s="134" t="s">
        <v>28</v>
      </c>
      <c r="D35" s="135" t="b">
        <v>0</v>
      </c>
      <c r="E35" s="136" t="s">
        <v>241</v>
      </c>
      <c r="F35" s="126">
        <f>MATCH(C35,Capa!$6:$6,0)</f>
        <v>25</v>
      </c>
      <c r="G35" s="9"/>
      <c r="H35" s="7">
        <v>29.0</v>
      </c>
      <c r="I35" s="129" t="str">
        <f t="shared" si="7"/>
        <v>VILG11</v>
      </c>
      <c r="J35" s="112" t="str">
        <f>VLOOKUP(I35,Capa!A:G,7,0)</f>
        <v>Logisticos</v>
      </c>
      <c r="K35" s="113">
        <f t="shared" si="8"/>
        <v>0.7621335616</v>
      </c>
      <c r="L35" s="113">
        <f t="shared" si="9"/>
        <v>0.09261369863</v>
      </c>
      <c r="M35" s="113" t="str">
        <f t="shared" si="10"/>
        <v/>
      </c>
      <c r="N35" s="113" t="str">
        <f t="shared" si="11"/>
        <v/>
      </c>
      <c r="O35" s="114">
        <f t="shared" si="12"/>
        <v>2271334.66</v>
      </c>
      <c r="P35" s="9"/>
      <c r="Q35" s="9"/>
      <c r="R35" s="115" t="s">
        <v>52</v>
      </c>
      <c r="S35" s="116">
        <f t="shared" si="13"/>
        <v>146.008066</v>
      </c>
      <c r="T35" s="117">
        <f>MID(VLOOKUP($R35,'Dados ClubeFII'!$A:$AU,23,0),3,100)/1</f>
        <v>1396651.6</v>
      </c>
      <c r="U35" s="118">
        <f t="shared" si="14"/>
        <v>80.008</v>
      </c>
      <c r="V35" s="118">
        <f t="shared" si="15"/>
        <v>66.000066</v>
      </c>
      <c r="W35" s="118" t="str">
        <f t="shared" ref="W35:AS35" si="44">IF(AV35="","", RANK(AV35,AV$7:AV$405,0))</f>
        <v/>
      </c>
      <c r="X35" s="118" t="str">
        <f t="shared" si="44"/>
        <v/>
      </c>
      <c r="Y35" s="118" t="str">
        <f t="shared" si="44"/>
        <v/>
      </c>
      <c r="Z35" s="118" t="str">
        <f t="shared" si="44"/>
        <v/>
      </c>
      <c r="AA35" s="118" t="str">
        <f t="shared" si="44"/>
        <v/>
      </c>
      <c r="AB35" s="118" t="str">
        <f t="shared" si="44"/>
        <v/>
      </c>
      <c r="AC35" s="118" t="str">
        <f t="shared" si="44"/>
        <v/>
      </c>
      <c r="AD35" s="118" t="str">
        <f t="shared" si="44"/>
        <v/>
      </c>
      <c r="AE35" s="118" t="str">
        <f t="shared" si="44"/>
        <v/>
      </c>
      <c r="AF35" s="118" t="str">
        <f t="shared" si="44"/>
        <v/>
      </c>
      <c r="AG35" s="118" t="str">
        <f t="shared" si="44"/>
        <v/>
      </c>
      <c r="AH35" s="118" t="str">
        <f t="shared" si="44"/>
        <v/>
      </c>
      <c r="AI35" s="118" t="str">
        <f t="shared" si="44"/>
        <v/>
      </c>
      <c r="AJ35" s="118" t="str">
        <f t="shared" si="44"/>
        <v/>
      </c>
      <c r="AK35" s="118" t="str">
        <f t="shared" si="44"/>
        <v/>
      </c>
      <c r="AL35" s="118" t="str">
        <f t="shared" si="44"/>
        <v/>
      </c>
      <c r="AM35" s="118" t="str">
        <f t="shared" si="44"/>
        <v/>
      </c>
      <c r="AN35" s="118" t="str">
        <f t="shared" si="44"/>
        <v/>
      </c>
      <c r="AO35" s="118" t="str">
        <f t="shared" si="44"/>
        <v/>
      </c>
      <c r="AP35" s="118" t="str">
        <f t="shared" si="44"/>
        <v/>
      </c>
      <c r="AQ35" s="118" t="str">
        <f t="shared" si="44"/>
        <v/>
      </c>
      <c r="AR35" s="118" t="str">
        <f t="shared" si="44"/>
        <v/>
      </c>
      <c r="AS35" s="118" t="str">
        <f t="shared" si="44"/>
        <v/>
      </c>
      <c r="AT35" s="123">
        <f>IF(AT$6="","",IF(AT$3="Maior",iferror(VLOOKUP($R35,Capa!$A:$Z,AT$5,0),0),IF(ISERROR(1/VLOOKUP($R35,Capa!$A:$Z,AT$5,0)),0,1/VLOOKUP($R35,Capa!$A:$Z,AT$5,0))))</f>
        <v>1.232001175</v>
      </c>
      <c r="AU35" s="124">
        <f>IF(AU$6="","",IF(AU$3="Maior",iferror(VLOOKUP($R35,Capa!$A:$Z,AU$5,0),0),IF(ISERROR(1/VLOOKUP($R35,Capa!$A:$Z,AU$5,0)),0,1/VLOOKUP($R35,Capa!$A:$Z,AU$5,0))))</f>
        <v>0.1275229577</v>
      </c>
      <c r="AV35" s="124" t="str">
        <f>IF(AV$6="","",IF(AV$3="Maior",iferror(VLOOKUP($R34,Capa!$A:$Z,AV$5,0),0),IF(ISERROR(1/VLOOKUP($R34,Capa!$A:$Z,AV$5,0)),0,1/VLOOKUP($R34,Capa!$A:$Z,AV$5,0))))</f>
        <v/>
      </c>
      <c r="AW35" s="124" t="str">
        <f>IF(AW$6="","",IF(AW$3="Maior",iferror(VLOOKUP($R34,Capa!$A:$Z,AW$5,0),0),IF(ISERROR(1/VLOOKUP($R34,Capa!$A:$Z,AW$5,0)),0,1/VLOOKUP($R34,Capa!$A:$Z,AW$5,0))))</f>
        <v/>
      </c>
      <c r="AX35" s="124" t="str">
        <f>IF(AX$6="","",IF(AX$3="Maior",iferror(VLOOKUP($R34,Capa!$A:$Z,AX$5,0),0),IF(ISERROR(1/VLOOKUP($R34,Capa!$A:$Z,AX$5,0)),0,1/VLOOKUP($R34,Capa!$A:$Z,AX$5,0))))</f>
        <v/>
      </c>
      <c r="AY35" s="124" t="str">
        <f>IF(AY$6="","",IF(AY$3="Maior",iferror(VLOOKUP($R34,Capa!$A:$Z,AY$5,0),0),IF(ISERROR(1/VLOOKUP($R34,Capa!$A:$Z,AY$5,0)),0,1/VLOOKUP($R34,Capa!$A:$Z,AY$5,0))))</f>
        <v/>
      </c>
      <c r="AZ35" s="124" t="str">
        <f>IF(AZ$6="","",IF(AZ$3="Maior",iferror(VLOOKUP($R34,Capa!$A:$Z,AZ$5,0),0),IF(ISERROR(1/VLOOKUP($R34,Capa!$A:$Z,AZ$5,0)),0,1/VLOOKUP($R34,Capa!$A:$Z,AZ$5,0))))</f>
        <v/>
      </c>
      <c r="BA35" s="124" t="str">
        <f>IF(BA$6="","",IF(BA$3="Maior",iferror(VLOOKUP($R34,Capa!$A:$Z,BA$5,0),0),IF(ISERROR(1/VLOOKUP($R34,Capa!$A:$Z,BA$5,0)),0,1/VLOOKUP($R34,Capa!$A:$Z,BA$5,0))))</f>
        <v/>
      </c>
      <c r="BB35" s="124" t="str">
        <f>IF(BB$6="","",IF(BB$3="Maior",iferror(VLOOKUP($R34,Capa!$A:$Z,BB$5,0),0),IF(ISERROR(1/VLOOKUP($R34,Capa!$A:$Z,BB$5,0)),0,1/VLOOKUP($R34,Capa!$A:$Z,BB$5,0))))</f>
        <v/>
      </c>
      <c r="BC35" s="124" t="str">
        <f>IF(BC$6="","",IF(BC$3="Maior",iferror(VLOOKUP($R34,Capa!$A:$Z,BC$5,0),0),IF(ISERROR(1/VLOOKUP($R34,Capa!$A:$Z,BC$5,0)),0,1/VLOOKUP($R34,Capa!$A:$Z,BC$5,0))))</f>
        <v/>
      </c>
      <c r="BD35" s="124" t="str">
        <f>IF(BD$6="","",IF(BD$3="Maior",iferror(VLOOKUP($R34,Capa!$A:$Z,BD$5,0),0),IF(ISERROR(1/VLOOKUP($R34,Capa!$A:$Z,BD$5,0)),0,1/VLOOKUP($R34,Capa!$A:$Z,BD$5,0))))</f>
        <v/>
      </c>
      <c r="BE35" s="124" t="str">
        <f>IF(BE$6="","",IF(BE$3="Maior",iferror(VLOOKUP($R34,Capa!$A:$Z,BE$5,0),0),IF(ISERROR(1/VLOOKUP($R34,Capa!$A:$Z,BE$5,0)),0,1/VLOOKUP($R34,Capa!$A:$Z,BE$5,0))))</f>
        <v/>
      </c>
      <c r="BF35" s="124" t="str">
        <f>IF(BF$6="","",IF(BF$3="Maior",iferror(VLOOKUP($R34,Capa!$A:$Z,BF$5,0),0),IF(ISERROR(1/VLOOKUP($R34,Capa!$A:$Z,BF$5,0)),0,1/VLOOKUP($R34,Capa!$A:$Z,BF$5,0))))</f>
        <v/>
      </c>
      <c r="BG35" s="124" t="str">
        <f>IF(BG$6="","",IF(BG$3="Maior",iferror(VLOOKUP($R34,Capa!$A:$Z,BG$5,0),0),IF(ISERROR(1/VLOOKUP($R34,Capa!$A:$Z,BG$5,0)),0,1/VLOOKUP($R34,Capa!$A:$Z,BG$5,0))))</f>
        <v/>
      </c>
      <c r="BH35" s="124" t="str">
        <f>IF(BH$6="","",IF(BH$3="Maior",iferror(VLOOKUP($R34,Capa!$A:$Z,BH$5,0),0),IF(ISERROR(1/VLOOKUP($R34,Capa!$A:$Z,BH$5,0)),0,1/VLOOKUP($R34,Capa!$A:$Z,BH$5,0))))</f>
        <v/>
      </c>
      <c r="BI35" s="124" t="str">
        <f>IF(BI$6="","",IF(BI$3="Maior",iferror(VLOOKUP($R34,Capa!$A:$Z,BI$5,0),0),IF(ISERROR(1/VLOOKUP($R34,Capa!$A:$Z,BI$5,0)),0,1/VLOOKUP($R34,Capa!$A:$Z,BI$5,0))))</f>
        <v/>
      </c>
      <c r="BJ35" s="124" t="str">
        <f>IF(BJ$6="","",IF(BJ$3="Maior",iferror(VLOOKUP($R34,Capa!$A:$Z,BJ$5,0),0),IF(ISERROR(1/VLOOKUP($R34,Capa!$A:$Z,BJ$5,0)),0,1/VLOOKUP($R34,Capa!$A:$Z,BJ$5,0))))</f>
        <v/>
      </c>
      <c r="BK35" s="124" t="str">
        <f>IF(BK$6="","",IF(BK$3="Maior",iferror(VLOOKUP($R34,Capa!$A:$Z,BK$5,0),0),IF(ISERROR(1/VLOOKUP($R34,Capa!$A:$Z,BK$5,0)),0,1/VLOOKUP($R34,Capa!$A:$Z,BK$5,0))))</f>
        <v/>
      </c>
      <c r="BL35" s="124" t="str">
        <f>IF(BL$6="","",IF(BL$3="Maior",iferror(VLOOKUP($R34,Capa!$A:$Z,BL$5,0),0),IF(ISERROR(1/VLOOKUP($R34,Capa!$A:$Z,BL$5,0)),0,1/VLOOKUP($R34,Capa!$A:$Z,BL$5,0))))</f>
        <v/>
      </c>
      <c r="BM35" s="124" t="str">
        <f>IF(BM$6="","",IF(BM$3="Maior",iferror(VLOOKUP($R34,Capa!$A:$Z,BM$5,0),0),IF(ISERROR(1/VLOOKUP($R34,Capa!$A:$Z,BM$5,0)),0,1/VLOOKUP($R34,Capa!$A:$Z,BM$5,0))))</f>
        <v/>
      </c>
      <c r="BN35" s="124" t="str">
        <f>IF(BN$6="","",IF(BN$3="Maior",iferror(VLOOKUP($R34,Capa!$A:$Z,BN$5,0),0),IF(ISERROR(1/VLOOKUP($R34,Capa!$A:$Z,BN$5,0)),0,1/VLOOKUP($R34,Capa!$A:$Z,BN$5,0))))</f>
        <v/>
      </c>
      <c r="BO35" s="124" t="str">
        <f>IF(BO$6="","",IF(BO$3="Maior",iferror(VLOOKUP($R34,Capa!$A:$Z,BO$5,0),0),IF(ISERROR(1/VLOOKUP($R34,Capa!$A:$Z,BO$5,0)),0,1/VLOOKUP($R34,Capa!$A:$Z,BO$5,0))))</f>
        <v/>
      </c>
      <c r="BP35" s="124" t="str">
        <f>IF(BP$6="","",IF(BP$3="Maior",iferror(VLOOKUP($R34,Capa!$A:$Z,BP$5,0),0),IF(ISERROR(1/VLOOKUP($R34,Capa!$A:$Z,BP$5,0)),0,1/VLOOKUP($R34,Capa!$A:$Z,BP$5,0))))</f>
        <v/>
      </c>
      <c r="BQ35" s="124" t="str">
        <f>IF(BQ$6="","",IF(BQ$3="Maior",iferror(VLOOKUP($R34,Capa!$A:$Z,BQ$5,0),0),IF(ISERROR(1/VLOOKUP($R34,Capa!$A:$Z,BQ$5,0)),0,1/VLOOKUP($R34,Capa!$A:$Z,BQ$5,0))))</f>
        <v/>
      </c>
      <c r="BR35" s="125" t="str">
        <f>IF(BR$6="","",IF(BR$3="Maior",iferror(VLOOKUP($R34,Capa!$A:$Z,BR$5,0),0),IF(ISERROR(1/VLOOKUP($R34,Capa!$A:$Z,BR$5,0)),0,1/VLOOKUP($R34,Capa!$A:$Z,BR$5,0))))</f>
        <v/>
      </c>
      <c r="BS35" s="88"/>
    </row>
    <row r="36">
      <c r="B36" s="115">
        <f t="shared" si="29"/>
        <v>2</v>
      </c>
      <c r="C36" s="134" t="s">
        <v>29</v>
      </c>
      <c r="D36" s="135" t="b">
        <v>0</v>
      </c>
      <c r="E36" s="136" t="s">
        <v>241</v>
      </c>
      <c r="F36" s="126">
        <f>MATCH(C36,Capa!$6:$6,0)</f>
        <v>26</v>
      </c>
      <c r="G36" s="9"/>
      <c r="H36" s="7">
        <v>30.0</v>
      </c>
      <c r="I36" s="129" t="str">
        <f t="shared" si="7"/>
        <v>CVBI11</v>
      </c>
      <c r="J36" s="112" t="str">
        <f>VLOOKUP(I36,Capa!A:G,7,0)</f>
        <v>Recebíveis Imobiliários</v>
      </c>
      <c r="K36" s="113">
        <f t="shared" si="8"/>
        <v>0.9475249207</v>
      </c>
      <c r="L36" s="113">
        <f t="shared" si="9"/>
        <v>0.1408321251</v>
      </c>
      <c r="M36" s="113" t="str">
        <f t="shared" si="10"/>
        <v/>
      </c>
      <c r="N36" s="113" t="str">
        <f t="shared" si="11"/>
        <v/>
      </c>
      <c r="O36" s="114">
        <f t="shared" si="12"/>
        <v>2880014.53</v>
      </c>
      <c r="P36" s="9"/>
      <c r="Q36" s="9"/>
      <c r="R36" s="115" t="s">
        <v>81</v>
      </c>
      <c r="S36" s="116">
        <f t="shared" si="13"/>
        <v>176.014927</v>
      </c>
      <c r="T36" s="117">
        <f>MID(VLOOKUP($R36,'Dados ClubeFII'!$A:$AU,23,0),3,100)/1</f>
        <v>1229171.61</v>
      </c>
      <c r="U36" s="118">
        <f t="shared" si="14"/>
        <v>149.0149</v>
      </c>
      <c r="V36" s="118">
        <f t="shared" si="15"/>
        <v>27.000027</v>
      </c>
      <c r="W36" s="118" t="str">
        <f t="shared" ref="W36:AS36" si="45">IF(AV36="","", RANK(AV36,AV$7:AV$405,0))</f>
        <v/>
      </c>
      <c r="X36" s="118" t="str">
        <f t="shared" si="45"/>
        <v/>
      </c>
      <c r="Y36" s="118" t="str">
        <f t="shared" si="45"/>
        <v/>
      </c>
      <c r="Z36" s="118" t="str">
        <f t="shared" si="45"/>
        <v/>
      </c>
      <c r="AA36" s="118" t="str">
        <f t="shared" si="45"/>
        <v/>
      </c>
      <c r="AB36" s="118" t="str">
        <f t="shared" si="45"/>
        <v/>
      </c>
      <c r="AC36" s="118" t="str">
        <f t="shared" si="45"/>
        <v/>
      </c>
      <c r="AD36" s="118" t="str">
        <f t="shared" si="45"/>
        <v/>
      </c>
      <c r="AE36" s="118" t="str">
        <f t="shared" si="45"/>
        <v/>
      </c>
      <c r="AF36" s="118" t="str">
        <f t="shared" si="45"/>
        <v/>
      </c>
      <c r="AG36" s="118" t="str">
        <f t="shared" si="45"/>
        <v/>
      </c>
      <c r="AH36" s="118" t="str">
        <f t="shared" si="45"/>
        <v/>
      </c>
      <c r="AI36" s="118" t="str">
        <f t="shared" si="45"/>
        <v/>
      </c>
      <c r="AJ36" s="118" t="str">
        <f t="shared" si="45"/>
        <v/>
      </c>
      <c r="AK36" s="118" t="str">
        <f t="shared" si="45"/>
        <v/>
      </c>
      <c r="AL36" s="118" t="str">
        <f t="shared" si="45"/>
        <v/>
      </c>
      <c r="AM36" s="118" t="str">
        <f t="shared" si="45"/>
        <v/>
      </c>
      <c r="AN36" s="118" t="str">
        <f t="shared" si="45"/>
        <v/>
      </c>
      <c r="AO36" s="118" t="str">
        <f t="shared" si="45"/>
        <v/>
      </c>
      <c r="AP36" s="118" t="str">
        <f t="shared" si="45"/>
        <v/>
      </c>
      <c r="AQ36" s="118" t="str">
        <f t="shared" si="45"/>
        <v/>
      </c>
      <c r="AR36" s="118" t="str">
        <f t="shared" si="45"/>
        <v/>
      </c>
      <c r="AS36" s="118" t="str">
        <f t="shared" si="45"/>
        <v/>
      </c>
      <c r="AT36" s="123">
        <f>IF(AT$6="","",IF(AT$3="Maior",iferror(VLOOKUP($R36,Capa!$A:$Z,AT$5,0),0),IF(ISERROR(1/VLOOKUP($R36,Capa!$A:$Z,AT$5,0)),0,1/VLOOKUP($R36,Capa!$A:$Z,AT$5,0))))</f>
        <v>1.069092945</v>
      </c>
      <c r="AU36" s="124">
        <f>IF(AU$6="","",IF(AU$3="Maior",iferror(VLOOKUP($R36,Capa!$A:$Z,AU$5,0),0),IF(ISERROR(1/VLOOKUP($R36,Capa!$A:$Z,AU$5,0)),0,1/VLOOKUP($R36,Capa!$A:$Z,AU$5,0))))</f>
        <v>0.1498585943</v>
      </c>
      <c r="AV36" s="124" t="str">
        <f>IF(AV$6="","",IF(AV$3="Maior",iferror(VLOOKUP($R35,Capa!$A:$Z,AV$5,0),0),IF(ISERROR(1/VLOOKUP($R35,Capa!$A:$Z,AV$5,0)),0,1/VLOOKUP($R35,Capa!$A:$Z,AV$5,0))))</f>
        <v/>
      </c>
      <c r="AW36" s="124" t="str">
        <f>IF(AW$6="","",IF(AW$3="Maior",iferror(VLOOKUP($R35,Capa!$A:$Z,AW$5,0),0),IF(ISERROR(1/VLOOKUP($R35,Capa!$A:$Z,AW$5,0)),0,1/VLOOKUP($R35,Capa!$A:$Z,AW$5,0))))</f>
        <v/>
      </c>
      <c r="AX36" s="124" t="str">
        <f>IF(AX$6="","",IF(AX$3="Maior",iferror(VLOOKUP($R35,Capa!$A:$Z,AX$5,0),0),IF(ISERROR(1/VLOOKUP($R35,Capa!$A:$Z,AX$5,0)),0,1/VLOOKUP($R35,Capa!$A:$Z,AX$5,0))))</f>
        <v/>
      </c>
      <c r="AY36" s="124" t="str">
        <f>IF(AY$6="","",IF(AY$3="Maior",iferror(VLOOKUP($R35,Capa!$A:$Z,AY$5,0),0),IF(ISERROR(1/VLOOKUP($R35,Capa!$A:$Z,AY$5,0)),0,1/VLOOKUP($R35,Capa!$A:$Z,AY$5,0))))</f>
        <v/>
      </c>
      <c r="AZ36" s="124" t="str">
        <f>IF(AZ$6="","",IF(AZ$3="Maior",iferror(VLOOKUP($R35,Capa!$A:$Z,AZ$5,0),0),IF(ISERROR(1/VLOOKUP($R35,Capa!$A:$Z,AZ$5,0)),0,1/VLOOKUP($R35,Capa!$A:$Z,AZ$5,0))))</f>
        <v/>
      </c>
      <c r="BA36" s="124" t="str">
        <f>IF(BA$6="","",IF(BA$3="Maior",iferror(VLOOKUP($R35,Capa!$A:$Z,BA$5,0),0),IF(ISERROR(1/VLOOKUP($R35,Capa!$A:$Z,BA$5,0)),0,1/VLOOKUP($R35,Capa!$A:$Z,BA$5,0))))</f>
        <v/>
      </c>
      <c r="BB36" s="124" t="str">
        <f>IF(BB$6="","",IF(BB$3="Maior",iferror(VLOOKUP($R35,Capa!$A:$Z,BB$5,0),0),IF(ISERROR(1/VLOOKUP($R35,Capa!$A:$Z,BB$5,0)),0,1/VLOOKUP($R35,Capa!$A:$Z,BB$5,0))))</f>
        <v/>
      </c>
      <c r="BC36" s="124" t="str">
        <f>IF(BC$6="","",IF(BC$3="Maior",iferror(VLOOKUP($R35,Capa!$A:$Z,BC$5,0),0),IF(ISERROR(1/VLOOKUP($R35,Capa!$A:$Z,BC$5,0)),0,1/VLOOKUP($R35,Capa!$A:$Z,BC$5,0))))</f>
        <v/>
      </c>
      <c r="BD36" s="124" t="str">
        <f>IF(BD$6="","",IF(BD$3="Maior",iferror(VLOOKUP($R35,Capa!$A:$Z,BD$5,0),0),IF(ISERROR(1/VLOOKUP($R35,Capa!$A:$Z,BD$5,0)),0,1/VLOOKUP($R35,Capa!$A:$Z,BD$5,0))))</f>
        <v/>
      </c>
      <c r="BE36" s="124" t="str">
        <f>IF(BE$6="","",IF(BE$3="Maior",iferror(VLOOKUP($R35,Capa!$A:$Z,BE$5,0),0),IF(ISERROR(1/VLOOKUP($R35,Capa!$A:$Z,BE$5,0)),0,1/VLOOKUP($R35,Capa!$A:$Z,BE$5,0))))</f>
        <v/>
      </c>
      <c r="BF36" s="124" t="str">
        <f>IF(BF$6="","",IF(BF$3="Maior",iferror(VLOOKUP($R35,Capa!$A:$Z,BF$5,0),0),IF(ISERROR(1/VLOOKUP($R35,Capa!$A:$Z,BF$5,0)),0,1/VLOOKUP($R35,Capa!$A:$Z,BF$5,0))))</f>
        <v/>
      </c>
      <c r="BG36" s="124" t="str">
        <f>IF(BG$6="","",IF(BG$3="Maior",iferror(VLOOKUP($R35,Capa!$A:$Z,BG$5,0),0),IF(ISERROR(1/VLOOKUP($R35,Capa!$A:$Z,BG$5,0)),0,1/VLOOKUP($R35,Capa!$A:$Z,BG$5,0))))</f>
        <v/>
      </c>
      <c r="BH36" s="124" t="str">
        <f>IF(BH$6="","",IF(BH$3="Maior",iferror(VLOOKUP($R35,Capa!$A:$Z,BH$5,0),0),IF(ISERROR(1/VLOOKUP($R35,Capa!$A:$Z,BH$5,0)),0,1/VLOOKUP($R35,Capa!$A:$Z,BH$5,0))))</f>
        <v/>
      </c>
      <c r="BI36" s="124" t="str">
        <f>IF(BI$6="","",IF(BI$3="Maior",iferror(VLOOKUP($R35,Capa!$A:$Z,BI$5,0),0),IF(ISERROR(1/VLOOKUP($R35,Capa!$A:$Z,BI$5,0)),0,1/VLOOKUP($R35,Capa!$A:$Z,BI$5,0))))</f>
        <v/>
      </c>
      <c r="BJ36" s="124" t="str">
        <f>IF(BJ$6="","",IF(BJ$3="Maior",iferror(VLOOKUP($R35,Capa!$A:$Z,BJ$5,0),0),IF(ISERROR(1/VLOOKUP($R35,Capa!$A:$Z,BJ$5,0)),0,1/VLOOKUP($R35,Capa!$A:$Z,BJ$5,0))))</f>
        <v/>
      </c>
      <c r="BK36" s="124" t="str">
        <f>IF(BK$6="","",IF(BK$3="Maior",iferror(VLOOKUP($R35,Capa!$A:$Z,BK$5,0),0),IF(ISERROR(1/VLOOKUP($R35,Capa!$A:$Z,BK$5,0)),0,1/VLOOKUP($R35,Capa!$A:$Z,BK$5,0))))</f>
        <v/>
      </c>
      <c r="BL36" s="124" t="str">
        <f>IF(BL$6="","",IF(BL$3="Maior",iferror(VLOOKUP($R35,Capa!$A:$Z,BL$5,0),0),IF(ISERROR(1/VLOOKUP($R35,Capa!$A:$Z,BL$5,0)),0,1/VLOOKUP($R35,Capa!$A:$Z,BL$5,0))))</f>
        <v/>
      </c>
      <c r="BM36" s="124" t="str">
        <f>IF(BM$6="","",IF(BM$3="Maior",iferror(VLOOKUP($R35,Capa!$A:$Z,BM$5,0),0),IF(ISERROR(1/VLOOKUP($R35,Capa!$A:$Z,BM$5,0)),0,1/VLOOKUP($R35,Capa!$A:$Z,BM$5,0))))</f>
        <v/>
      </c>
      <c r="BN36" s="124" t="str">
        <f>IF(BN$6="","",IF(BN$3="Maior",iferror(VLOOKUP($R35,Capa!$A:$Z,BN$5,0),0),IF(ISERROR(1/VLOOKUP($R35,Capa!$A:$Z,BN$5,0)),0,1/VLOOKUP($R35,Capa!$A:$Z,BN$5,0))))</f>
        <v/>
      </c>
      <c r="BO36" s="124" t="str">
        <f>IF(BO$6="","",IF(BO$3="Maior",iferror(VLOOKUP($R35,Capa!$A:$Z,BO$5,0),0),IF(ISERROR(1/VLOOKUP($R35,Capa!$A:$Z,BO$5,0)),0,1/VLOOKUP($R35,Capa!$A:$Z,BO$5,0))))</f>
        <v/>
      </c>
      <c r="BP36" s="124" t="str">
        <f>IF(BP$6="","",IF(BP$3="Maior",iferror(VLOOKUP($R35,Capa!$A:$Z,BP$5,0),0),IF(ISERROR(1/VLOOKUP($R35,Capa!$A:$Z,BP$5,0)),0,1/VLOOKUP($R35,Capa!$A:$Z,BP$5,0))))</f>
        <v/>
      </c>
      <c r="BQ36" s="124" t="str">
        <f>IF(BQ$6="","",IF(BQ$3="Maior",iferror(VLOOKUP($R35,Capa!$A:$Z,BQ$5,0),0),IF(ISERROR(1/VLOOKUP($R35,Capa!$A:$Z,BQ$5,0)),0,1/VLOOKUP($R35,Capa!$A:$Z,BQ$5,0))))</f>
        <v/>
      </c>
      <c r="BR36" s="125" t="str">
        <f>IF(BR$6="","",IF(BR$3="Maior",iferror(VLOOKUP($R35,Capa!$A:$Z,BR$5,0),0),IF(ISERROR(1/VLOOKUP($R35,Capa!$A:$Z,BR$5,0)),0,1/VLOOKUP($R35,Capa!$A:$Z,BR$5,0))))</f>
        <v/>
      </c>
      <c r="BS36" s="88"/>
    </row>
    <row r="37">
      <c r="B37" s="115">
        <f t="shared" si="29"/>
        <v>2</v>
      </c>
      <c r="C37" s="134"/>
      <c r="D37" s="135" t="b">
        <v>0</v>
      </c>
      <c r="E37" s="136" t="s">
        <v>241</v>
      </c>
      <c r="F37" s="126" t="str">
        <f>MATCH(C37,Capa!$6:$6,0)</f>
        <v>#N/A</v>
      </c>
      <c r="G37" s="9"/>
      <c r="H37" s="7">
        <v>31.0</v>
      </c>
      <c r="I37" s="111" t="str">
        <f t="shared" si="7"/>
        <v>HGRE11</v>
      </c>
      <c r="J37" s="112" t="str">
        <f>VLOOKUP(I37,Capa!A:G,7,0)</f>
        <v>Lajes Comerciais</v>
      </c>
      <c r="K37" s="113">
        <f t="shared" si="8"/>
        <v>0.7149348298</v>
      </c>
      <c r="L37" s="113">
        <f t="shared" si="9"/>
        <v>0.0816788559</v>
      </c>
      <c r="M37" s="113" t="str">
        <f t="shared" si="10"/>
        <v/>
      </c>
      <c r="N37" s="113" t="str">
        <f t="shared" si="11"/>
        <v/>
      </c>
      <c r="O37" s="114">
        <f t="shared" si="12"/>
        <v>2412980.18</v>
      </c>
      <c r="P37" s="9"/>
      <c r="Q37" s="9"/>
      <c r="R37" s="115" t="s">
        <v>45</v>
      </c>
      <c r="S37" s="116">
        <f t="shared" si="13"/>
        <v>1128.002999</v>
      </c>
      <c r="T37" s="117">
        <f>MID(VLOOKUP($R37,'Dados ClubeFII'!$A:$AU,23,0),3,100)/1</f>
        <v>16221.52</v>
      </c>
      <c r="U37" s="118">
        <f t="shared" si="14"/>
        <v>29.0029</v>
      </c>
      <c r="V37" s="118">
        <f t="shared" si="15"/>
        <v>99.000099</v>
      </c>
      <c r="W37" s="118" t="str">
        <f t="shared" ref="W37:AS37" si="46">IF(AV37="","", RANK(AV37,AV$7:AV$405,0))</f>
        <v/>
      </c>
      <c r="X37" s="118" t="str">
        <f t="shared" si="46"/>
        <v/>
      </c>
      <c r="Y37" s="118" t="str">
        <f t="shared" si="46"/>
        <v/>
      </c>
      <c r="Z37" s="118" t="str">
        <f t="shared" si="46"/>
        <v/>
      </c>
      <c r="AA37" s="118" t="str">
        <f t="shared" si="46"/>
        <v/>
      </c>
      <c r="AB37" s="118" t="str">
        <f t="shared" si="46"/>
        <v/>
      </c>
      <c r="AC37" s="118" t="str">
        <f t="shared" si="46"/>
        <v/>
      </c>
      <c r="AD37" s="118" t="str">
        <f t="shared" si="46"/>
        <v/>
      </c>
      <c r="AE37" s="118" t="str">
        <f t="shared" si="46"/>
        <v/>
      </c>
      <c r="AF37" s="118" t="str">
        <f t="shared" si="46"/>
        <v/>
      </c>
      <c r="AG37" s="118" t="str">
        <f t="shared" si="46"/>
        <v/>
      </c>
      <c r="AH37" s="118" t="str">
        <f t="shared" si="46"/>
        <v/>
      </c>
      <c r="AI37" s="118" t="str">
        <f t="shared" si="46"/>
        <v/>
      </c>
      <c r="AJ37" s="118" t="str">
        <f t="shared" si="46"/>
        <v/>
      </c>
      <c r="AK37" s="118" t="str">
        <f t="shared" si="46"/>
        <v/>
      </c>
      <c r="AL37" s="118" t="str">
        <f t="shared" si="46"/>
        <v/>
      </c>
      <c r="AM37" s="118" t="str">
        <f t="shared" si="46"/>
        <v/>
      </c>
      <c r="AN37" s="118" t="str">
        <f t="shared" si="46"/>
        <v/>
      </c>
      <c r="AO37" s="118" t="str">
        <f t="shared" si="46"/>
        <v/>
      </c>
      <c r="AP37" s="118" t="str">
        <f t="shared" si="46"/>
        <v/>
      </c>
      <c r="AQ37" s="118" t="str">
        <f t="shared" si="46"/>
        <v/>
      </c>
      <c r="AR37" s="118" t="str">
        <f t="shared" si="46"/>
        <v/>
      </c>
      <c r="AS37" s="118" t="str">
        <f t="shared" si="46"/>
        <v/>
      </c>
      <c r="AT37" s="123">
        <f>IF(AT$6="","",IF(AT$3="Maior",iferror(VLOOKUP($R37,Capa!$A:$Z,AT$5,0),0),IF(ISERROR(1/VLOOKUP($R37,Capa!$A:$Z,AT$5,0)),0,1/VLOOKUP($R37,Capa!$A:$Z,AT$5,0))))</f>
        <v>1.689869136</v>
      </c>
      <c r="AU37" s="124">
        <f>IF(AU$6="","",IF(AU$3="Maior",iferror(VLOOKUP($R37,Capa!$A:$Z,AU$5,0),0),IF(ISERROR(1/VLOOKUP($R37,Capa!$A:$Z,AU$5,0)),0,1/VLOOKUP($R37,Capa!$A:$Z,AU$5,0))))</f>
        <v>0.1101064986</v>
      </c>
      <c r="AV37" s="124" t="str">
        <f>IF(AV$6="","",IF(AV$3="Maior",iferror(VLOOKUP($R36,Capa!$A:$Z,AV$5,0),0),IF(ISERROR(1/VLOOKUP($R36,Capa!$A:$Z,AV$5,0)),0,1/VLOOKUP($R36,Capa!$A:$Z,AV$5,0))))</f>
        <v/>
      </c>
      <c r="AW37" s="124" t="str">
        <f>IF(AW$6="","",IF(AW$3="Maior",iferror(VLOOKUP($R36,Capa!$A:$Z,AW$5,0),0),IF(ISERROR(1/VLOOKUP($R36,Capa!$A:$Z,AW$5,0)),0,1/VLOOKUP($R36,Capa!$A:$Z,AW$5,0))))</f>
        <v/>
      </c>
      <c r="AX37" s="124" t="str">
        <f>IF(AX$6="","",IF(AX$3="Maior",iferror(VLOOKUP($R36,Capa!$A:$Z,AX$5,0),0),IF(ISERROR(1/VLOOKUP($R36,Capa!$A:$Z,AX$5,0)),0,1/VLOOKUP($R36,Capa!$A:$Z,AX$5,0))))</f>
        <v/>
      </c>
      <c r="AY37" s="124" t="str">
        <f>IF(AY$6="","",IF(AY$3="Maior",iferror(VLOOKUP($R36,Capa!$A:$Z,AY$5,0),0),IF(ISERROR(1/VLOOKUP($R36,Capa!$A:$Z,AY$5,0)),0,1/VLOOKUP($R36,Capa!$A:$Z,AY$5,0))))</f>
        <v/>
      </c>
      <c r="AZ37" s="124" t="str">
        <f>IF(AZ$6="","",IF(AZ$3="Maior",iferror(VLOOKUP($R36,Capa!$A:$Z,AZ$5,0),0),IF(ISERROR(1/VLOOKUP($R36,Capa!$A:$Z,AZ$5,0)),0,1/VLOOKUP($R36,Capa!$A:$Z,AZ$5,0))))</f>
        <v/>
      </c>
      <c r="BA37" s="124" t="str">
        <f>IF(BA$6="","",IF(BA$3="Maior",iferror(VLOOKUP($R36,Capa!$A:$Z,BA$5,0),0),IF(ISERROR(1/VLOOKUP($R36,Capa!$A:$Z,BA$5,0)),0,1/VLOOKUP($R36,Capa!$A:$Z,BA$5,0))))</f>
        <v/>
      </c>
      <c r="BB37" s="124" t="str">
        <f>IF(BB$6="","",IF(BB$3="Maior",iferror(VLOOKUP($R36,Capa!$A:$Z,BB$5,0),0),IF(ISERROR(1/VLOOKUP($R36,Capa!$A:$Z,BB$5,0)),0,1/VLOOKUP($R36,Capa!$A:$Z,BB$5,0))))</f>
        <v/>
      </c>
      <c r="BC37" s="124" t="str">
        <f>IF(BC$6="","",IF(BC$3="Maior",iferror(VLOOKUP($R36,Capa!$A:$Z,BC$5,0),0),IF(ISERROR(1/VLOOKUP($R36,Capa!$A:$Z,BC$5,0)),0,1/VLOOKUP($R36,Capa!$A:$Z,BC$5,0))))</f>
        <v/>
      </c>
      <c r="BD37" s="124" t="str">
        <f>IF(BD$6="","",IF(BD$3="Maior",iferror(VLOOKUP($R36,Capa!$A:$Z,BD$5,0),0),IF(ISERROR(1/VLOOKUP($R36,Capa!$A:$Z,BD$5,0)),0,1/VLOOKUP($R36,Capa!$A:$Z,BD$5,0))))</f>
        <v/>
      </c>
      <c r="BE37" s="124" t="str">
        <f>IF(BE$6="","",IF(BE$3="Maior",iferror(VLOOKUP($R36,Capa!$A:$Z,BE$5,0),0),IF(ISERROR(1/VLOOKUP($R36,Capa!$A:$Z,BE$5,0)),0,1/VLOOKUP($R36,Capa!$A:$Z,BE$5,0))))</f>
        <v/>
      </c>
      <c r="BF37" s="124" t="str">
        <f>IF(BF$6="","",IF(BF$3="Maior",iferror(VLOOKUP($R36,Capa!$A:$Z,BF$5,0),0),IF(ISERROR(1/VLOOKUP($R36,Capa!$A:$Z,BF$5,0)),0,1/VLOOKUP($R36,Capa!$A:$Z,BF$5,0))))</f>
        <v/>
      </c>
      <c r="BG37" s="124" t="str">
        <f>IF(BG$6="","",IF(BG$3="Maior",iferror(VLOOKUP($R36,Capa!$A:$Z,BG$5,0),0),IF(ISERROR(1/VLOOKUP($R36,Capa!$A:$Z,BG$5,0)),0,1/VLOOKUP($R36,Capa!$A:$Z,BG$5,0))))</f>
        <v/>
      </c>
      <c r="BH37" s="124" t="str">
        <f>IF(BH$6="","",IF(BH$3="Maior",iferror(VLOOKUP($R36,Capa!$A:$Z,BH$5,0),0),IF(ISERROR(1/VLOOKUP($R36,Capa!$A:$Z,BH$5,0)),0,1/VLOOKUP($R36,Capa!$A:$Z,BH$5,0))))</f>
        <v/>
      </c>
      <c r="BI37" s="124" t="str">
        <f>IF(BI$6="","",IF(BI$3="Maior",iferror(VLOOKUP($R36,Capa!$A:$Z,BI$5,0),0),IF(ISERROR(1/VLOOKUP($R36,Capa!$A:$Z,BI$5,0)),0,1/VLOOKUP($R36,Capa!$A:$Z,BI$5,0))))</f>
        <v/>
      </c>
      <c r="BJ37" s="124" t="str">
        <f>IF(BJ$6="","",IF(BJ$3="Maior",iferror(VLOOKUP($R36,Capa!$A:$Z,BJ$5,0),0),IF(ISERROR(1/VLOOKUP($R36,Capa!$A:$Z,BJ$5,0)),0,1/VLOOKUP($R36,Capa!$A:$Z,BJ$5,0))))</f>
        <v/>
      </c>
      <c r="BK37" s="124" t="str">
        <f>IF(BK$6="","",IF(BK$3="Maior",iferror(VLOOKUP($R36,Capa!$A:$Z,BK$5,0),0),IF(ISERROR(1/VLOOKUP($R36,Capa!$A:$Z,BK$5,0)),0,1/VLOOKUP($R36,Capa!$A:$Z,BK$5,0))))</f>
        <v/>
      </c>
      <c r="BL37" s="124" t="str">
        <f>IF(BL$6="","",IF(BL$3="Maior",iferror(VLOOKUP($R36,Capa!$A:$Z,BL$5,0),0),IF(ISERROR(1/VLOOKUP($R36,Capa!$A:$Z,BL$5,0)),0,1/VLOOKUP($R36,Capa!$A:$Z,BL$5,0))))</f>
        <v/>
      </c>
      <c r="BM37" s="124" t="str">
        <f>IF(BM$6="","",IF(BM$3="Maior",iferror(VLOOKUP($R36,Capa!$A:$Z,BM$5,0),0),IF(ISERROR(1/VLOOKUP($R36,Capa!$A:$Z,BM$5,0)),0,1/VLOOKUP($R36,Capa!$A:$Z,BM$5,0))))</f>
        <v/>
      </c>
      <c r="BN37" s="124" t="str">
        <f>IF(BN$6="","",IF(BN$3="Maior",iferror(VLOOKUP($R36,Capa!$A:$Z,BN$5,0),0),IF(ISERROR(1/VLOOKUP($R36,Capa!$A:$Z,BN$5,0)),0,1/VLOOKUP($R36,Capa!$A:$Z,BN$5,0))))</f>
        <v/>
      </c>
      <c r="BO37" s="124" t="str">
        <f>IF(BO$6="","",IF(BO$3="Maior",iferror(VLOOKUP($R36,Capa!$A:$Z,BO$5,0),0),IF(ISERROR(1/VLOOKUP($R36,Capa!$A:$Z,BO$5,0)),0,1/VLOOKUP($R36,Capa!$A:$Z,BO$5,0))))</f>
        <v/>
      </c>
      <c r="BP37" s="124" t="str">
        <f>IF(BP$6="","",IF(BP$3="Maior",iferror(VLOOKUP($R36,Capa!$A:$Z,BP$5,0),0),IF(ISERROR(1/VLOOKUP($R36,Capa!$A:$Z,BP$5,0)),0,1/VLOOKUP($R36,Capa!$A:$Z,BP$5,0))))</f>
        <v/>
      </c>
      <c r="BQ37" s="124" t="str">
        <f>IF(BQ$6="","",IF(BQ$3="Maior",iferror(VLOOKUP($R36,Capa!$A:$Z,BQ$5,0),0),IF(ISERROR(1/VLOOKUP($R36,Capa!$A:$Z,BQ$5,0)),0,1/VLOOKUP($R36,Capa!$A:$Z,BQ$5,0))))</f>
        <v/>
      </c>
      <c r="BR37" s="125" t="str">
        <f>IF(BR$6="","",IF(BR$3="Maior",iferror(VLOOKUP($R36,Capa!$A:$Z,BR$5,0),0),IF(ISERROR(1/VLOOKUP($R36,Capa!$A:$Z,BR$5,0)),0,1/VLOOKUP($R36,Capa!$A:$Z,BR$5,0))))</f>
        <v/>
      </c>
      <c r="BS37" s="88"/>
    </row>
    <row r="38">
      <c r="B38" s="115">
        <f t="shared" si="29"/>
        <v>2</v>
      </c>
      <c r="C38" s="134"/>
      <c r="D38" s="135" t="b">
        <v>0</v>
      </c>
      <c r="E38" s="136" t="s">
        <v>241</v>
      </c>
      <c r="F38" s="126" t="str">
        <f>MATCH(C38,Capa!$6:$6,0)</f>
        <v>#N/A</v>
      </c>
      <c r="G38" s="9"/>
      <c r="H38" s="7">
        <v>32.0</v>
      </c>
      <c r="I38" s="129" t="str">
        <f t="shared" si="7"/>
        <v>LVBI11</v>
      </c>
      <c r="J38" s="112" t="str">
        <f>VLOOKUP(I38,Capa!A:G,7,0)</f>
        <v>Logisticos</v>
      </c>
      <c r="K38" s="113">
        <f t="shared" si="8"/>
        <v>0.8157201468</v>
      </c>
      <c r="L38" s="113">
        <f t="shared" si="9"/>
        <v>0.09819231268</v>
      </c>
      <c r="M38" s="113" t="str">
        <f t="shared" si="10"/>
        <v/>
      </c>
      <c r="N38" s="113" t="str">
        <f t="shared" si="11"/>
        <v/>
      </c>
      <c r="O38" s="114">
        <f t="shared" si="12"/>
        <v>2496620.45</v>
      </c>
      <c r="P38" s="9"/>
      <c r="Q38" s="9"/>
      <c r="R38" s="127" t="s">
        <v>48</v>
      </c>
      <c r="S38" s="116">
        <f t="shared" si="13"/>
        <v>1191.001577</v>
      </c>
      <c r="T38" s="117">
        <f>MID(VLOOKUP($R38,'Dados ClubeFII'!$A:$AU,23,0),3,100)/1</f>
        <v>994.93</v>
      </c>
      <c r="U38" s="118">
        <f t="shared" si="14"/>
        <v>14.0014</v>
      </c>
      <c r="V38" s="118">
        <f t="shared" si="15"/>
        <v>177.000177</v>
      </c>
      <c r="W38" s="118" t="str">
        <f t="shared" ref="W38:AS38" si="47">IF(AV38="","", RANK(AV38,AV$7:AV$405,0))</f>
        <v/>
      </c>
      <c r="X38" s="118" t="str">
        <f t="shared" si="47"/>
        <v/>
      </c>
      <c r="Y38" s="118" t="str">
        <f t="shared" si="47"/>
        <v/>
      </c>
      <c r="Z38" s="118" t="str">
        <f t="shared" si="47"/>
        <v/>
      </c>
      <c r="AA38" s="118" t="str">
        <f t="shared" si="47"/>
        <v/>
      </c>
      <c r="AB38" s="118" t="str">
        <f t="shared" si="47"/>
        <v/>
      </c>
      <c r="AC38" s="118" t="str">
        <f t="shared" si="47"/>
        <v/>
      </c>
      <c r="AD38" s="118" t="str">
        <f t="shared" si="47"/>
        <v/>
      </c>
      <c r="AE38" s="118" t="str">
        <f t="shared" si="47"/>
        <v/>
      </c>
      <c r="AF38" s="118" t="str">
        <f t="shared" si="47"/>
        <v/>
      </c>
      <c r="AG38" s="118" t="str">
        <f t="shared" si="47"/>
        <v/>
      </c>
      <c r="AH38" s="118" t="str">
        <f t="shared" si="47"/>
        <v/>
      </c>
      <c r="AI38" s="118" t="str">
        <f t="shared" si="47"/>
        <v/>
      </c>
      <c r="AJ38" s="118" t="str">
        <f t="shared" si="47"/>
        <v/>
      </c>
      <c r="AK38" s="118" t="str">
        <f t="shared" si="47"/>
        <v/>
      </c>
      <c r="AL38" s="118" t="str">
        <f t="shared" si="47"/>
        <v/>
      </c>
      <c r="AM38" s="118" t="str">
        <f t="shared" si="47"/>
        <v/>
      </c>
      <c r="AN38" s="118" t="str">
        <f t="shared" si="47"/>
        <v/>
      </c>
      <c r="AO38" s="118" t="str">
        <f t="shared" si="47"/>
        <v/>
      </c>
      <c r="AP38" s="118" t="str">
        <f t="shared" si="47"/>
        <v/>
      </c>
      <c r="AQ38" s="118" t="str">
        <f t="shared" si="47"/>
        <v/>
      </c>
      <c r="AR38" s="118" t="str">
        <f t="shared" si="47"/>
        <v/>
      </c>
      <c r="AS38" s="118" t="str">
        <f t="shared" si="47"/>
        <v/>
      </c>
      <c r="AT38" s="123">
        <f>IF(AT$6="","",IF(AT$3="Maior",iferror(VLOOKUP($R38,Capa!$A:$Z,AT$5,0),0),IF(ISERROR(1/VLOOKUP($R38,Capa!$A:$Z,AT$5,0)),0,1/VLOOKUP($R38,Capa!$A:$Z,AT$5,0))))</f>
        <v>2.198319856</v>
      </c>
      <c r="AU38" s="124">
        <f>IF(AU$6="","",IF(AU$3="Maior",iferror(VLOOKUP($R38,Capa!$A:$Z,AU$5,0),0),IF(ISERROR(1/VLOOKUP($R38,Capa!$A:$Z,AU$5,0)),0,1/VLOOKUP($R38,Capa!$A:$Z,AU$5,0))))</f>
        <v>0.007742857143</v>
      </c>
      <c r="AV38" s="124" t="str">
        <f>IF(AV$6="","",IF(AV$3="Maior",iferror(VLOOKUP($R37,Capa!$A:$Z,AV$5,0),0),IF(ISERROR(1/VLOOKUP($R37,Capa!$A:$Z,AV$5,0)),0,1/VLOOKUP($R37,Capa!$A:$Z,AV$5,0))))</f>
        <v/>
      </c>
      <c r="AW38" s="124" t="str">
        <f>IF(AW$6="","",IF(AW$3="Maior",iferror(VLOOKUP($R37,Capa!$A:$Z,AW$5,0),0),IF(ISERROR(1/VLOOKUP($R37,Capa!$A:$Z,AW$5,0)),0,1/VLOOKUP($R37,Capa!$A:$Z,AW$5,0))))</f>
        <v/>
      </c>
      <c r="AX38" s="124" t="str">
        <f>IF(AX$6="","",IF(AX$3="Maior",iferror(VLOOKUP($R37,Capa!$A:$Z,AX$5,0),0),IF(ISERROR(1/VLOOKUP($R37,Capa!$A:$Z,AX$5,0)),0,1/VLOOKUP($R37,Capa!$A:$Z,AX$5,0))))</f>
        <v/>
      </c>
      <c r="AY38" s="124" t="str">
        <f>IF(AY$6="","",IF(AY$3="Maior",iferror(VLOOKUP($R37,Capa!$A:$Z,AY$5,0),0),IF(ISERROR(1/VLOOKUP($R37,Capa!$A:$Z,AY$5,0)),0,1/VLOOKUP($R37,Capa!$A:$Z,AY$5,0))))</f>
        <v/>
      </c>
      <c r="AZ38" s="124" t="str">
        <f>IF(AZ$6="","",IF(AZ$3="Maior",iferror(VLOOKUP($R37,Capa!$A:$Z,AZ$5,0),0),IF(ISERROR(1/VLOOKUP($R37,Capa!$A:$Z,AZ$5,0)),0,1/VLOOKUP($R37,Capa!$A:$Z,AZ$5,0))))</f>
        <v/>
      </c>
      <c r="BA38" s="124" t="str">
        <f>IF(BA$6="","",IF(BA$3="Maior",iferror(VLOOKUP($R37,Capa!$A:$Z,BA$5,0),0),IF(ISERROR(1/VLOOKUP($R37,Capa!$A:$Z,BA$5,0)),0,1/VLOOKUP($R37,Capa!$A:$Z,BA$5,0))))</f>
        <v/>
      </c>
      <c r="BB38" s="124" t="str">
        <f>IF(BB$6="","",IF(BB$3="Maior",iferror(VLOOKUP($R37,Capa!$A:$Z,BB$5,0),0),IF(ISERROR(1/VLOOKUP($R37,Capa!$A:$Z,BB$5,0)),0,1/VLOOKUP($R37,Capa!$A:$Z,BB$5,0))))</f>
        <v/>
      </c>
      <c r="BC38" s="124" t="str">
        <f>IF(BC$6="","",IF(BC$3="Maior",iferror(VLOOKUP($R37,Capa!$A:$Z,BC$5,0),0),IF(ISERROR(1/VLOOKUP($R37,Capa!$A:$Z,BC$5,0)),0,1/VLOOKUP($R37,Capa!$A:$Z,BC$5,0))))</f>
        <v/>
      </c>
      <c r="BD38" s="124" t="str">
        <f>IF(BD$6="","",IF(BD$3="Maior",iferror(VLOOKUP($R37,Capa!$A:$Z,BD$5,0),0),IF(ISERROR(1/VLOOKUP($R37,Capa!$A:$Z,BD$5,0)),0,1/VLOOKUP($R37,Capa!$A:$Z,BD$5,0))))</f>
        <v/>
      </c>
      <c r="BE38" s="124" t="str">
        <f>IF(BE$6="","",IF(BE$3="Maior",iferror(VLOOKUP($R37,Capa!$A:$Z,BE$5,0),0),IF(ISERROR(1/VLOOKUP($R37,Capa!$A:$Z,BE$5,0)),0,1/VLOOKUP($R37,Capa!$A:$Z,BE$5,0))))</f>
        <v/>
      </c>
      <c r="BF38" s="124" t="str">
        <f>IF(BF$6="","",IF(BF$3="Maior",iferror(VLOOKUP($R37,Capa!$A:$Z,BF$5,0),0),IF(ISERROR(1/VLOOKUP($R37,Capa!$A:$Z,BF$5,0)),0,1/VLOOKUP($R37,Capa!$A:$Z,BF$5,0))))</f>
        <v/>
      </c>
      <c r="BG38" s="124" t="str">
        <f>IF(BG$6="","",IF(BG$3="Maior",iferror(VLOOKUP($R37,Capa!$A:$Z,BG$5,0),0),IF(ISERROR(1/VLOOKUP($R37,Capa!$A:$Z,BG$5,0)),0,1/VLOOKUP($R37,Capa!$A:$Z,BG$5,0))))</f>
        <v/>
      </c>
      <c r="BH38" s="124" t="str">
        <f>IF(BH$6="","",IF(BH$3="Maior",iferror(VLOOKUP($R37,Capa!$A:$Z,BH$5,0),0),IF(ISERROR(1/VLOOKUP($R37,Capa!$A:$Z,BH$5,0)),0,1/VLOOKUP($R37,Capa!$A:$Z,BH$5,0))))</f>
        <v/>
      </c>
      <c r="BI38" s="124" t="str">
        <f>IF(BI$6="","",IF(BI$3="Maior",iferror(VLOOKUP($R37,Capa!$A:$Z,BI$5,0),0),IF(ISERROR(1/VLOOKUP($R37,Capa!$A:$Z,BI$5,0)),0,1/VLOOKUP($R37,Capa!$A:$Z,BI$5,0))))</f>
        <v/>
      </c>
      <c r="BJ38" s="124" t="str">
        <f>IF(BJ$6="","",IF(BJ$3="Maior",iferror(VLOOKUP($R37,Capa!$A:$Z,BJ$5,0),0),IF(ISERROR(1/VLOOKUP($R37,Capa!$A:$Z,BJ$5,0)),0,1/VLOOKUP($R37,Capa!$A:$Z,BJ$5,0))))</f>
        <v/>
      </c>
      <c r="BK38" s="124" t="str">
        <f>IF(BK$6="","",IF(BK$3="Maior",iferror(VLOOKUP($R37,Capa!$A:$Z,BK$5,0),0),IF(ISERROR(1/VLOOKUP($R37,Capa!$A:$Z,BK$5,0)),0,1/VLOOKUP($R37,Capa!$A:$Z,BK$5,0))))</f>
        <v/>
      </c>
      <c r="BL38" s="124" t="str">
        <f>IF(BL$6="","",IF(BL$3="Maior",iferror(VLOOKUP($R37,Capa!$A:$Z,BL$5,0),0),IF(ISERROR(1/VLOOKUP($R37,Capa!$A:$Z,BL$5,0)),0,1/VLOOKUP($R37,Capa!$A:$Z,BL$5,0))))</f>
        <v/>
      </c>
      <c r="BM38" s="124" t="str">
        <f>IF(BM$6="","",IF(BM$3="Maior",iferror(VLOOKUP($R37,Capa!$A:$Z,BM$5,0),0),IF(ISERROR(1/VLOOKUP($R37,Capa!$A:$Z,BM$5,0)),0,1/VLOOKUP($R37,Capa!$A:$Z,BM$5,0))))</f>
        <v/>
      </c>
      <c r="BN38" s="124" t="str">
        <f>IF(BN$6="","",IF(BN$3="Maior",iferror(VLOOKUP($R37,Capa!$A:$Z,BN$5,0),0),IF(ISERROR(1/VLOOKUP($R37,Capa!$A:$Z,BN$5,0)),0,1/VLOOKUP($R37,Capa!$A:$Z,BN$5,0))))</f>
        <v/>
      </c>
      <c r="BO38" s="124" t="str">
        <f>IF(BO$6="","",IF(BO$3="Maior",iferror(VLOOKUP($R37,Capa!$A:$Z,BO$5,0),0),IF(ISERROR(1/VLOOKUP($R37,Capa!$A:$Z,BO$5,0)),0,1/VLOOKUP($R37,Capa!$A:$Z,BO$5,0))))</f>
        <v/>
      </c>
      <c r="BP38" s="124" t="str">
        <f>IF(BP$6="","",IF(BP$3="Maior",iferror(VLOOKUP($R37,Capa!$A:$Z,BP$5,0),0),IF(ISERROR(1/VLOOKUP($R37,Capa!$A:$Z,BP$5,0)),0,1/VLOOKUP($R37,Capa!$A:$Z,BP$5,0))))</f>
        <v/>
      </c>
      <c r="BQ38" s="124" t="str">
        <f>IF(BQ$6="","",IF(BQ$3="Maior",iferror(VLOOKUP($R37,Capa!$A:$Z,BQ$5,0),0),IF(ISERROR(1/VLOOKUP($R37,Capa!$A:$Z,BQ$5,0)),0,1/VLOOKUP($R37,Capa!$A:$Z,BQ$5,0))))</f>
        <v/>
      </c>
      <c r="BR38" s="125" t="str">
        <f>IF(BR$6="","",IF(BR$3="Maior",iferror(VLOOKUP($R37,Capa!$A:$Z,BR$5,0),0),IF(ISERROR(1/VLOOKUP($R37,Capa!$A:$Z,BR$5,0)),0,1/VLOOKUP($R37,Capa!$A:$Z,BR$5,0))))</f>
        <v/>
      </c>
      <c r="BS38" s="88"/>
    </row>
    <row r="39">
      <c r="B39" s="115">
        <f t="shared" si="29"/>
        <v>2</v>
      </c>
      <c r="C39" s="134"/>
      <c r="D39" s="135" t="b">
        <v>0</v>
      </c>
      <c r="E39" s="136" t="s">
        <v>242</v>
      </c>
      <c r="F39" s="126" t="str">
        <f>MATCH(C39,Capa!$6:$6,0)</f>
        <v>#N/A</v>
      </c>
      <c r="G39" s="9"/>
      <c r="H39" s="7">
        <v>33.0</v>
      </c>
      <c r="I39" s="111" t="str">
        <f t="shared" si="7"/>
        <v>BCFF11</v>
      </c>
      <c r="J39" s="112" t="str">
        <f>VLOOKUP(I39,Capa!A:G,7,0)</f>
        <v>Fundo de Fundos</v>
      </c>
      <c r="K39" s="113">
        <f t="shared" si="8"/>
        <v>0.8328514694</v>
      </c>
      <c r="L39" s="113">
        <f t="shared" si="9"/>
        <v>0.1047433201</v>
      </c>
      <c r="M39" s="113" t="str">
        <f t="shared" si="10"/>
        <v/>
      </c>
      <c r="N39" s="113" t="str">
        <f t="shared" si="11"/>
        <v/>
      </c>
      <c r="O39" s="114">
        <f t="shared" si="12"/>
        <v>2409257.36</v>
      </c>
      <c r="P39" s="9"/>
      <c r="Q39" s="9"/>
      <c r="R39" s="115" t="s">
        <v>40</v>
      </c>
      <c r="S39" s="116">
        <f t="shared" si="13"/>
        <v>222.016359</v>
      </c>
      <c r="T39" s="117">
        <f>MID(VLOOKUP($R39,'Dados ClubeFII'!$A:$AU,23,0),3,100)/1</f>
        <v>4112312.58</v>
      </c>
      <c r="U39" s="118">
        <f t="shared" si="14"/>
        <v>163.0163</v>
      </c>
      <c r="V39" s="118">
        <f t="shared" si="15"/>
        <v>59.000059</v>
      </c>
      <c r="W39" s="118" t="str">
        <f t="shared" ref="W39:AS39" si="48">IF(AV39="","", RANK(AV39,AV$7:AV$405,0))</f>
        <v/>
      </c>
      <c r="X39" s="118" t="str">
        <f t="shared" si="48"/>
        <v/>
      </c>
      <c r="Y39" s="118" t="str">
        <f t="shared" si="48"/>
        <v/>
      </c>
      <c r="Z39" s="118" t="str">
        <f t="shared" si="48"/>
        <v/>
      </c>
      <c r="AA39" s="118" t="str">
        <f t="shared" si="48"/>
        <v/>
      </c>
      <c r="AB39" s="118" t="str">
        <f t="shared" si="48"/>
        <v/>
      </c>
      <c r="AC39" s="118" t="str">
        <f t="shared" si="48"/>
        <v/>
      </c>
      <c r="AD39" s="118" t="str">
        <f t="shared" si="48"/>
        <v/>
      </c>
      <c r="AE39" s="118" t="str">
        <f t="shared" si="48"/>
        <v/>
      </c>
      <c r="AF39" s="118" t="str">
        <f t="shared" si="48"/>
        <v/>
      </c>
      <c r="AG39" s="118" t="str">
        <f t="shared" si="48"/>
        <v/>
      </c>
      <c r="AH39" s="118" t="str">
        <f t="shared" si="48"/>
        <v/>
      </c>
      <c r="AI39" s="118" t="str">
        <f t="shared" si="48"/>
        <v/>
      </c>
      <c r="AJ39" s="118" t="str">
        <f t="shared" si="48"/>
        <v/>
      </c>
      <c r="AK39" s="118" t="str">
        <f t="shared" si="48"/>
        <v/>
      </c>
      <c r="AL39" s="118" t="str">
        <f t="shared" si="48"/>
        <v/>
      </c>
      <c r="AM39" s="118" t="str">
        <f t="shared" si="48"/>
        <v/>
      </c>
      <c r="AN39" s="118" t="str">
        <f t="shared" si="48"/>
        <v/>
      </c>
      <c r="AO39" s="118" t="str">
        <f t="shared" si="48"/>
        <v/>
      </c>
      <c r="AP39" s="118" t="str">
        <f t="shared" si="48"/>
        <v/>
      </c>
      <c r="AQ39" s="118" t="str">
        <f t="shared" si="48"/>
        <v/>
      </c>
      <c r="AR39" s="118" t="str">
        <f t="shared" si="48"/>
        <v/>
      </c>
      <c r="AS39" s="118" t="str">
        <f t="shared" si="48"/>
        <v/>
      </c>
      <c r="AT39" s="123">
        <f>IF(AT$6="","",IF(AT$3="Maior",iferror(VLOOKUP($R39,Capa!$A:$Z,AT$5,0),0),IF(ISERROR(1/VLOOKUP($R39,Capa!$A:$Z,AT$5,0)),0,1/VLOOKUP($R39,Capa!$A:$Z,AT$5,0))))</f>
        <v>1.028050493</v>
      </c>
      <c r="AU39" s="124">
        <f>IF(AU$6="","",IF(AU$3="Maior",iferror(VLOOKUP($R39,Capa!$A:$Z,AU$5,0),0),IF(ISERROR(1/VLOOKUP($R39,Capa!$A:$Z,AU$5,0)),0,1/VLOOKUP($R39,Capa!$A:$Z,AU$5,0))))</f>
        <v>0.1301632886</v>
      </c>
      <c r="AV39" s="124" t="str">
        <f>IF(AV$6="","",IF(AV$3="Maior",iferror(VLOOKUP($R38,Capa!$A:$Z,AV$5,0),0),IF(ISERROR(1/VLOOKUP($R38,Capa!$A:$Z,AV$5,0)),0,1/VLOOKUP($R38,Capa!$A:$Z,AV$5,0))))</f>
        <v/>
      </c>
      <c r="AW39" s="124" t="str">
        <f>IF(AW$6="","",IF(AW$3="Maior",iferror(VLOOKUP($R38,Capa!$A:$Z,AW$5,0),0),IF(ISERROR(1/VLOOKUP($R38,Capa!$A:$Z,AW$5,0)),0,1/VLOOKUP($R38,Capa!$A:$Z,AW$5,0))))</f>
        <v/>
      </c>
      <c r="AX39" s="124" t="str">
        <f>IF(AX$6="","",IF(AX$3="Maior",iferror(VLOOKUP($R38,Capa!$A:$Z,AX$5,0),0),IF(ISERROR(1/VLOOKUP($R38,Capa!$A:$Z,AX$5,0)),0,1/VLOOKUP($R38,Capa!$A:$Z,AX$5,0))))</f>
        <v/>
      </c>
      <c r="AY39" s="124" t="str">
        <f>IF(AY$6="","",IF(AY$3="Maior",iferror(VLOOKUP($R38,Capa!$A:$Z,AY$5,0),0),IF(ISERROR(1/VLOOKUP($R38,Capa!$A:$Z,AY$5,0)),0,1/VLOOKUP($R38,Capa!$A:$Z,AY$5,0))))</f>
        <v/>
      </c>
      <c r="AZ39" s="124" t="str">
        <f>IF(AZ$6="","",IF(AZ$3="Maior",iferror(VLOOKUP($R38,Capa!$A:$Z,AZ$5,0),0),IF(ISERROR(1/VLOOKUP($R38,Capa!$A:$Z,AZ$5,0)),0,1/VLOOKUP($R38,Capa!$A:$Z,AZ$5,0))))</f>
        <v/>
      </c>
      <c r="BA39" s="124" t="str">
        <f>IF(BA$6="","",IF(BA$3="Maior",iferror(VLOOKUP($R38,Capa!$A:$Z,BA$5,0),0),IF(ISERROR(1/VLOOKUP($R38,Capa!$A:$Z,BA$5,0)),0,1/VLOOKUP($R38,Capa!$A:$Z,BA$5,0))))</f>
        <v/>
      </c>
      <c r="BB39" s="124" t="str">
        <f>IF(BB$6="","",IF(BB$3="Maior",iferror(VLOOKUP($R38,Capa!$A:$Z,BB$5,0),0),IF(ISERROR(1/VLOOKUP($R38,Capa!$A:$Z,BB$5,0)),0,1/VLOOKUP($R38,Capa!$A:$Z,BB$5,0))))</f>
        <v/>
      </c>
      <c r="BC39" s="124" t="str">
        <f>IF(BC$6="","",IF(BC$3="Maior",iferror(VLOOKUP($R38,Capa!$A:$Z,BC$5,0),0),IF(ISERROR(1/VLOOKUP($R38,Capa!$A:$Z,BC$5,0)),0,1/VLOOKUP($R38,Capa!$A:$Z,BC$5,0))))</f>
        <v/>
      </c>
      <c r="BD39" s="124" t="str">
        <f>IF(BD$6="","",IF(BD$3="Maior",iferror(VLOOKUP($R38,Capa!$A:$Z,BD$5,0),0),IF(ISERROR(1/VLOOKUP($R38,Capa!$A:$Z,BD$5,0)),0,1/VLOOKUP($R38,Capa!$A:$Z,BD$5,0))))</f>
        <v/>
      </c>
      <c r="BE39" s="124" t="str">
        <f>IF(BE$6="","",IF(BE$3="Maior",iferror(VLOOKUP($R38,Capa!$A:$Z,BE$5,0),0),IF(ISERROR(1/VLOOKUP($R38,Capa!$A:$Z,BE$5,0)),0,1/VLOOKUP($R38,Capa!$A:$Z,BE$5,0))))</f>
        <v/>
      </c>
      <c r="BF39" s="124" t="str">
        <f>IF(BF$6="","",IF(BF$3="Maior",iferror(VLOOKUP($R38,Capa!$A:$Z,BF$5,0),0),IF(ISERROR(1/VLOOKUP($R38,Capa!$A:$Z,BF$5,0)),0,1/VLOOKUP($R38,Capa!$A:$Z,BF$5,0))))</f>
        <v/>
      </c>
      <c r="BG39" s="124" t="str">
        <f>IF(BG$6="","",IF(BG$3="Maior",iferror(VLOOKUP($R38,Capa!$A:$Z,BG$5,0),0),IF(ISERROR(1/VLOOKUP($R38,Capa!$A:$Z,BG$5,0)),0,1/VLOOKUP($R38,Capa!$A:$Z,BG$5,0))))</f>
        <v/>
      </c>
      <c r="BH39" s="124" t="str">
        <f>IF(BH$6="","",IF(BH$3="Maior",iferror(VLOOKUP($R38,Capa!$A:$Z,BH$5,0),0),IF(ISERROR(1/VLOOKUP($R38,Capa!$A:$Z,BH$5,0)),0,1/VLOOKUP($R38,Capa!$A:$Z,BH$5,0))))</f>
        <v/>
      </c>
      <c r="BI39" s="124" t="str">
        <f>IF(BI$6="","",IF(BI$3="Maior",iferror(VLOOKUP($R38,Capa!$A:$Z,BI$5,0),0),IF(ISERROR(1/VLOOKUP($R38,Capa!$A:$Z,BI$5,0)),0,1/VLOOKUP($R38,Capa!$A:$Z,BI$5,0))))</f>
        <v/>
      </c>
      <c r="BJ39" s="124" t="str">
        <f>IF(BJ$6="","",IF(BJ$3="Maior",iferror(VLOOKUP($R38,Capa!$A:$Z,BJ$5,0),0),IF(ISERROR(1/VLOOKUP($R38,Capa!$A:$Z,BJ$5,0)),0,1/VLOOKUP($R38,Capa!$A:$Z,BJ$5,0))))</f>
        <v/>
      </c>
      <c r="BK39" s="124" t="str">
        <f>IF(BK$6="","",IF(BK$3="Maior",iferror(VLOOKUP($R38,Capa!$A:$Z,BK$5,0),0),IF(ISERROR(1/VLOOKUP($R38,Capa!$A:$Z,BK$5,0)),0,1/VLOOKUP($R38,Capa!$A:$Z,BK$5,0))))</f>
        <v/>
      </c>
      <c r="BL39" s="124" t="str">
        <f>IF(BL$6="","",IF(BL$3="Maior",iferror(VLOOKUP($R38,Capa!$A:$Z,BL$5,0),0),IF(ISERROR(1/VLOOKUP($R38,Capa!$A:$Z,BL$5,0)),0,1/VLOOKUP($R38,Capa!$A:$Z,BL$5,0))))</f>
        <v/>
      </c>
      <c r="BM39" s="124" t="str">
        <f>IF(BM$6="","",IF(BM$3="Maior",iferror(VLOOKUP($R38,Capa!$A:$Z,BM$5,0),0),IF(ISERROR(1/VLOOKUP($R38,Capa!$A:$Z,BM$5,0)),0,1/VLOOKUP($R38,Capa!$A:$Z,BM$5,0))))</f>
        <v/>
      </c>
      <c r="BN39" s="124" t="str">
        <f>IF(BN$6="","",IF(BN$3="Maior",iferror(VLOOKUP($R38,Capa!$A:$Z,BN$5,0),0),IF(ISERROR(1/VLOOKUP($R38,Capa!$A:$Z,BN$5,0)),0,1/VLOOKUP($R38,Capa!$A:$Z,BN$5,0))))</f>
        <v/>
      </c>
      <c r="BO39" s="124" t="str">
        <f>IF(BO$6="","",IF(BO$3="Maior",iferror(VLOOKUP($R38,Capa!$A:$Z,BO$5,0),0),IF(ISERROR(1/VLOOKUP($R38,Capa!$A:$Z,BO$5,0)),0,1/VLOOKUP($R38,Capa!$A:$Z,BO$5,0))))</f>
        <v/>
      </c>
      <c r="BP39" s="124" t="str">
        <f>IF(BP$6="","",IF(BP$3="Maior",iferror(VLOOKUP($R38,Capa!$A:$Z,BP$5,0),0),IF(ISERROR(1/VLOOKUP($R38,Capa!$A:$Z,BP$5,0)),0,1/VLOOKUP($R38,Capa!$A:$Z,BP$5,0))))</f>
        <v/>
      </c>
      <c r="BQ39" s="124" t="str">
        <f>IF(BQ$6="","",IF(BQ$3="Maior",iferror(VLOOKUP($R38,Capa!$A:$Z,BQ$5,0),0),IF(ISERROR(1/VLOOKUP($R38,Capa!$A:$Z,BQ$5,0)),0,1/VLOOKUP($R38,Capa!$A:$Z,BQ$5,0))))</f>
        <v/>
      </c>
      <c r="BR39" s="125" t="str">
        <f>IF(BR$6="","",IF(BR$3="Maior",iferror(VLOOKUP($R38,Capa!$A:$Z,BR$5,0),0),IF(ISERROR(1/VLOOKUP($R38,Capa!$A:$Z,BR$5,0)),0,1/VLOOKUP($R38,Capa!$A:$Z,BR$5,0))))</f>
        <v/>
      </c>
      <c r="BS39" s="88"/>
    </row>
    <row r="40">
      <c r="B40" s="115">
        <f t="shared" si="29"/>
        <v>2</v>
      </c>
      <c r="C40" s="134"/>
      <c r="D40" s="135" t="b">
        <v>0</v>
      </c>
      <c r="E40" s="136" t="s">
        <v>241</v>
      </c>
      <c r="F40" s="126" t="str">
        <f>MATCH(C40,Capa!$6:$6,0)</f>
        <v>#N/A</v>
      </c>
      <c r="G40" s="9"/>
      <c r="H40" s="7">
        <v>34.0</v>
      </c>
      <c r="I40" s="111" t="str">
        <f t="shared" si="7"/>
        <v>HSML11</v>
      </c>
      <c r="J40" s="112" t="str">
        <f>VLOOKUP(I40,Capa!A:G,7,0)</f>
        <v>Shopping/Varejo</v>
      </c>
      <c r="K40" s="113">
        <f t="shared" si="8"/>
        <v>0.8218855391</v>
      </c>
      <c r="L40" s="113">
        <f t="shared" si="9"/>
        <v>0.09912741441</v>
      </c>
      <c r="M40" s="113" t="str">
        <f t="shared" si="10"/>
        <v/>
      </c>
      <c r="N40" s="113" t="str">
        <f t="shared" si="11"/>
        <v/>
      </c>
      <c r="O40" s="114">
        <f t="shared" si="12"/>
        <v>2476893.02</v>
      </c>
      <c r="P40" s="9"/>
      <c r="Q40" s="9"/>
      <c r="R40" s="127" t="s">
        <v>42</v>
      </c>
      <c r="S40" s="116">
        <f t="shared" si="13"/>
        <v>1185.01652</v>
      </c>
      <c r="T40" s="117">
        <f>MID(VLOOKUP($R40,'Dados ClubeFII'!$A:$AU,23,0),3,100)/1</f>
        <v>360126.88</v>
      </c>
      <c r="U40" s="118">
        <f t="shared" si="14"/>
        <v>165.0165</v>
      </c>
      <c r="V40" s="118">
        <f t="shared" si="15"/>
        <v>20.00002</v>
      </c>
      <c r="W40" s="118" t="str">
        <f t="shared" ref="W40:AS40" si="49">IF(AV40="","", RANK(AV40,AV$7:AV$405,0))</f>
        <v/>
      </c>
      <c r="X40" s="118" t="str">
        <f t="shared" si="49"/>
        <v/>
      </c>
      <c r="Y40" s="118" t="str">
        <f t="shared" si="49"/>
        <v/>
      </c>
      <c r="Z40" s="118" t="str">
        <f t="shared" si="49"/>
        <v/>
      </c>
      <c r="AA40" s="118" t="str">
        <f t="shared" si="49"/>
        <v/>
      </c>
      <c r="AB40" s="118" t="str">
        <f t="shared" si="49"/>
        <v/>
      </c>
      <c r="AC40" s="118" t="str">
        <f t="shared" si="49"/>
        <v/>
      </c>
      <c r="AD40" s="118" t="str">
        <f t="shared" si="49"/>
        <v/>
      </c>
      <c r="AE40" s="118" t="str">
        <f t="shared" si="49"/>
        <v/>
      </c>
      <c r="AF40" s="118" t="str">
        <f t="shared" si="49"/>
        <v/>
      </c>
      <c r="AG40" s="118" t="str">
        <f t="shared" si="49"/>
        <v/>
      </c>
      <c r="AH40" s="118" t="str">
        <f t="shared" si="49"/>
        <v/>
      </c>
      <c r="AI40" s="118" t="str">
        <f t="shared" si="49"/>
        <v/>
      </c>
      <c r="AJ40" s="118" t="str">
        <f t="shared" si="49"/>
        <v/>
      </c>
      <c r="AK40" s="118" t="str">
        <f t="shared" si="49"/>
        <v/>
      </c>
      <c r="AL40" s="118" t="str">
        <f t="shared" si="49"/>
        <v/>
      </c>
      <c r="AM40" s="118" t="str">
        <f t="shared" si="49"/>
        <v/>
      </c>
      <c r="AN40" s="118" t="str">
        <f t="shared" si="49"/>
        <v/>
      </c>
      <c r="AO40" s="118" t="str">
        <f t="shared" si="49"/>
        <v/>
      </c>
      <c r="AP40" s="118" t="str">
        <f t="shared" si="49"/>
        <v/>
      </c>
      <c r="AQ40" s="118" t="str">
        <f t="shared" si="49"/>
        <v/>
      </c>
      <c r="AR40" s="118" t="str">
        <f t="shared" si="49"/>
        <v/>
      </c>
      <c r="AS40" s="118" t="str">
        <f t="shared" si="49"/>
        <v/>
      </c>
      <c r="AT40" s="123">
        <f>IF(AT$6="","",IF(AT$3="Maior",iferror(VLOOKUP($R40,Capa!$A:$Z,AT$5,0),0),IF(ISERROR(1/VLOOKUP($R40,Capa!$A:$Z,AT$5,0)),0,1/VLOOKUP($R40,Capa!$A:$Z,AT$5,0))))</f>
        <v>1.024029982</v>
      </c>
      <c r="AU40" s="124">
        <f>IF(AU$6="","",IF(AU$3="Maior",iferror(VLOOKUP($R40,Capa!$A:$Z,AU$5,0),0),IF(ISERROR(1/VLOOKUP($R40,Capa!$A:$Z,AU$5,0)),0,1/VLOOKUP($R40,Capa!$A:$Z,AU$5,0))))</f>
        <v>0.1535483315</v>
      </c>
      <c r="AV40" s="124" t="str">
        <f>IF(AV$6="","",IF(AV$3="Maior",iferror(VLOOKUP($R39,Capa!$A:$Z,AV$5,0),0),IF(ISERROR(1/VLOOKUP($R39,Capa!$A:$Z,AV$5,0)),0,1/VLOOKUP($R39,Capa!$A:$Z,AV$5,0))))</f>
        <v/>
      </c>
      <c r="AW40" s="124" t="str">
        <f>IF(AW$6="","",IF(AW$3="Maior",iferror(VLOOKUP($R39,Capa!$A:$Z,AW$5,0),0),IF(ISERROR(1/VLOOKUP($R39,Capa!$A:$Z,AW$5,0)),0,1/VLOOKUP($R39,Capa!$A:$Z,AW$5,0))))</f>
        <v/>
      </c>
      <c r="AX40" s="124" t="str">
        <f>IF(AX$6="","",IF(AX$3="Maior",iferror(VLOOKUP($R39,Capa!$A:$Z,AX$5,0),0),IF(ISERROR(1/VLOOKUP($R39,Capa!$A:$Z,AX$5,0)),0,1/VLOOKUP($R39,Capa!$A:$Z,AX$5,0))))</f>
        <v/>
      </c>
      <c r="AY40" s="124" t="str">
        <f>IF(AY$6="","",IF(AY$3="Maior",iferror(VLOOKUP($R39,Capa!$A:$Z,AY$5,0),0),IF(ISERROR(1/VLOOKUP($R39,Capa!$A:$Z,AY$5,0)),0,1/VLOOKUP($R39,Capa!$A:$Z,AY$5,0))))</f>
        <v/>
      </c>
      <c r="AZ40" s="124" t="str">
        <f>IF(AZ$6="","",IF(AZ$3="Maior",iferror(VLOOKUP($R39,Capa!$A:$Z,AZ$5,0),0),IF(ISERROR(1/VLOOKUP($R39,Capa!$A:$Z,AZ$5,0)),0,1/VLOOKUP($R39,Capa!$A:$Z,AZ$5,0))))</f>
        <v/>
      </c>
      <c r="BA40" s="124" t="str">
        <f>IF(BA$6="","",IF(BA$3="Maior",iferror(VLOOKUP($R39,Capa!$A:$Z,BA$5,0),0),IF(ISERROR(1/VLOOKUP($R39,Capa!$A:$Z,BA$5,0)),0,1/VLOOKUP($R39,Capa!$A:$Z,BA$5,0))))</f>
        <v/>
      </c>
      <c r="BB40" s="124" t="str">
        <f>IF(BB$6="","",IF(BB$3="Maior",iferror(VLOOKUP($R39,Capa!$A:$Z,BB$5,0),0),IF(ISERROR(1/VLOOKUP($R39,Capa!$A:$Z,BB$5,0)),0,1/VLOOKUP($R39,Capa!$A:$Z,BB$5,0))))</f>
        <v/>
      </c>
      <c r="BC40" s="124" t="str">
        <f>IF(BC$6="","",IF(BC$3="Maior",iferror(VLOOKUP($R39,Capa!$A:$Z,BC$5,0),0),IF(ISERROR(1/VLOOKUP($R39,Capa!$A:$Z,BC$5,0)),0,1/VLOOKUP($R39,Capa!$A:$Z,BC$5,0))))</f>
        <v/>
      </c>
      <c r="BD40" s="124" t="str">
        <f>IF(BD$6="","",IF(BD$3="Maior",iferror(VLOOKUP($R39,Capa!$A:$Z,BD$5,0),0),IF(ISERROR(1/VLOOKUP($R39,Capa!$A:$Z,BD$5,0)),0,1/VLOOKUP($R39,Capa!$A:$Z,BD$5,0))))</f>
        <v/>
      </c>
      <c r="BE40" s="124" t="str">
        <f>IF(BE$6="","",IF(BE$3="Maior",iferror(VLOOKUP($R39,Capa!$A:$Z,BE$5,0),0),IF(ISERROR(1/VLOOKUP($R39,Capa!$A:$Z,BE$5,0)),0,1/VLOOKUP($R39,Capa!$A:$Z,BE$5,0))))</f>
        <v/>
      </c>
      <c r="BF40" s="124" t="str">
        <f>IF(BF$6="","",IF(BF$3="Maior",iferror(VLOOKUP($R39,Capa!$A:$Z,BF$5,0),0),IF(ISERROR(1/VLOOKUP($R39,Capa!$A:$Z,BF$5,0)),0,1/VLOOKUP($R39,Capa!$A:$Z,BF$5,0))))</f>
        <v/>
      </c>
      <c r="BG40" s="124" t="str">
        <f>IF(BG$6="","",IF(BG$3="Maior",iferror(VLOOKUP($R39,Capa!$A:$Z,BG$5,0),0),IF(ISERROR(1/VLOOKUP($R39,Capa!$A:$Z,BG$5,0)),0,1/VLOOKUP($R39,Capa!$A:$Z,BG$5,0))))</f>
        <v/>
      </c>
      <c r="BH40" s="124" t="str">
        <f>IF(BH$6="","",IF(BH$3="Maior",iferror(VLOOKUP($R39,Capa!$A:$Z,BH$5,0),0),IF(ISERROR(1/VLOOKUP($R39,Capa!$A:$Z,BH$5,0)),0,1/VLOOKUP($R39,Capa!$A:$Z,BH$5,0))))</f>
        <v/>
      </c>
      <c r="BI40" s="124" t="str">
        <f>IF(BI$6="","",IF(BI$3="Maior",iferror(VLOOKUP($R39,Capa!$A:$Z,BI$5,0),0),IF(ISERROR(1/VLOOKUP($R39,Capa!$A:$Z,BI$5,0)),0,1/VLOOKUP($R39,Capa!$A:$Z,BI$5,0))))</f>
        <v/>
      </c>
      <c r="BJ40" s="124" t="str">
        <f>IF(BJ$6="","",IF(BJ$3="Maior",iferror(VLOOKUP($R39,Capa!$A:$Z,BJ$5,0),0),IF(ISERROR(1/VLOOKUP($R39,Capa!$A:$Z,BJ$5,0)),0,1/VLOOKUP($R39,Capa!$A:$Z,BJ$5,0))))</f>
        <v/>
      </c>
      <c r="BK40" s="124" t="str">
        <f>IF(BK$6="","",IF(BK$3="Maior",iferror(VLOOKUP($R39,Capa!$A:$Z,BK$5,0),0),IF(ISERROR(1/VLOOKUP($R39,Capa!$A:$Z,BK$5,0)),0,1/VLOOKUP($R39,Capa!$A:$Z,BK$5,0))))</f>
        <v/>
      </c>
      <c r="BL40" s="124" t="str">
        <f>IF(BL$6="","",IF(BL$3="Maior",iferror(VLOOKUP($R39,Capa!$A:$Z,BL$5,0),0),IF(ISERROR(1/VLOOKUP($R39,Capa!$A:$Z,BL$5,0)),0,1/VLOOKUP($R39,Capa!$A:$Z,BL$5,0))))</f>
        <v/>
      </c>
      <c r="BM40" s="124" t="str">
        <f>IF(BM$6="","",IF(BM$3="Maior",iferror(VLOOKUP($R39,Capa!$A:$Z,BM$5,0),0),IF(ISERROR(1/VLOOKUP($R39,Capa!$A:$Z,BM$5,0)),0,1/VLOOKUP($R39,Capa!$A:$Z,BM$5,0))))</f>
        <v/>
      </c>
      <c r="BN40" s="124" t="str">
        <f>IF(BN$6="","",IF(BN$3="Maior",iferror(VLOOKUP($R39,Capa!$A:$Z,BN$5,0),0),IF(ISERROR(1/VLOOKUP($R39,Capa!$A:$Z,BN$5,0)),0,1/VLOOKUP($R39,Capa!$A:$Z,BN$5,0))))</f>
        <v/>
      </c>
      <c r="BO40" s="124" t="str">
        <f>IF(BO$6="","",IF(BO$3="Maior",iferror(VLOOKUP($R39,Capa!$A:$Z,BO$5,0),0),IF(ISERROR(1/VLOOKUP($R39,Capa!$A:$Z,BO$5,0)),0,1/VLOOKUP($R39,Capa!$A:$Z,BO$5,0))))</f>
        <v/>
      </c>
      <c r="BP40" s="124" t="str">
        <f>IF(BP$6="","",IF(BP$3="Maior",iferror(VLOOKUP($R39,Capa!$A:$Z,BP$5,0),0),IF(ISERROR(1/VLOOKUP($R39,Capa!$A:$Z,BP$5,0)),0,1/VLOOKUP($R39,Capa!$A:$Z,BP$5,0))))</f>
        <v/>
      </c>
      <c r="BQ40" s="124" t="str">
        <f>IF(BQ$6="","",IF(BQ$3="Maior",iferror(VLOOKUP($R39,Capa!$A:$Z,BQ$5,0),0),IF(ISERROR(1/VLOOKUP($R39,Capa!$A:$Z,BQ$5,0)),0,1/VLOOKUP($R39,Capa!$A:$Z,BQ$5,0))))</f>
        <v/>
      </c>
      <c r="BR40" s="125" t="str">
        <f>IF(BR$6="","",IF(BR$3="Maior",iferror(VLOOKUP($R39,Capa!$A:$Z,BR$5,0),0),IF(ISERROR(1/VLOOKUP($R39,Capa!$A:$Z,BR$5,0)),0,1/VLOOKUP($R39,Capa!$A:$Z,BR$5,0))))</f>
        <v/>
      </c>
      <c r="BS40" s="88"/>
    </row>
    <row r="41">
      <c r="B41" s="115" t="str">
        <f>IF(#REF!=FALSE,B40,B40+1)</f>
        <v>#REF!</v>
      </c>
      <c r="C41" s="137"/>
      <c r="D41" s="138" t="b">
        <v>0</v>
      </c>
      <c r="E41" s="139" t="s">
        <v>241</v>
      </c>
      <c r="F41" s="126" t="str">
        <f>MATCH(#REF!,Capa!$6:$6,0)</f>
        <v>#REF!</v>
      </c>
      <c r="G41" s="9"/>
      <c r="H41" s="7">
        <v>35.0</v>
      </c>
      <c r="I41" s="129" t="str">
        <f t="shared" si="7"/>
        <v>VCJR11</v>
      </c>
      <c r="J41" s="112" t="str">
        <f>VLOOKUP(I41,Capa!A:G,7,0)</f>
        <v>Recebíveis Imobiliários</v>
      </c>
      <c r="K41" s="113">
        <f t="shared" si="8"/>
        <v>0.9178507327</v>
      </c>
      <c r="L41" s="113">
        <f t="shared" si="9"/>
        <v>0.1278082472</v>
      </c>
      <c r="M41" s="113" t="str">
        <f t="shared" si="10"/>
        <v/>
      </c>
      <c r="N41" s="113" t="str">
        <f t="shared" si="11"/>
        <v/>
      </c>
      <c r="O41" s="114">
        <f t="shared" si="12"/>
        <v>1063086.31</v>
      </c>
      <c r="P41" s="9"/>
      <c r="Q41" s="9"/>
      <c r="R41" s="115" t="s">
        <v>37</v>
      </c>
      <c r="S41" s="116">
        <f t="shared" si="13"/>
        <v>1037.001126</v>
      </c>
      <c r="T41" s="117">
        <f>MID(VLOOKUP($R41,'Dados ClubeFII'!$A:$AU,23,0),3,100)/1</f>
        <v>582581.92</v>
      </c>
      <c r="U41" s="118">
        <f t="shared" si="14"/>
        <v>11.0011</v>
      </c>
      <c r="V41" s="118">
        <f t="shared" si="15"/>
        <v>26.000026</v>
      </c>
      <c r="W41" s="118" t="str">
        <f t="shared" ref="W41:AS41" si="50">IF(AV41="","", RANK(AV41,AV$7:AV$405,0))</f>
        <v/>
      </c>
      <c r="X41" s="118" t="str">
        <f t="shared" si="50"/>
        <v/>
      </c>
      <c r="Y41" s="118" t="str">
        <f t="shared" si="50"/>
        <v/>
      </c>
      <c r="Z41" s="118" t="str">
        <f t="shared" si="50"/>
        <v/>
      </c>
      <c r="AA41" s="118" t="str">
        <f t="shared" si="50"/>
        <v/>
      </c>
      <c r="AB41" s="118" t="str">
        <f t="shared" si="50"/>
        <v/>
      </c>
      <c r="AC41" s="118" t="str">
        <f t="shared" si="50"/>
        <v/>
      </c>
      <c r="AD41" s="118" t="str">
        <f t="shared" si="50"/>
        <v/>
      </c>
      <c r="AE41" s="118" t="str">
        <f t="shared" si="50"/>
        <v/>
      </c>
      <c r="AF41" s="118" t="str">
        <f t="shared" si="50"/>
        <v/>
      </c>
      <c r="AG41" s="118" t="str">
        <f t="shared" si="50"/>
        <v/>
      </c>
      <c r="AH41" s="118" t="str">
        <f t="shared" si="50"/>
        <v/>
      </c>
      <c r="AI41" s="118" t="str">
        <f t="shared" si="50"/>
        <v/>
      </c>
      <c r="AJ41" s="118" t="str">
        <f t="shared" si="50"/>
        <v/>
      </c>
      <c r="AK41" s="118" t="str">
        <f t="shared" si="50"/>
        <v/>
      </c>
      <c r="AL41" s="118" t="str">
        <f t="shared" si="50"/>
        <v/>
      </c>
      <c r="AM41" s="118" t="str">
        <f t="shared" si="50"/>
        <v/>
      </c>
      <c r="AN41" s="118" t="str">
        <f t="shared" si="50"/>
        <v/>
      </c>
      <c r="AO41" s="118" t="str">
        <f t="shared" si="50"/>
        <v/>
      </c>
      <c r="AP41" s="118" t="str">
        <f t="shared" si="50"/>
        <v/>
      </c>
      <c r="AQ41" s="118" t="str">
        <f t="shared" si="50"/>
        <v/>
      </c>
      <c r="AR41" s="118" t="str">
        <f t="shared" si="50"/>
        <v/>
      </c>
      <c r="AS41" s="118" t="str">
        <f t="shared" si="50"/>
        <v/>
      </c>
      <c r="AT41" s="123">
        <f>IF(AT$6="","",IF(AT$3="Maior",iferror(VLOOKUP($R41,Capa!$A:$Z,AT$5,0),0),IF(ISERROR(1/VLOOKUP($R41,Capa!$A:$Z,AT$5,0)),0,1/VLOOKUP($R41,Capa!$A:$Z,AT$5,0))))</f>
        <v>2.760150647</v>
      </c>
      <c r="AU41" s="124">
        <f>IF(AU$6="","",IF(AU$3="Maior",iferror(VLOOKUP($R41,Capa!$A:$Z,AU$5,0),0),IF(ISERROR(1/VLOOKUP($R41,Capa!$A:$Z,AU$5,0)),0,1/VLOOKUP($R41,Capa!$A:$Z,AU$5,0))))</f>
        <v>0.1505863551</v>
      </c>
      <c r="AV41" s="124" t="str">
        <f>IF(AV$6="","",IF(AV$3="Maior",iferror(VLOOKUP($R40,Capa!$A:$Z,AV$5,0),0),IF(ISERROR(1/VLOOKUP($R40,Capa!$A:$Z,AV$5,0)),0,1/VLOOKUP($R40,Capa!$A:$Z,AV$5,0))))</f>
        <v/>
      </c>
      <c r="AW41" s="124" t="str">
        <f>IF(AW$6="","",IF(AW$3="Maior",iferror(VLOOKUP($R40,Capa!$A:$Z,AW$5,0),0),IF(ISERROR(1/VLOOKUP($R40,Capa!$A:$Z,AW$5,0)),0,1/VLOOKUP($R40,Capa!$A:$Z,AW$5,0))))</f>
        <v/>
      </c>
      <c r="AX41" s="124" t="str">
        <f>IF(AX$6="","",IF(AX$3="Maior",iferror(VLOOKUP($R40,Capa!$A:$Z,AX$5,0),0),IF(ISERROR(1/VLOOKUP($R40,Capa!$A:$Z,AX$5,0)),0,1/VLOOKUP($R40,Capa!$A:$Z,AX$5,0))))</f>
        <v/>
      </c>
      <c r="AY41" s="124" t="str">
        <f>IF(AY$6="","",IF(AY$3="Maior",iferror(VLOOKUP($R40,Capa!$A:$Z,AY$5,0),0),IF(ISERROR(1/VLOOKUP($R40,Capa!$A:$Z,AY$5,0)),0,1/VLOOKUP($R40,Capa!$A:$Z,AY$5,0))))</f>
        <v/>
      </c>
      <c r="AZ41" s="124" t="str">
        <f>IF(AZ$6="","",IF(AZ$3="Maior",iferror(VLOOKUP($R40,Capa!$A:$Z,AZ$5,0),0),IF(ISERROR(1/VLOOKUP($R40,Capa!$A:$Z,AZ$5,0)),0,1/VLOOKUP($R40,Capa!$A:$Z,AZ$5,0))))</f>
        <v/>
      </c>
      <c r="BA41" s="124" t="str">
        <f>IF(BA$6="","",IF(BA$3="Maior",iferror(VLOOKUP($R40,Capa!$A:$Z,BA$5,0),0),IF(ISERROR(1/VLOOKUP($R40,Capa!$A:$Z,BA$5,0)),0,1/VLOOKUP($R40,Capa!$A:$Z,BA$5,0))))</f>
        <v/>
      </c>
      <c r="BB41" s="124" t="str">
        <f>IF(BB$6="","",IF(BB$3="Maior",iferror(VLOOKUP($R40,Capa!$A:$Z,BB$5,0),0),IF(ISERROR(1/VLOOKUP($R40,Capa!$A:$Z,BB$5,0)),0,1/VLOOKUP($R40,Capa!$A:$Z,BB$5,0))))</f>
        <v/>
      </c>
      <c r="BC41" s="124" t="str">
        <f>IF(BC$6="","",IF(BC$3="Maior",iferror(VLOOKUP($R40,Capa!$A:$Z,BC$5,0),0),IF(ISERROR(1/VLOOKUP($R40,Capa!$A:$Z,BC$5,0)),0,1/VLOOKUP($R40,Capa!$A:$Z,BC$5,0))))</f>
        <v/>
      </c>
      <c r="BD41" s="124" t="str">
        <f>IF(BD$6="","",IF(BD$3="Maior",iferror(VLOOKUP($R40,Capa!$A:$Z,BD$5,0),0),IF(ISERROR(1/VLOOKUP($R40,Capa!$A:$Z,BD$5,0)),0,1/VLOOKUP($R40,Capa!$A:$Z,BD$5,0))))</f>
        <v/>
      </c>
      <c r="BE41" s="124" t="str">
        <f>IF(BE$6="","",IF(BE$3="Maior",iferror(VLOOKUP($R40,Capa!$A:$Z,BE$5,0),0),IF(ISERROR(1/VLOOKUP($R40,Capa!$A:$Z,BE$5,0)),0,1/VLOOKUP($R40,Capa!$A:$Z,BE$5,0))))</f>
        <v/>
      </c>
      <c r="BF41" s="124" t="str">
        <f>IF(BF$6="","",IF(BF$3="Maior",iferror(VLOOKUP($R40,Capa!$A:$Z,BF$5,0),0),IF(ISERROR(1/VLOOKUP($R40,Capa!$A:$Z,BF$5,0)),0,1/VLOOKUP($R40,Capa!$A:$Z,BF$5,0))))</f>
        <v/>
      </c>
      <c r="BG41" s="124" t="str">
        <f>IF(BG$6="","",IF(BG$3="Maior",iferror(VLOOKUP($R40,Capa!$A:$Z,BG$5,0),0),IF(ISERROR(1/VLOOKUP($R40,Capa!$A:$Z,BG$5,0)),0,1/VLOOKUP($R40,Capa!$A:$Z,BG$5,0))))</f>
        <v/>
      </c>
      <c r="BH41" s="124" t="str">
        <f>IF(BH$6="","",IF(BH$3="Maior",iferror(VLOOKUP($R40,Capa!$A:$Z,BH$5,0),0),IF(ISERROR(1/VLOOKUP($R40,Capa!$A:$Z,BH$5,0)),0,1/VLOOKUP($R40,Capa!$A:$Z,BH$5,0))))</f>
        <v/>
      </c>
      <c r="BI41" s="124" t="str">
        <f>IF(BI$6="","",IF(BI$3="Maior",iferror(VLOOKUP($R40,Capa!$A:$Z,BI$5,0),0),IF(ISERROR(1/VLOOKUP($R40,Capa!$A:$Z,BI$5,0)),0,1/VLOOKUP($R40,Capa!$A:$Z,BI$5,0))))</f>
        <v/>
      </c>
      <c r="BJ41" s="124" t="str">
        <f>IF(BJ$6="","",IF(BJ$3="Maior",iferror(VLOOKUP($R40,Capa!$A:$Z,BJ$5,0),0),IF(ISERROR(1/VLOOKUP($R40,Capa!$A:$Z,BJ$5,0)),0,1/VLOOKUP($R40,Capa!$A:$Z,BJ$5,0))))</f>
        <v/>
      </c>
      <c r="BK41" s="124" t="str">
        <f>IF(BK$6="","",IF(BK$3="Maior",iferror(VLOOKUP($R40,Capa!$A:$Z,BK$5,0),0),IF(ISERROR(1/VLOOKUP($R40,Capa!$A:$Z,BK$5,0)),0,1/VLOOKUP($R40,Capa!$A:$Z,BK$5,0))))</f>
        <v/>
      </c>
      <c r="BL41" s="124" t="str">
        <f>IF(BL$6="","",IF(BL$3="Maior",iferror(VLOOKUP($R40,Capa!$A:$Z,BL$5,0),0),IF(ISERROR(1/VLOOKUP($R40,Capa!$A:$Z,BL$5,0)),0,1/VLOOKUP($R40,Capa!$A:$Z,BL$5,0))))</f>
        <v/>
      </c>
      <c r="BM41" s="124" t="str">
        <f>IF(BM$6="","",IF(BM$3="Maior",iferror(VLOOKUP($R40,Capa!$A:$Z,BM$5,0),0),IF(ISERROR(1/VLOOKUP($R40,Capa!$A:$Z,BM$5,0)),0,1/VLOOKUP($R40,Capa!$A:$Z,BM$5,0))))</f>
        <v/>
      </c>
      <c r="BN41" s="124" t="str">
        <f>IF(BN$6="","",IF(BN$3="Maior",iferror(VLOOKUP($R40,Capa!$A:$Z,BN$5,0),0),IF(ISERROR(1/VLOOKUP($R40,Capa!$A:$Z,BN$5,0)),0,1/VLOOKUP($R40,Capa!$A:$Z,BN$5,0))))</f>
        <v/>
      </c>
      <c r="BO41" s="124" t="str">
        <f>IF(BO$6="","",IF(BO$3="Maior",iferror(VLOOKUP($R40,Capa!$A:$Z,BO$5,0),0),IF(ISERROR(1/VLOOKUP($R40,Capa!$A:$Z,BO$5,0)),0,1/VLOOKUP($R40,Capa!$A:$Z,BO$5,0))))</f>
        <v/>
      </c>
      <c r="BP41" s="124" t="str">
        <f>IF(BP$6="","",IF(BP$3="Maior",iferror(VLOOKUP($R40,Capa!$A:$Z,BP$5,0),0),IF(ISERROR(1/VLOOKUP($R40,Capa!$A:$Z,BP$5,0)),0,1/VLOOKUP($R40,Capa!$A:$Z,BP$5,0))))</f>
        <v/>
      </c>
      <c r="BQ41" s="124" t="str">
        <f>IF(BQ$6="","",IF(BQ$3="Maior",iferror(VLOOKUP($R40,Capa!$A:$Z,BQ$5,0),0),IF(ISERROR(1/VLOOKUP($R40,Capa!$A:$Z,BQ$5,0)),0,1/VLOOKUP($R40,Capa!$A:$Z,BQ$5,0))))</f>
        <v/>
      </c>
      <c r="BR41" s="125" t="str">
        <f>IF(BR$6="","",IF(BR$3="Maior",iferror(VLOOKUP($R40,Capa!$A:$Z,BR$5,0),0),IF(ISERROR(1/VLOOKUP($R40,Capa!$A:$Z,BR$5,0)),0,1/VLOOKUP($R40,Capa!$A:$Z,BR$5,0))))</f>
        <v/>
      </c>
      <c r="BS41" s="88"/>
    </row>
    <row r="42">
      <c r="D42" s="126" t="b">
        <v>0</v>
      </c>
      <c r="G42" s="9"/>
      <c r="H42" s="7">
        <v>36.0</v>
      </c>
      <c r="I42" s="111" t="str">
        <f t="shared" si="7"/>
        <v>BRCO11</v>
      </c>
      <c r="J42" s="112" t="str">
        <f>VLOOKUP(I42,Capa!A:G,7,0)</f>
        <v>Logisticos</v>
      </c>
      <c r="K42" s="113">
        <f t="shared" si="8"/>
        <v>0.7657687749</v>
      </c>
      <c r="L42" s="113">
        <f t="shared" si="9"/>
        <v>0.08552742161</v>
      </c>
      <c r="M42" s="113" t="str">
        <f t="shared" si="10"/>
        <v/>
      </c>
      <c r="N42" s="113" t="str">
        <f t="shared" si="11"/>
        <v/>
      </c>
      <c r="O42" s="114">
        <f t="shared" si="12"/>
        <v>2944645.37</v>
      </c>
      <c r="P42" s="9"/>
      <c r="Q42" s="9"/>
      <c r="R42" s="115" t="s">
        <v>157</v>
      </c>
      <c r="S42" s="116">
        <f t="shared" si="13"/>
        <v>1125.006263</v>
      </c>
      <c r="T42" s="117">
        <f>MID(VLOOKUP($R42,'Dados ClubeFII'!$A:$AU,23,0),3,100)/1</f>
        <v>395549.41</v>
      </c>
      <c r="U42" s="118">
        <f t="shared" si="14"/>
        <v>62.0062</v>
      </c>
      <c r="V42" s="118">
        <f t="shared" si="15"/>
        <v>63.000063</v>
      </c>
      <c r="W42" s="118" t="str">
        <f t="shared" ref="W42:AS42" si="51">IF(AV42="","", RANK(AV42,AV$7:AV$405,0))</f>
        <v/>
      </c>
      <c r="X42" s="118" t="str">
        <f t="shared" si="51"/>
        <v/>
      </c>
      <c r="Y42" s="118" t="str">
        <f t="shared" si="51"/>
        <v/>
      </c>
      <c r="Z42" s="118" t="str">
        <f t="shared" si="51"/>
        <v/>
      </c>
      <c r="AA42" s="118" t="str">
        <f t="shared" si="51"/>
        <v/>
      </c>
      <c r="AB42" s="118" t="str">
        <f t="shared" si="51"/>
        <v/>
      </c>
      <c r="AC42" s="118" t="str">
        <f t="shared" si="51"/>
        <v/>
      </c>
      <c r="AD42" s="118" t="str">
        <f t="shared" si="51"/>
        <v/>
      </c>
      <c r="AE42" s="118" t="str">
        <f t="shared" si="51"/>
        <v/>
      </c>
      <c r="AF42" s="118" t="str">
        <f t="shared" si="51"/>
        <v/>
      </c>
      <c r="AG42" s="118" t="str">
        <f t="shared" si="51"/>
        <v/>
      </c>
      <c r="AH42" s="118" t="str">
        <f t="shared" si="51"/>
        <v/>
      </c>
      <c r="AI42" s="118" t="str">
        <f t="shared" si="51"/>
        <v/>
      </c>
      <c r="AJ42" s="118" t="str">
        <f t="shared" si="51"/>
        <v/>
      </c>
      <c r="AK42" s="118" t="str">
        <f t="shared" si="51"/>
        <v/>
      </c>
      <c r="AL42" s="118" t="str">
        <f t="shared" si="51"/>
        <v/>
      </c>
      <c r="AM42" s="118" t="str">
        <f t="shared" si="51"/>
        <v/>
      </c>
      <c r="AN42" s="118" t="str">
        <f t="shared" si="51"/>
        <v/>
      </c>
      <c r="AO42" s="118" t="str">
        <f t="shared" si="51"/>
        <v/>
      </c>
      <c r="AP42" s="118" t="str">
        <f t="shared" si="51"/>
        <v/>
      </c>
      <c r="AQ42" s="118" t="str">
        <f t="shared" si="51"/>
        <v/>
      </c>
      <c r="AR42" s="118" t="str">
        <f t="shared" si="51"/>
        <v/>
      </c>
      <c r="AS42" s="118" t="str">
        <f t="shared" si="51"/>
        <v/>
      </c>
      <c r="AT42" s="123">
        <f>IF(AT$6="","",IF(AT$3="Maior",iferror(VLOOKUP($R42,Capa!$A:$Z,AT$5,0),0),IF(ISERROR(1/VLOOKUP($R42,Capa!$A:$Z,AT$5,0)),0,1/VLOOKUP($R42,Capa!$A:$Z,AT$5,0))))</f>
        <v>1.322481758</v>
      </c>
      <c r="AU42" s="124">
        <f>IF(AU$6="","",IF(AU$3="Maior",iferror(VLOOKUP($R42,Capa!$A:$Z,AU$5,0),0),IF(ISERROR(1/VLOOKUP($R42,Capa!$A:$Z,AU$5,0)),0,1/VLOOKUP($R42,Capa!$A:$Z,AU$5,0))))</f>
        <v>0.1278497388</v>
      </c>
      <c r="AV42" s="124" t="str">
        <f>IF(AV$6="","",IF(AV$3="Maior",iferror(VLOOKUP($R41,Capa!$A:$Z,AV$5,0),0),IF(ISERROR(1/VLOOKUP($R41,Capa!$A:$Z,AV$5,0)),0,1/VLOOKUP($R41,Capa!$A:$Z,AV$5,0))))</f>
        <v/>
      </c>
      <c r="AW42" s="124" t="str">
        <f>IF(AW$6="","",IF(AW$3="Maior",iferror(VLOOKUP($R41,Capa!$A:$Z,AW$5,0),0),IF(ISERROR(1/VLOOKUP($R41,Capa!$A:$Z,AW$5,0)),0,1/VLOOKUP($R41,Capa!$A:$Z,AW$5,0))))</f>
        <v/>
      </c>
      <c r="AX42" s="124" t="str">
        <f>IF(AX$6="","",IF(AX$3="Maior",iferror(VLOOKUP($R41,Capa!$A:$Z,AX$5,0),0),IF(ISERROR(1/VLOOKUP($R41,Capa!$A:$Z,AX$5,0)),0,1/VLOOKUP($R41,Capa!$A:$Z,AX$5,0))))</f>
        <v/>
      </c>
      <c r="AY42" s="124" t="str">
        <f>IF(AY$6="","",IF(AY$3="Maior",iferror(VLOOKUP($R41,Capa!$A:$Z,AY$5,0),0),IF(ISERROR(1/VLOOKUP($R41,Capa!$A:$Z,AY$5,0)),0,1/VLOOKUP($R41,Capa!$A:$Z,AY$5,0))))</f>
        <v/>
      </c>
      <c r="AZ42" s="124" t="str">
        <f>IF(AZ$6="","",IF(AZ$3="Maior",iferror(VLOOKUP($R41,Capa!$A:$Z,AZ$5,0),0),IF(ISERROR(1/VLOOKUP($R41,Capa!$A:$Z,AZ$5,0)),0,1/VLOOKUP($R41,Capa!$A:$Z,AZ$5,0))))</f>
        <v/>
      </c>
      <c r="BA42" s="124" t="str">
        <f>IF(BA$6="","",IF(BA$3="Maior",iferror(VLOOKUP($R41,Capa!$A:$Z,BA$5,0),0),IF(ISERROR(1/VLOOKUP($R41,Capa!$A:$Z,BA$5,0)),0,1/VLOOKUP($R41,Capa!$A:$Z,BA$5,0))))</f>
        <v/>
      </c>
      <c r="BB42" s="124" t="str">
        <f>IF(BB$6="","",IF(BB$3="Maior",iferror(VLOOKUP($R41,Capa!$A:$Z,BB$5,0),0),IF(ISERROR(1/VLOOKUP($R41,Capa!$A:$Z,BB$5,0)),0,1/VLOOKUP($R41,Capa!$A:$Z,BB$5,0))))</f>
        <v/>
      </c>
      <c r="BC42" s="124" t="str">
        <f>IF(BC$6="","",IF(BC$3="Maior",iferror(VLOOKUP($R41,Capa!$A:$Z,BC$5,0),0),IF(ISERROR(1/VLOOKUP($R41,Capa!$A:$Z,BC$5,0)),0,1/VLOOKUP($R41,Capa!$A:$Z,BC$5,0))))</f>
        <v/>
      </c>
      <c r="BD42" s="124" t="str">
        <f>IF(BD$6="","",IF(BD$3="Maior",iferror(VLOOKUP($R41,Capa!$A:$Z,BD$5,0),0),IF(ISERROR(1/VLOOKUP($R41,Capa!$A:$Z,BD$5,0)),0,1/VLOOKUP($R41,Capa!$A:$Z,BD$5,0))))</f>
        <v/>
      </c>
      <c r="BE42" s="124" t="str">
        <f>IF(BE$6="","",IF(BE$3="Maior",iferror(VLOOKUP($R41,Capa!$A:$Z,BE$5,0),0),IF(ISERROR(1/VLOOKUP($R41,Capa!$A:$Z,BE$5,0)),0,1/VLOOKUP($R41,Capa!$A:$Z,BE$5,0))))</f>
        <v/>
      </c>
      <c r="BF42" s="124" t="str">
        <f>IF(BF$6="","",IF(BF$3="Maior",iferror(VLOOKUP($R41,Capa!$A:$Z,BF$5,0),0),IF(ISERROR(1/VLOOKUP($R41,Capa!$A:$Z,BF$5,0)),0,1/VLOOKUP($R41,Capa!$A:$Z,BF$5,0))))</f>
        <v/>
      </c>
      <c r="BG42" s="124" t="str">
        <f>IF(BG$6="","",IF(BG$3="Maior",iferror(VLOOKUP($R41,Capa!$A:$Z,BG$5,0),0),IF(ISERROR(1/VLOOKUP($R41,Capa!$A:$Z,BG$5,0)),0,1/VLOOKUP($R41,Capa!$A:$Z,BG$5,0))))</f>
        <v/>
      </c>
      <c r="BH42" s="124" t="str">
        <f>IF(BH$6="","",IF(BH$3="Maior",iferror(VLOOKUP($R41,Capa!$A:$Z,BH$5,0),0),IF(ISERROR(1/VLOOKUP($R41,Capa!$A:$Z,BH$5,0)),0,1/VLOOKUP($R41,Capa!$A:$Z,BH$5,0))))</f>
        <v/>
      </c>
      <c r="BI42" s="124" t="str">
        <f>IF(BI$6="","",IF(BI$3="Maior",iferror(VLOOKUP($R41,Capa!$A:$Z,BI$5,0),0),IF(ISERROR(1/VLOOKUP($R41,Capa!$A:$Z,BI$5,0)),0,1/VLOOKUP($R41,Capa!$A:$Z,BI$5,0))))</f>
        <v/>
      </c>
      <c r="BJ42" s="124" t="str">
        <f>IF(BJ$6="","",IF(BJ$3="Maior",iferror(VLOOKUP($R41,Capa!$A:$Z,BJ$5,0),0),IF(ISERROR(1/VLOOKUP($R41,Capa!$A:$Z,BJ$5,0)),0,1/VLOOKUP($R41,Capa!$A:$Z,BJ$5,0))))</f>
        <v/>
      </c>
      <c r="BK42" s="124" t="str">
        <f>IF(BK$6="","",IF(BK$3="Maior",iferror(VLOOKUP($R41,Capa!$A:$Z,BK$5,0),0),IF(ISERROR(1/VLOOKUP($R41,Capa!$A:$Z,BK$5,0)),0,1/VLOOKUP($R41,Capa!$A:$Z,BK$5,0))))</f>
        <v/>
      </c>
      <c r="BL42" s="124" t="str">
        <f>IF(BL$6="","",IF(BL$3="Maior",iferror(VLOOKUP($R41,Capa!$A:$Z,BL$5,0),0),IF(ISERROR(1/VLOOKUP($R41,Capa!$A:$Z,BL$5,0)),0,1/VLOOKUP($R41,Capa!$A:$Z,BL$5,0))))</f>
        <v/>
      </c>
      <c r="BM42" s="124" t="str">
        <f>IF(BM$6="","",IF(BM$3="Maior",iferror(VLOOKUP($R41,Capa!$A:$Z,BM$5,0),0),IF(ISERROR(1/VLOOKUP($R41,Capa!$A:$Z,BM$5,0)),0,1/VLOOKUP($R41,Capa!$A:$Z,BM$5,0))))</f>
        <v/>
      </c>
      <c r="BN42" s="124" t="str">
        <f>IF(BN$6="","",IF(BN$3="Maior",iferror(VLOOKUP($R41,Capa!$A:$Z,BN$5,0),0),IF(ISERROR(1/VLOOKUP($R41,Capa!$A:$Z,BN$5,0)),0,1/VLOOKUP($R41,Capa!$A:$Z,BN$5,0))))</f>
        <v/>
      </c>
      <c r="BO42" s="124" t="str">
        <f>IF(BO$6="","",IF(BO$3="Maior",iferror(VLOOKUP($R41,Capa!$A:$Z,BO$5,0),0),IF(ISERROR(1/VLOOKUP($R41,Capa!$A:$Z,BO$5,0)),0,1/VLOOKUP($R41,Capa!$A:$Z,BO$5,0))))</f>
        <v/>
      </c>
      <c r="BP42" s="124" t="str">
        <f>IF(BP$6="","",IF(BP$3="Maior",iferror(VLOOKUP($R41,Capa!$A:$Z,BP$5,0),0),IF(ISERROR(1/VLOOKUP($R41,Capa!$A:$Z,BP$5,0)),0,1/VLOOKUP($R41,Capa!$A:$Z,BP$5,0))))</f>
        <v/>
      </c>
      <c r="BQ42" s="124" t="str">
        <f>IF(BQ$6="","",IF(BQ$3="Maior",iferror(VLOOKUP($R41,Capa!$A:$Z,BQ$5,0),0),IF(ISERROR(1/VLOOKUP($R41,Capa!$A:$Z,BQ$5,0)),0,1/VLOOKUP($R41,Capa!$A:$Z,BQ$5,0))))</f>
        <v/>
      </c>
      <c r="BR42" s="125" t="str">
        <f>IF(BR$6="","",IF(BR$3="Maior",iferror(VLOOKUP($R41,Capa!$A:$Z,BR$5,0),0),IF(ISERROR(1/VLOOKUP($R41,Capa!$A:$Z,BR$5,0)),0,1/VLOOKUP($R41,Capa!$A:$Z,BR$5,0))))</f>
        <v/>
      </c>
      <c r="BS42" s="88"/>
    </row>
    <row r="43">
      <c r="G43" s="9"/>
      <c r="H43" s="7">
        <v>37.0</v>
      </c>
      <c r="I43" s="111" t="str">
        <f t="shared" si="7"/>
        <v>KNIP11</v>
      </c>
      <c r="J43" s="112" t="str">
        <f>VLOOKUP(I43,Capa!A:G,7,0)</f>
        <v>Recebíveis Imobiliários</v>
      </c>
      <c r="K43" s="113">
        <f t="shared" si="8"/>
        <v>0.9685041489</v>
      </c>
      <c r="L43" s="113">
        <f t="shared" si="9"/>
        <v>0.1351870375</v>
      </c>
      <c r="M43" s="113" t="str">
        <f t="shared" si="10"/>
        <v/>
      </c>
      <c r="N43" s="113" t="str">
        <f t="shared" si="11"/>
        <v/>
      </c>
      <c r="O43" s="114">
        <f t="shared" si="12"/>
        <v>7340383.63</v>
      </c>
      <c r="P43" s="9"/>
      <c r="Q43" s="9"/>
      <c r="R43" s="115" t="s">
        <v>55</v>
      </c>
      <c r="S43" s="116">
        <f t="shared" si="13"/>
        <v>1191.010883</v>
      </c>
      <c r="T43" s="117">
        <f>MID(VLOOKUP($R43,'Dados ClubeFII'!$A:$AU,23,0),3,100)/1</f>
        <v>124369.04</v>
      </c>
      <c r="U43" s="118">
        <f t="shared" si="14"/>
        <v>108.0108</v>
      </c>
      <c r="V43" s="118">
        <f t="shared" si="15"/>
        <v>83.000083</v>
      </c>
      <c r="W43" s="118" t="str">
        <f t="shared" ref="W43:AS43" si="52">IF(AV43="","", RANK(AV43,AV$7:AV$405,0))</f>
        <v/>
      </c>
      <c r="X43" s="118" t="str">
        <f t="shared" si="52"/>
        <v/>
      </c>
      <c r="Y43" s="118" t="str">
        <f t="shared" si="52"/>
        <v/>
      </c>
      <c r="Z43" s="118" t="str">
        <f t="shared" si="52"/>
        <v/>
      </c>
      <c r="AA43" s="118" t="str">
        <f t="shared" si="52"/>
        <v/>
      </c>
      <c r="AB43" s="118" t="str">
        <f t="shared" si="52"/>
        <v/>
      </c>
      <c r="AC43" s="118" t="str">
        <f t="shared" si="52"/>
        <v/>
      </c>
      <c r="AD43" s="118" t="str">
        <f t="shared" si="52"/>
        <v/>
      </c>
      <c r="AE43" s="118" t="str">
        <f t="shared" si="52"/>
        <v/>
      </c>
      <c r="AF43" s="118" t="str">
        <f t="shared" si="52"/>
        <v/>
      </c>
      <c r="AG43" s="118" t="str">
        <f t="shared" si="52"/>
        <v/>
      </c>
      <c r="AH43" s="118" t="str">
        <f t="shared" si="52"/>
        <v/>
      </c>
      <c r="AI43" s="118" t="str">
        <f t="shared" si="52"/>
        <v/>
      </c>
      <c r="AJ43" s="118" t="str">
        <f t="shared" si="52"/>
        <v/>
      </c>
      <c r="AK43" s="118" t="str">
        <f t="shared" si="52"/>
        <v/>
      </c>
      <c r="AL43" s="118" t="str">
        <f t="shared" si="52"/>
        <v/>
      </c>
      <c r="AM43" s="118" t="str">
        <f t="shared" si="52"/>
        <v/>
      </c>
      <c r="AN43" s="118" t="str">
        <f t="shared" si="52"/>
        <v/>
      </c>
      <c r="AO43" s="118" t="str">
        <f t="shared" si="52"/>
        <v/>
      </c>
      <c r="AP43" s="118" t="str">
        <f t="shared" si="52"/>
        <v/>
      </c>
      <c r="AQ43" s="118" t="str">
        <f t="shared" si="52"/>
        <v/>
      </c>
      <c r="AR43" s="118" t="str">
        <f t="shared" si="52"/>
        <v/>
      </c>
      <c r="AS43" s="118" t="str">
        <f t="shared" si="52"/>
        <v/>
      </c>
      <c r="AT43" s="123">
        <f>IF(AT$6="","",IF(AT$3="Maior",iferror(VLOOKUP($R43,Capa!$A:$Z,AT$5,0),0),IF(ISERROR(1/VLOOKUP($R43,Capa!$A:$Z,AT$5,0)),0,1/VLOOKUP($R43,Capa!$A:$Z,AT$5,0))))</f>
        <v>1.171902905</v>
      </c>
      <c r="AU43" s="124">
        <f>IF(AU$6="","",IF(AU$3="Maior",iferror(VLOOKUP($R43,Capa!$A:$Z,AU$5,0),0),IF(ISERROR(1/VLOOKUP($R43,Capa!$A:$Z,AU$5,0)),0,1/VLOOKUP($R43,Capa!$A:$Z,AU$5,0))))</f>
        <v>0.1164162755</v>
      </c>
      <c r="AV43" s="124" t="str">
        <f>IF(AV$6="","",IF(AV$3="Maior",iferror(VLOOKUP($R42,Capa!$A:$Z,AV$5,0),0),IF(ISERROR(1/VLOOKUP($R42,Capa!$A:$Z,AV$5,0)),0,1/VLOOKUP($R42,Capa!$A:$Z,AV$5,0))))</f>
        <v/>
      </c>
      <c r="AW43" s="124" t="str">
        <f>IF(AW$6="","",IF(AW$3="Maior",iferror(VLOOKUP($R42,Capa!$A:$Z,AW$5,0),0),IF(ISERROR(1/VLOOKUP($R42,Capa!$A:$Z,AW$5,0)),0,1/VLOOKUP($R42,Capa!$A:$Z,AW$5,0))))</f>
        <v/>
      </c>
      <c r="AX43" s="124" t="str">
        <f>IF(AX$6="","",IF(AX$3="Maior",iferror(VLOOKUP($R42,Capa!$A:$Z,AX$5,0),0),IF(ISERROR(1/VLOOKUP($R42,Capa!$A:$Z,AX$5,0)),0,1/VLOOKUP($R42,Capa!$A:$Z,AX$5,0))))</f>
        <v/>
      </c>
      <c r="AY43" s="124" t="str">
        <f>IF(AY$6="","",IF(AY$3="Maior",iferror(VLOOKUP($R42,Capa!$A:$Z,AY$5,0),0),IF(ISERROR(1/VLOOKUP($R42,Capa!$A:$Z,AY$5,0)),0,1/VLOOKUP($R42,Capa!$A:$Z,AY$5,0))))</f>
        <v/>
      </c>
      <c r="AZ43" s="124" t="str">
        <f>IF(AZ$6="","",IF(AZ$3="Maior",iferror(VLOOKUP($R42,Capa!$A:$Z,AZ$5,0),0),IF(ISERROR(1/VLOOKUP($R42,Capa!$A:$Z,AZ$5,0)),0,1/VLOOKUP($R42,Capa!$A:$Z,AZ$5,0))))</f>
        <v/>
      </c>
      <c r="BA43" s="124" t="str">
        <f>IF(BA$6="","",IF(BA$3="Maior",iferror(VLOOKUP($R42,Capa!$A:$Z,BA$5,0),0),IF(ISERROR(1/VLOOKUP($R42,Capa!$A:$Z,BA$5,0)),0,1/VLOOKUP($R42,Capa!$A:$Z,BA$5,0))))</f>
        <v/>
      </c>
      <c r="BB43" s="124" t="str">
        <f>IF(BB$6="","",IF(BB$3="Maior",iferror(VLOOKUP($R42,Capa!$A:$Z,BB$5,0),0),IF(ISERROR(1/VLOOKUP($R42,Capa!$A:$Z,BB$5,0)),0,1/VLOOKUP($R42,Capa!$A:$Z,BB$5,0))))</f>
        <v/>
      </c>
      <c r="BC43" s="124" t="str">
        <f>IF(BC$6="","",IF(BC$3="Maior",iferror(VLOOKUP($R42,Capa!$A:$Z,BC$5,0),0),IF(ISERROR(1/VLOOKUP($R42,Capa!$A:$Z,BC$5,0)),0,1/VLOOKUP($R42,Capa!$A:$Z,BC$5,0))))</f>
        <v/>
      </c>
      <c r="BD43" s="124" t="str">
        <f>IF(BD$6="","",IF(BD$3="Maior",iferror(VLOOKUP($R42,Capa!$A:$Z,BD$5,0),0),IF(ISERROR(1/VLOOKUP($R42,Capa!$A:$Z,BD$5,0)),0,1/VLOOKUP($R42,Capa!$A:$Z,BD$5,0))))</f>
        <v/>
      </c>
      <c r="BE43" s="124" t="str">
        <f>IF(BE$6="","",IF(BE$3="Maior",iferror(VLOOKUP($R42,Capa!$A:$Z,BE$5,0),0),IF(ISERROR(1/VLOOKUP($R42,Capa!$A:$Z,BE$5,0)),0,1/VLOOKUP($R42,Capa!$A:$Z,BE$5,0))))</f>
        <v/>
      </c>
      <c r="BF43" s="124" t="str">
        <f>IF(BF$6="","",IF(BF$3="Maior",iferror(VLOOKUP($R42,Capa!$A:$Z,BF$5,0),0),IF(ISERROR(1/VLOOKUP($R42,Capa!$A:$Z,BF$5,0)),0,1/VLOOKUP($R42,Capa!$A:$Z,BF$5,0))))</f>
        <v/>
      </c>
      <c r="BG43" s="124" t="str">
        <f>IF(BG$6="","",IF(BG$3="Maior",iferror(VLOOKUP($R42,Capa!$A:$Z,BG$5,0),0),IF(ISERROR(1/VLOOKUP($R42,Capa!$A:$Z,BG$5,0)),0,1/VLOOKUP($R42,Capa!$A:$Z,BG$5,0))))</f>
        <v/>
      </c>
      <c r="BH43" s="124" t="str">
        <f>IF(BH$6="","",IF(BH$3="Maior",iferror(VLOOKUP($R42,Capa!$A:$Z,BH$5,0),0),IF(ISERROR(1/VLOOKUP($R42,Capa!$A:$Z,BH$5,0)),0,1/VLOOKUP($R42,Capa!$A:$Z,BH$5,0))))</f>
        <v/>
      </c>
      <c r="BI43" s="124" t="str">
        <f>IF(BI$6="","",IF(BI$3="Maior",iferror(VLOOKUP($R42,Capa!$A:$Z,BI$5,0),0),IF(ISERROR(1/VLOOKUP($R42,Capa!$A:$Z,BI$5,0)),0,1/VLOOKUP($R42,Capa!$A:$Z,BI$5,0))))</f>
        <v/>
      </c>
      <c r="BJ43" s="124" t="str">
        <f>IF(BJ$6="","",IF(BJ$3="Maior",iferror(VLOOKUP($R42,Capa!$A:$Z,BJ$5,0),0),IF(ISERROR(1/VLOOKUP($R42,Capa!$A:$Z,BJ$5,0)),0,1/VLOOKUP($R42,Capa!$A:$Z,BJ$5,0))))</f>
        <v/>
      </c>
      <c r="BK43" s="124" t="str">
        <f>IF(BK$6="","",IF(BK$3="Maior",iferror(VLOOKUP($R42,Capa!$A:$Z,BK$5,0),0),IF(ISERROR(1/VLOOKUP($R42,Capa!$A:$Z,BK$5,0)),0,1/VLOOKUP($R42,Capa!$A:$Z,BK$5,0))))</f>
        <v/>
      </c>
      <c r="BL43" s="124" t="str">
        <f>IF(BL$6="","",IF(BL$3="Maior",iferror(VLOOKUP($R42,Capa!$A:$Z,BL$5,0),0),IF(ISERROR(1/VLOOKUP($R42,Capa!$A:$Z,BL$5,0)),0,1/VLOOKUP($R42,Capa!$A:$Z,BL$5,0))))</f>
        <v/>
      </c>
      <c r="BM43" s="124" t="str">
        <f>IF(BM$6="","",IF(BM$3="Maior",iferror(VLOOKUP($R42,Capa!$A:$Z,BM$5,0),0),IF(ISERROR(1/VLOOKUP($R42,Capa!$A:$Z,BM$5,0)),0,1/VLOOKUP($R42,Capa!$A:$Z,BM$5,0))))</f>
        <v/>
      </c>
      <c r="BN43" s="124" t="str">
        <f>IF(BN$6="","",IF(BN$3="Maior",iferror(VLOOKUP($R42,Capa!$A:$Z,BN$5,0),0),IF(ISERROR(1/VLOOKUP($R42,Capa!$A:$Z,BN$5,0)),0,1/VLOOKUP($R42,Capa!$A:$Z,BN$5,0))))</f>
        <v/>
      </c>
      <c r="BO43" s="124" t="str">
        <f>IF(BO$6="","",IF(BO$3="Maior",iferror(VLOOKUP($R42,Capa!$A:$Z,BO$5,0),0),IF(ISERROR(1/VLOOKUP($R42,Capa!$A:$Z,BO$5,0)),0,1/VLOOKUP($R42,Capa!$A:$Z,BO$5,0))))</f>
        <v/>
      </c>
      <c r="BP43" s="124" t="str">
        <f>IF(BP$6="","",IF(BP$3="Maior",iferror(VLOOKUP($R42,Capa!$A:$Z,BP$5,0),0),IF(ISERROR(1/VLOOKUP($R42,Capa!$A:$Z,BP$5,0)),0,1/VLOOKUP($R42,Capa!$A:$Z,BP$5,0))))</f>
        <v/>
      </c>
      <c r="BQ43" s="124" t="str">
        <f>IF(BQ$6="","",IF(BQ$3="Maior",iferror(VLOOKUP($R42,Capa!$A:$Z,BQ$5,0),0),IF(ISERROR(1/VLOOKUP($R42,Capa!$A:$Z,BQ$5,0)),0,1/VLOOKUP($R42,Capa!$A:$Z,BQ$5,0))))</f>
        <v/>
      </c>
      <c r="BR43" s="125" t="str">
        <f>IF(BR$6="","",IF(BR$3="Maior",iferror(VLOOKUP($R42,Capa!$A:$Z,BR$5,0),0),IF(ISERROR(1/VLOOKUP($R42,Capa!$A:$Z,BR$5,0)),0,1/VLOOKUP($R42,Capa!$A:$Z,BR$5,0))))</f>
        <v/>
      </c>
      <c r="BS43" s="88"/>
    </row>
    <row r="44">
      <c r="G44" s="9"/>
      <c r="H44" s="7">
        <v>38.0</v>
      </c>
      <c r="I44" s="111" t="str">
        <f t="shared" si="7"/>
        <v>KNCR11</v>
      </c>
      <c r="J44" s="112" t="str">
        <f>VLOOKUP(I44,Capa!A:G,7,0)</f>
        <v>Recebíveis Imobiliários</v>
      </c>
      <c r="K44" s="113">
        <f t="shared" si="8"/>
        <v>0.9626855124</v>
      </c>
      <c r="L44" s="113">
        <f t="shared" si="9"/>
        <v>0.1307484099</v>
      </c>
      <c r="M44" s="113" t="str">
        <f t="shared" si="10"/>
        <v/>
      </c>
      <c r="N44" s="113" t="str">
        <f t="shared" si="11"/>
        <v/>
      </c>
      <c r="O44" s="114">
        <f t="shared" si="12"/>
        <v>11063586.71</v>
      </c>
      <c r="P44" s="9"/>
      <c r="Q44" s="9"/>
      <c r="R44" s="127" t="s">
        <v>74</v>
      </c>
      <c r="S44" s="116">
        <f t="shared" si="13"/>
        <v>129.012108</v>
      </c>
      <c r="T44" s="117">
        <f>MID(VLOOKUP($R44,'Dados ClubeFII'!$A:$AU,23,0),3,100)/1</f>
        <v>3134663.99</v>
      </c>
      <c r="U44" s="118">
        <f t="shared" si="14"/>
        <v>121.0121</v>
      </c>
      <c r="V44" s="118">
        <f t="shared" si="15"/>
        <v>8.000008</v>
      </c>
      <c r="W44" s="118" t="str">
        <f t="shared" ref="W44:AS44" si="53">IF(AV44="","", RANK(AV44,AV$7:AV$405,0))</f>
        <v/>
      </c>
      <c r="X44" s="118" t="str">
        <f t="shared" si="53"/>
        <v/>
      </c>
      <c r="Y44" s="118" t="str">
        <f t="shared" si="53"/>
        <v/>
      </c>
      <c r="Z44" s="118" t="str">
        <f t="shared" si="53"/>
        <v/>
      </c>
      <c r="AA44" s="118" t="str">
        <f t="shared" si="53"/>
        <v/>
      </c>
      <c r="AB44" s="118" t="str">
        <f t="shared" si="53"/>
        <v/>
      </c>
      <c r="AC44" s="118" t="str">
        <f t="shared" si="53"/>
        <v/>
      </c>
      <c r="AD44" s="118" t="str">
        <f t="shared" si="53"/>
        <v/>
      </c>
      <c r="AE44" s="118" t="str">
        <f t="shared" si="53"/>
        <v/>
      </c>
      <c r="AF44" s="118" t="str">
        <f t="shared" si="53"/>
        <v/>
      </c>
      <c r="AG44" s="118" t="str">
        <f t="shared" si="53"/>
        <v/>
      </c>
      <c r="AH44" s="118" t="str">
        <f t="shared" si="53"/>
        <v/>
      </c>
      <c r="AI44" s="118" t="str">
        <f t="shared" si="53"/>
        <v/>
      </c>
      <c r="AJ44" s="118" t="str">
        <f t="shared" si="53"/>
        <v/>
      </c>
      <c r="AK44" s="118" t="str">
        <f t="shared" si="53"/>
        <v/>
      </c>
      <c r="AL44" s="118" t="str">
        <f t="shared" si="53"/>
        <v/>
      </c>
      <c r="AM44" s="118" t="str">
        <f t="shared" si="53"/>
        <v/>
      </c>
      <c r="AN44" s="118" t="str">
        <f t="shared" si="53"/>
        <v/>
      </c>
      <c r="AO44" s="118" t="str">
        <f t="shared" si="53"/>
        <v/>
      </c>
      <c r="AP44" s="118" t="str">
        <f t="shared" si="53"/>
        <v/>
      </c>
      <c r="AQ44" s="118" t="str">
        <f t="shared" si="53"/>
        <v/>
      </c>
      <c r="AR44" s="118" t="str">
        <f t="shared" si="53"/>
        <v/>
      </c>
      <c r="AS44" s="118" t="str">
        <f t="shared" si="53"/>
        <v/>
      </c>
      <c r="AT44" s="123">
        <f>IF(AT$6="","",IF(AT$3="Maior",iferror(VLOOKUP($R44,Capa!$A:$Z,AT$5,0),0),IF(ISERROR(1/VLOOKUP($R44,Capa!$A:$Z,AT$5,0)),0,1/VLOOKUP($R44,Capa!$A:$Z,AT$5,0))))</f>
        <v>1.149209251</v>
      </c>
      <c r="AU44" s="124">
        <f>IF(AU$6="","",IF(AU$3="Maior",iferror(VLOOKUP($R44,Capa!$A:$Z,AU$5,0),0),IF(ISERROR(1/VLOOKUP($R44,Capa!$A:$Z,AU$5,0)),0,1/VLOOKUP($R44,Capa!$A:$Z,AU$5,0))))</f>
        <v>0.1649355454</v>
      </c>
      <c r="AV44" s="124" t="str">
        <f>IF(AV$6="","",IF(AV$3="Maior",iferror(VLOOKUP($R43,Capa!$A:$Z,AV$5,0),0),IF(ISERROR(1/VLOOKUP($R43,Capa!$A:$Z,AV$5,0)),0,1/VLOOKUP($R43,Capa!$A:$Z,AV$5,0))))</f>
        <v/>
      </c>
      <c r="AW44" s="124" t="str">
        <f>IF(AW$6="","",IF(AW$3="Maior",iferror(VLOOKUP($R43,Capa!$A:$Z,AW$5,0),0),IF(ISERROR(1/VLOOKUP($R43,Capa!$A:$Z,AW$5,0)),0,1/VLOOKUP($R43,Capa!$A:$Z,AW$5,0))))</f>
        <v/>
      </c>
      <c r="AX44" s="124" t="str">
        <f>IF(AX$6="","",IF(AX$3="Maior",iferror(VLOOKUP($R43,Capa!$A:$Z,AX$5,0),0),IF(ISERROR(1/VLOOKUP($R43,Capa!$A:$Z,AX$5,0)),0,1/VLOOKUP($R43,Capa!$A:$Z,AX$5,0))))</f>
        <v/>
      </c>
      <c r="AY44" s="124" t="str">
        <f>IF(AY$6="","",IF(AY$3="Maior",iferror(VLOOKUP($R43,Capa!$A:$Z,AY$5,0),0),IF(ISERROR(1/VLOOKUP($R43,Capa!$A:$Z,AY$5,0)),0,1/VLOOKUP($R43,Capa!$A:$Z,AY$5,0))))</f>
        <v/>
      </c>
      <c r="AZ44" s="124" t="str">
        <f>IF(AZ$6="","",IF(AZ$3="Maior",iferror(VLOOKUP($R43,Capa!$A:$Z,AZ$5,0),0),IF(ISERROR(1/VLOOKUP($R43,Capa!$A:$Z,AZ$5,0)),0,1/VLOOKUP($R43,Capa!$A:$Z,AZ$5,0))))</f>
        <v/>
      </c>
      <c r="BA44" s="124" t="str">
        <f>IF(BA$6="","",IF(BA$3="Maior",iferror(VLOOKUP($R43,Capa!$A:$Z,BA$5,0),0),IF(ISERROR(1/VLOOKUP($R43,Capa!$A:$Z,BA$5,0)),0,1/VLOOKUP($R43,Capa!$A:$Z,BA$5,0))))</f>
        <v/>
      </c>
      <c r="BB44" s="124" t="str">
        <f>IF(BB$6="","",IF(BB$3="Maior",iferror(VLOOKUP($R43,Capa!$A:$Z,BB$5,0),0),IF(ISERROR(1/VLOOKUP($R43,Capa!$A:$Z,BB$5,0)),0,1/VLOOKUP($R43,Capa!$A:$Z,BB$5,0))))</f>
        <v/>
      </c>
      <c r="BC44" s="124" t="str">
        <f>IF(BC$6="","",IF(BC$3="Maior",iferror(VLOOKUP($R43,Capa!$A:$Z,BC$5,0),0),IF(ISERROR(1/VLOOKUP($R43,Capa!$A:$Z,BC$5,0)),0,1/VLOOKUP($R43,Capa!$A:$Z,BC$5,0))))</f>
        <v/>
      </c>
      <c r="BD44" s="124" t="str">
        <f>IF(BD$6="","",IF(BD$3="Maior",iferror(VLOOKUP($R43,Capa!$A:$Z,BD$5,0),0),IF(ISERROR(1/VLOOKUP($R43,Capa!$A:$Z,BD$5,0)),0,1/VLOOKUP($R43,Capa!$A:$Z,BD$5,0))))</f>
        <v/>
      </c>
      <c r="BE44" s="124" t="str">
        <f>IF(BE$6="","",IF(BE$3="Maior",iferror(VLOOKUP($R43,Capa!$A:$Z,BE$5,0),0),IF(ISERROR(1/VLOOKUP($R43,Capa!$A:$Z,BE$5,0)),0,1/VLOOKUP($R43,Capa!$A:$Z,BE$5,0))))</f>
        <v/>
      </c>
      <c r="BF44" s="124" t="str">
        <f>IF(BF$6="","",IF(BF$3="Maior",iferror(VLOOKUP($R43,Capa!$A:$Z,BF$5,0),0),IF(ISERROR(1/VLOOKUP($R43,Capa!$A:$Z,BF$5,0)),0,1/VLOOKUP($R43,Capa!$A:$Z,BF$5,0))))</f>
        <v/>
      </c>
      <c r="BG44" s="124" t="str">
        <f>IF(BG$6="","",IF(BG$3="Maior",iferror(VLOOKUP($R43,Capa!$A:$Z,BG$5,0),0),IF(ISERROR(1/VLOOKUP($R43,Capa!$A:$Z,BG$5,0)),0,1/VLOOKUP($R43,Capa!$A:$Z,BG$5,0))))</f>
        <v/>
      </c>
      <c r="BH44" s="124" t="str">
        <f>IF(BH$6="","",IF(BH$3="Maior",iferror(VLOOKUP($R43,Capa!$A:$Z,BH$5,0),0),IF(ISERROR(1/VLOOKUP($R43,Capa!$A:$Z,BH$5,0)),0,1/VLOOKUP($R43,Capa!$A:$Z,BH$5,0))))</f>
        <v/>
      </c>
      <c r="BI44" s="124" t="str">
        <f>IF(BI$6="","",IF(BI$3="Maior",iferror(VLOOKUP($R43,Capa!$A:$Z,BI$5,0),0),IF(ISERROR(1/VLOOKUP($R43,Capa!$A:$Z,BI$5,0)),0,1/VLOOKUP($R43,Capa!$A:$Z,BI$5,0))))</f>
        <v/>
      </c>
      <c r="BJ44" s="124" t="str">
        <f>IF(BJ$6="","",IF(BJ$3="Maior",iferror(VLOOKUP($R43,Capa!$A:$Z,BJ$5,0),0),IF(ISERROR(1/VLOOKUP($R43,Capa!$A:$Z,BJ$5,0)),0,1/VLOOKUP($R43,Capa!$A:$Z,BJ$5,0))))</f>
        <v/>
      </c>
      <c r="BK44" s="124" t="str">
        <f>IF(BK$6="","",IF(BK$3="Maior",iferror(VLOOKUP($R43,Capa!$A:$Z,BK$5,0),0),IF(ISERROR(1/VLOOKUP($R43,Capa!$A:$Z,BK$5,0)),0,1/VLOOKUP($R43,Capa!$A:$Z,BK$5,0))))</f>
        <v/>
      </c>
      <c r="BL44" s="124" t="str">
        <f>IF(BL$6="","",IF(BL$3="Maior",iferror(VLOOKUP($R43,Capa!$A:$Z,BL$5,0),0),IF(ISERROR(1/VLOOKUP($R43,Capa!$A:$Z,BL$5,0)),0,1/VLOOKUP($R43,Capa!$A:$Z,BL$5,0))))</f>
        <v/>
      </c>
      <c r="BM44" s="124" t="str">
        <f>IF(BM$6="","",IF(BM$3="Maior",iferror(VLOOKUP($R43,Capa!$A:$Z,BM$5,0),0),IF(ISERROR(1/VLOOKUP($R43,Capa!$A:$Z,BM$5,0)),0,1/VLOOKUP($R43,Capa!$A:$Z,BM$5,0))))</f>
        <v/>
      </c>
      <c r="BN44" s="124" t="str">
        <f>IF(BN$6="","",IF(BN$3="Maior",iferror(VLOOKUP($R43,Capa!$A:$Z,BN$5,0),0),IF(ISERROR(1/VLOOKUP($R43,Capa!$A:$Z,BN$5,0)),0,1/VLOOKUP($R43,Capa!$A:$Z,BN$5,0))))</f>
        <v/>
      </c>
      <c r="BO44" s="124" t="str">
        <f>IF(BO$6="","",IF(BO$3="Maior",iferror(VLOOKUP($R43,Capa!$A:$Z,BO$5,0),0),IF(ISERROR(1/VLOOKUP($R43,Capa!$A:$Z,BO$5,0)),0,1/VLOOKUP($R43,Capa!$A:$Z,BO$5,0))))</f>
        <v/>
      </c>
      <c r="BP44" s="124" t="str">
        <f>IF(BP$6="","",IF(BP$3="Maior",iferror(VLOOKUP($R43,Capa!$A:$Z,BP$5,0),0),IF(ISERROR(1/VLOOKUP($R43,Capa!$A:$Z,BP$5,0)),0,1/VLOOKUP($R43,Capa!$A:$Z,BP$5,0))))</f>
        <v/>
      </c>
      <c r="BQ44" s="124" t="str">
        <f>IF(BQ$6="","",IF(BQ$3="Maior",iferror(VLOOKUP($R43,Capa!$A:$Z,BQ$5,0),0),IF(ISERROR(1/VLOOKUP($R43,Capa!$A:$Z,BQ$5,0)),0,1/VLOOKUP($R43,Capa!$A:$Z,BQ$5,0))))</f>
        <v/>
      </c>
      <c r="BR44" s="125" t="str">
        <f>IF(BR$6="","",IF(BR$3="Maior",iferror(VLOOKUP($R43,Capa!$A:$Z,BR$5,0),0),IF(ISERROR(1/VLOOKUP($R43,Capa!$A:$Z,BR$5,0)),0,1/VLOOKUP($R43,Capa!$A:$Z,BR$5,0))))</f>
        <v/>
      </c>
      <c r="BS44" s="88"/>
    </row>
    <row r="45">
      <c r="G45" s="9"/>
      <c r="H45" s="7">
        <v>39.0</v>
      </c>
      <c r="I45" s="129" t="str">
        <f t="shared" si="7"/>
        <v>HGBS11</v>
      </c>
      <c r="J45" s="112" t="str">
        <f>VLOOKUP(I45,Capa!A:G,7,0)</f>
        <v>Shopping/Varejo</v>
      </c>
      <c r="K45" s="113">
        <f t="shared" si="8"/>
        <v>0.802996988</v>
      </c>
      <c r="L45" s="113">
        <f t="shared" si="9"/>
        <v>0.0861486892</v>
      </c>
      <c r="M45" s="113" t="str">
        <f t="shared" si="10"/>
        <v/>
      </c>
      <c r="N45" s="113" t="str">
        <f t="shared" si="11"/>
        <v/>
      </c>
      <c r="O45" s="114">
        <f t="shared" si="12"/>
        <v>1531722.07</v>
      </c>
      <c r="P45" s="9"/>
      <c r="Q45" s="9"/>
      <c r="R45" s="127" t="s">
        <v>75</v>
      </c>
      <c r="S45" s="116">
        <f t="shared" si="13"/>
        <v>1172.01027</v>
      </c>
      <c r="T45" s="117">
        <f>MID(VLOOKUP($R45,'Dados ClubeFII'!$A:$AU,23,0),3,100)/1</f>
        <v>80490.88</v>
      </c>
      <c r="U45" s="118">
        <f t="shared" si="14"/>
        <v>102.0102</v>
      </c>
      <c r="V45" s="118">
        <f t="shared" si="15"/>
        <v>70.00007</v>
      </c>
      <c r="W45" s="118" t="str">
        <f t="shared" ref="W45:AS45" si="54">IF(AV45="","", RANK(AV45,AV$7:AV$405,0))</f>
        <v/>
      </c>
      <c r="X45" s="118" t="str">
        <f t="shared" si="54"/>
        <v/>
      </c>
      <c r="Y45" s="118" t="str">
        <f t="shared" si="54"/>
        <v/>
      </c>
      <c r="Z45" s="118" t="str">
        <f t="shared" si="54"/>
        <v/>
      </c>
      <c r="AA45" s="118" t="str">
        <f t="shared" si="54"/>
        <v/>
      </c>
      <c r="AB45" s="118" t="str">
        <f t="shared" si="54"/>
        <v/>
      </c>
      <c r="AC45" s="118" t="str">
        <f t="shared" si="54"/>
        <v/>
      </c>
      <c r="AD45" s="118" t="str">
        <f t="shared" si="54"/>
        <v/>
      </c>
      <c r="AE45" s="118" t="str">
        <f t="shared" si="54"/>
        <v/>
      </c>
      <c r="AF45" s="118" t="str">
        <f t="shared" si="54"/>
        <v/>
      </c>
      <c r="AG45" s="118" t="str">
        <f t="shared" si="54"/>
        <v/>
      </c>
      <c r="AH45" s="118" t="str">
        <f t="shared" si="54"/>
        <v/>
      </c>
      <c r="AI45" s="118" t="str">
        <f t="shared" si="54"/>
        <v/>
      </c>
      <c r="AJ45" s="118" t="str">
        <f t="shared" si="54"/>
        <v/>
      </c>
      <c r="AK45" s="118" t="str">
        <f t="shared" si="54"/>
        <v/>
      </c>
      <c r="AL45" s="118" t="str">
        <f t="shared" si="54"/>
        <v/>
      </c>
      <c r="AM45" s="118" t="str">
        <f t="shared" si="54"/>
        <v/>
      </c>
      <c r="AN45" s="118" t="str">
        <f t="shared" si="54"/>
        <v/>
      </c>
      <c r="AO45" s="118" t="str">
        <f t="shared" si="54"/>
        <v/>
      </c>
      <c r="AP45" s="118" t="str">
        <f t="shared" si="54"/>
        <v/>
      </c>
      <c r="AQ45" s="118" t="str">
        <f t="shared" si="54"/>
        <v/>
      </c>
      <c r="AR45" s="118" t="str">
        <f t="shared" si="54"/>
        <v/>
      </c>
      <c r="AS45" s="118" t="str">
        <f t="shared" si="54"/>
        <v/>
      </c>
      <c r="AT45" s="123">
        <f>IF(AT$6="","",IF(AT$3="Maior",iferror(VLOOKUP($R45,Capa!$A:$Z,AT$5,0),0),IF(ISERROR(1/VLOOKUP($R45,Capa!$A:$Z,AT$5,0)),0,1/VLOOKUP($R45,Capa!$A:$Z,AT$5,0))))</f>
        <v>1.186730506</v>
      </c>
      <c r="AU45" s="124">
        <f>IF(AU$6="","",IF(AU$3="Maior",iferror(VLOOKUP($R45,Capa!$A:$Z,AU$5,0),0),IF(ISERROR(1/VLOOKUP($R45,Capa!$A:$Z,AU$5,0)),0,1/VLOOKUP($R45,Capa!$A:$Z,AU$5,0))))</f>
        <v>0.1247123919</v>
      </c>
      <c r="AV45" s="124" t="str">
        <f>IF(AV$6="","",IF(AV$3="Maior",iferror(VLOOKUP($R44,Capa!$A:$Z,AV$5,0),0),IF(ISERROR(1/VLOOKUP($R44,Capa!$A:$Z,AV$5,0)),0,1/VLOOKUP($R44,Capa!$A:$Z,AV$5,0))))</f>
        <v/>
      </c>
      <c r="AW45" s="124" t="str">
        <f>IF(AW$6="","",IF(AW$3="Maior",iferror(VLOOKUP($R44,Capa!$A:$Z,AW$5,0),0),IF(ISERROR(1/VLOOKUP($R44,Capa!$A:$Z,AW$5,0)),0,1/VLOOKUP($R44,Capa!$A:$Z,AW$5,0))))</f>
        <v/>
      </c>
      <c r="AX45" s="124" t="str">
        <f>IF(AX$6="","",IF(AX$3="Maior",iferror(VLOOKUP($R44,Capa!$A:$Z,AX$5,0),0),IF(ISERROR(1/VLOOKUP($R44,Capa!$A:$Z,AX$5,0)),0,1/VLOOKUP($R44,Capa!$A:$Z,AX$5,0))))</f>
        <v/>
      </c>
      <c r="AY45" s="124" t="str">
        <f>IF(AY$6="","",IF(AY$3="Maior",iferror(VLOOKUP($R44,Capa!$A:$Z,AY$5,0),0),IF(ISERROR(1/VLOOKUP($R44,Capa!$A:$Z,AY$5,0)),0,1/VLOOKUP($R44,Capa!$A:$Z,AY$5,0))))</f>
        <v/>
      </c>
      <c r="AZ45" s="124" t="str">
        <f>IF(AZ$6="","",IF(AZ$3="Maior",iferror(VLOOKUP($R44,Capa!$A:$Z,AZ$5,0),0),IF(ISERROR(1/VLOOKUP($R44,Capa!$A:$Z,AZ$5,0)),0,1/VLOOKUP($R44,Capa!$A:$Z,AZ$5,0))))</f>
        <v/>
      </c>
      <c r="BA45" s="124" t="str">
        <f>IF(BA$6="","",IF(BA$3="Maior",iferror(VLOOKUP($R44,Capa!$A:$Z,BA$5,0),0),IF(ISERROR(1/VLOOKUP($R44,Capa!$A:$Z,BA$5,0)),0,1/VLOOKUP($R44,Capa!$A:$Z,BA$5,0))))</f>
        <v/>
      </c>
      <c r="BB45" s="124" t="str">
        <f>IF(BB$6="","",IF(BB$3="Maior",iferror(VLOOKUP($R44,Capa!$A:$Z,BB$5,0),0),IF(ISERROR(1/VLOOKUP($R44,Capa!$A:$Z,BB$5,0)),0,1/VLOOKUP($R44,Capa!$A:$Z,BB$5,0))))</f>
        <v/>
      </c>
      <c r="BC45" s="124" t="str">
        <f>IF(BC$6="","",IF(BC$3="Maior",iferror(VLOOKUP($R44,Capa!$A:$Z,BC$5,0),0),IF(ISERROR(1/VLOOKUP($R44,Capa!$A:$Z,BC$5,0)),0,1/VLOOKUP($R44,Capa!$A:$Z,BC$5,0))))</f>
        <v/>
      </c>
      <c r="BD45" s="124" t="str">
        <f>IF(BD$6="","",IF(BD$3="Maior",iferror(VLOOKUP($R44,Capa!$A:$Z,BD$5,0),0),IF(ISERROR(1/VLOOKUP($R44,Capa!$A:$Z,BD$5,0)),0,1/VLOOKUP($R44,Capa!$A:$Z,BD$5,0))))</f>
        <v/>
      </c>
      <c r="BE45" s="124" t="str">
        <f>IF(BE$6="","",IF(BE$3="Maior",iferror(VLOOKUP($R44,Capa!$A:$Z,BE$5,0),0),IF(ISERROR(1/VLOOKUP($R44,Capa!$A:$Z,BE$5,0)),0,1/VLOOKUP($R44,Capa!$A:$Z,BE$5,0))))</f>
        <v/>
      </c>
      <c r="BF45" s="124" t="str">
        <f>IF(BF$6="","",IF(BF$3="Maior",iferror(VLOOKUP($R44,Capa!$A:$Z,BF$5,0),0),IF(ISERROR(1/VLOOKUP($R44,Capa!$A:$Z,BF$5,0)),0,1/VLOOKUP($R44,Capa!$A:$Z,BF$5,0))))</f>
        <v/>
      </c>
      <c r="BG45" s="124" t="str">
        <f>IF(BG$6="","",IF(BG$3="Maior",iferror(VLOOKUP($R44,Capa!$A:$Z,BG$5,0),0),IF(ISERROR(1/VLOOKUP($R44,Capa!$A:$Z,BG$5,0)),0,1/VLOOKUP($R44,Capa!$A:$Z,BG$5,0))))</f>
        <v/>
      </c>
      <c r="BH45" s="124" t="str">
        <f>IF(BH$6="","",IF(BH$3="Maior",iferror(VLOOKUP($R44,Capa!$A:$Z,BH$5,0),0),IF(ISERROR(1/VLOOKUP($R44,Capa!$A:$Z,BH$5,0)),0,1/VLOOKUP($R44,Capa!$A:$Z,BH$5,0))))</f>
        <v/>
      </c>
      <c r="BI45" s="124" t="str">
        <f>IF(BI$6="","",IF(BI$3="Maior",iferror(VLOOKUP($R44,Capa!$A:$Z,BI$5,0),0),IF(ISERROR(1/VLOOKUP($R44,Capa!$A:$Z,BI$5,0)),0,1/VLOOKUP($R44,Capa!$A:$Z,BI$5,0))))</f>
        <v/>
      </c>
      <c r="BJ45" s="124" t="str">
        <f>IF(BJ$6="","",IF(BJ$3="Maior",iferror(VLOOKUP($R44,Capa!$A:$Z,BJ$5,0),0),IF(ISERROR(1/VLOOKUP($R44,Capa!$A:$Z,BJ$5,0)),0,1/VLOOKUP($R44,Capa!$A:$Z,BJ$5,0))))</f>
        <v/>
      </c>
      <c r="BK45" s="124" t="str">
        <f>IF(BK$6="","",IF(BK$3="Maior",iferror(VLOOKUP($R44,Capa!$A:$Z,BK$5,0),0),IF(ISERROR(1/VLOOKUP($R44,Capa!$A:$Z,BK$5,0)),0,1/VLOOKUP($R44,Capa!$A:$Z,BK$5,0))))</f>
        <v/>
      </c>
      <c r="BL45" s="124" t="str">
        <f>IF(BL$6="","",IF(BL$3="Maior",iferror(VLOOKUP($R44,Capa!$A:$Z,BL$5,0),0),IF(ISERROR(1/VLOOKUP($R44,Capa!$A:$Z,BL$5,0)),0,1/VLOOKUP($R44,Capa!$A:$Z,BL$5,0))))</f>
        <v/>
      </c>
      <c r="BM45" s="124" t="str">
        <f>IF(BM$6="","",IF(BM$3="Maior",iferror(VLOOKUP($R44,Capa!$A:$Z,BM$5,0),0),IF(ISERROR(1/VLOOKUP($R44,Capa!$A:$Z,BM$5,0)),0,1/VLOOKUP($R44,Capa!$A:$Z,BM$5,0))))</f>
        <v/>
      </c>
      <c r="BN45" s="124" t="str">
        <f>IF(BN$6="","",IF(BN$3="Maior",iferror(VLOOKUP($R44,Capa!$A:$Z,BN$5,0),0),IF(ISERROR(1/VLOOKUP($R44,Capa!$A:$Z,BN$5,0)),0,1/VLOOKUP($R44,Capa!$A:$Z,BN$5,0))))</f>
        <v/>
      </c>
      <c r="BO45" s="124" t="str">
        <f>IF(BO$6="","",IF(BO$3="Maior",iferror(VLOOKUP($R44,Capa!$A:$Z,BO$5,0),0),IF(ISERROR(1/VLOOKUP($R44,Capa!$A:$Z,BO$5,0)),0,1/VLOOKUP($R44,Capa!$A:$Z,BO$5,0))))</f>
        <v/>
      </c>
      <c r="BP45" s="124" t="str">
        <f>IF(BP$6="","",IF(BP$3="Maior",iferror(VLOOKUP($R44,Capa!$A:$Z,BP$5,0),0),IF(ISERROR(1/VLOOKUP($R44,Capa!$A:$Z,BP$5,0)),0,1/VLOOKUP($R44,Capa!$A:$Z,BP$5,0))))</f>
        <v/>
      </c>
      <c r="BQ45" s="124" t="str">
        <f>IF(BQ$6="","",IF(BQ$3="Maior",iferror(VLOOKUP($R44,Capa!$A:$Z,BQ$5,0),0),IF(ISERROR(1/VLOOKUP($R44,Capa!$A:$Z,BQ$5,0)),0,1/VLOOKUP($R44,Capa!$A:$Z,BQ$5,0))))</f>
        <v/>
      </c>
      <c r="BR45" s="125" t="str">
        <f>IF(BR$6="","",IF(BR$3="Maior",iferror(VLOOKUP($R44,Capa!$A:$Z,BR$5,0),0),IF(ISERROR(1/VLOOKUP($R44,Capa!$A:$Z,BR$5,0)),0,1/VLOOKUP($R44,Capa!$A:$Z,BR$5,0))))</f>
        <v/>
      </c>
      <c r="BS45" s="88"/>
    </row>
    <row r="46">
      <c r="G46" s="9"/>
      <c r="H46" s="7">
        <v>40.0</v>
      </c>
      <c r="I46" s="111" t="str">
        <f t="shared" si="7"/>
        <v>KNSC11</v>
      </c>
      <c r="J46" s="112" t="str">
        <f>VLOOKUP(I46,Capa!A:G,7,0)</f>
        <v>Recebíveis Imobiliários</v>
      </c>
      <c r="K46" s="113">
        <f t="shared" si="8"/>
        <v>0.9727148688</v>
      </c>
      <c r="L46" s="113">
        <f t="shared" si="9"/>
        <v>0.1301632886</v>
      </c>
      <c r="M46" s="113" t="str">
        <f t="shared" si="10"/>
        <v/>
      </c>
      <c r="N46" s="113" t="str">
        <f t="shared" si="11"/>
        <v/>
      </c>
      <c r="O46" s="114">
        <f t="shared" si="12"/>
        <v>4112312.58</v>
      </c>
      <c r="P46" s="9"/>
      <c r="Q46" s="9"/>
      <c r="R46" s="127" t="s">
        <v>61</v>
      </c>
      <c r="S46" s="116">
        <f t="shared" si="13"/>
        <v>1164.014519</v>
      </c>
      <c r="T46" s="117">
        <f>MID(VLOOKUP($R46,'Dados ClubeFII'!$A:$AU,23,0),3,100)/1</f>
        <v>373357.09</v>
      </c>
      <c r="U46" s="118">
        <f t="shared" si="14"/>
        <v>145.0145</v>
      </c>
      <c r="V46" s="118">
        <f t="shared" si="15"/>
        <v>19.000019</v>
      </c>
      <c r="W46" s="118" t="str">
        <f t="shared" ref="W46:AS46" si="55">IF(AV46="","", RANK(AV46,AV$7:AV$405,0))</f>
        <v/>
      </c>
      <c r="X46" s="118" t="str">
        <f t="shared" si="55"/>
        <v/>
      </c>
      <c r="Y46" s="118" t="str">
        <f t="shared" si="55"/>
        <v/>
      </c>
      <c r="Z46" s="118" t="str">
        <f t="shared" si="55"/>
        <v/>
      </c>
      <c r="AA46" s="118" t="str">
        <f t="shared" si="55"/>
        <v/>
      </c>
      <c r="AB46" s="118" t="str">
        <f t="shared" si="55"/>
        <v/>
      </c>
      <c r="AC46" s="118" t="str">
        <f t="shared" si="55"/>
        <v/>
      </c>
      <c r="AD46" s="118" t="str">
        <f t="shared" si="55"/>
        <v/>
      </c>
      <c r="AE46" s="118" t="str">
        <f t="shared" si="55"/>
        <v/>
      </c>
      <c r="AF46" s="118" t="str">
        <f t="shared" si="55"/>
        <v/>
      </c>
      <c r="AG46" s="118" t="str">
        <f t="shared" si="55"/>
        <v/>
      </c>
      <c r="AH46" s="118" t="str">
        <f t="shared" si="55"/>
        <v/>
      </c>
      <c r="AI46" s="118" t="str">
        <f t="shared" si="55"/>
        <v/>
      </c>
      <c r="AJ46" s="118" t="str">
        <f t="shared" si="55"/>
        <v/>
      </c>
      <c r="AK46" s="118" t="str">
        <f t="shared" si="55"/>
        <v/>
      </c>
      <c r="AL46" s="118" t="str">
        <f t="shared" si="55"/>
        <v/>
      </c>
      <c r="AM46" s="118" t="str">
        <f t="shared" si="55"/>
        <v/>
      </c>
      <c r="AN46" s="118" t="str">
        <f t="shared" si="55"/>
        <v/>
      </c>
      <c r="AO46" s="118" t="str">
        <f t="shared" si="55"/>
        <v/>
      </c>
      <c r="AP46" s="118" t="str">
        <f t="shared" si="55"/>
        <v/>
      </c>
      <c r="AQ46" s="118" t="str">
        <f t="shared" si="55"/>
        <v/>
      </c>
      <c r="AR46" s="118" t="str">
        <f t="shared" si="55"/>
        <v/>
      </c>
      <c r="AS46" s="118" t="str">
        <f t="shared" si="55"/>
        <v/>
      </c>
      <c r="AT46" s="123">
        <f>IF(AT$6="","",IF(AT$3="Maior",iferror(VLOOKUP($R46,Capa!$A:$Z,AT$5,0),0),IF(ISERROR(1/VLOOKUP($R46,Capa!$A:$Z,AT$5,0)),0,1/VLOOKUP($R46,Capa!$A:$Z,AT$5,0))))</f>
        <v>1.080415491</v>
      </c>
      <c r="AU46" s="124">
        <f>IF(AU$6="","",IF(AU$3="Maior",iferror(VLOOKUP($R46,Capa!$A:$Z,AU$5,0),0),IF(ISERROR(1/VLOOKUP($R46,Capa!$A:$Z,AU$5,0)),0,1/VLOOKUP($R46,Capa!$A:$Z,AU$5,0))))</f>
        <v>0.1540625938</v>
      </c>
      <c r="AV46" s="124" t="str">
        <f>IF(AV$6="","",IF(AV$3="Maior",iferror(VLOOKUP($R45,Capa!$A:$Z,AV$5,0),0),IF(ISERROR(1/VLOOKUP($R45,Capa!$A:$Z,AV$5,0)),0,1/VLOOKUP($R45,Capa!$A:$Z,AV$5,0))))</f>
        <v/>
      </c>
      <c r="AW46" s="124" t="str">
        <f>IF(AW$6="","",IF(AW$3="Maior",iferror(VLOOKUP($R45,Capa!$A:$Z,AW$5,0),0),IF(ISERROR(1/VLOOKUP($R45,Capa!$A:$Z,AW$5,0)),0,1/VLOOKUP($R45,Capa!$A:$Z,AW$5,0))))</f>
        <v/>
      </c>
      <c r="AX46" s="124" t="str">
        <f>IF(AX$6="","",IF(AX$3="Maior",iferror(VLOOKUP($R45,Capa!$A:$Z,AX$5,0),0),IF(ISERROR(1/VLOOKUP($R45,Capa!$A:$Z,AX$5,0)),0,1/VLOOKUP($R45,Capa!$A:$Z,AX$5,0))))</f>
        <v/>
      </c>
      <c r="AY46" s="124" t="str">
        <f>IF(AY$6="","",IF(AY$3="Maior",iferror(VLOOKUP($R45,Capa!$A:$Z,AY$5,0),0),IF(ISERROR(1/VLOOKUP($R45,Capa!$A:$Z,AY$5,0)),0,1/VLOOKUP($R45,Capa!$A:$Z,AY$5,0))))</f>
        <v/>
      </c>
      <c r="AZ46" s="124" t="str">
        <f>IF(AZ$6="","",IF(AZ$3="Maior",iferror(VLOOKUP($R45,Capa!$A:$Z,AZ$5,0),0),IF(ISERROR(1/VLOOKUP($R45,Capa!$A:$Z,AZ$5,0)),0,1/VLOOKUP($R45,Capa!$A:$Z,AZ$5,0))))</f>
        <v/>
      </c>
      <c r="BA46" s="124" t="str">
        <f>IF(BA$6="","",IF(BA$3="Maior",iferror(VLOOKUP($R45,Capa!$A:$Z,BA$5,0),0),IF(ISERROR(1/VLOOKUP($R45,Capa!$A:$Z,BA$5,0)),0,1/VLOOKUP($R45,Capa!$A:$Z,BA$5,0))))</f>
        <v/>
      </c>
      <c r="BB46" s="124" t="str">
        <f>IF(BB$6="","",IF(BB$3="Maior",iferror(VLOOKUP($R45,Capa!$A:$Z,BB$5,0),0),IF(ISERROR(1/VLOOKUP($R45,Capa!$A:$Z,BB$5,0)),0,1/VLOOKUP($R45,Capa!$A:$Z,BB$5,0))))</f>
        <v/>
      </c>
      <c r="BC46" s="124" t="str">
        <f>IF(BC$6="","",IF(BC$3="Maior",iferror(VLOOKUP($R45,Capa!$A:$Z,BC$5,0),0),IF(ISERROR(1/VLOOKUP($R45,Capa!$A:$Z,BC$5,0)),0,1/VLOOKUP($R45,Capa!$A:$Z,BC$5,0))))</f>
        <v/>
      </c>
      <c r="BD46" s="124" t="str">
        <f>IF(BD$6="","",IF(BD$3="Maior",iferror(VLOOKUP($R45,Capa!$A:$Z,BD$5,0),0),IF(ISERROR(1/VLOOKUP($R45,Capa!$A:$Z,BD$5,0)),0,1/VLOOKUP($R45,Capa!$A:$Z,BD$5,0))))</f>
        <v/>
      </c>
      <c r="BE46" s="124" t="str">
        <f>IF(BE$6="","",IF(BE$3="Maior",iferror(VLOOKUP($R45,Capa!$A:$Z,BE$5,0),0),IF(ISERROR(1/VLOOKUP($R45,Capa!$A:$Z,BE$5,0)),0,1/VLOOKUP($R45,Capa!$A:$Z,BE$5,0))))</f>
        <v/>
      </c>
      <c r="BF46" s="124" t="str">
        <f>IF(BF$6="","",IF(BF$3="Maior",iferror(VLOOKUP($R45,Capa!$A:$Z,BF$5,0),0),IF(ISERROR(1/VLOOKUP($R45,Capa!$A:$Z,BF$5,0)),0,1/VLOOKUP($R45,Capa!$A:$Z,BF$5,0))))</f>
        <v/>
      </c>
      <c r="BG46" s="124" t="str">
        <f>IF(BG$6="","",IF(BG$3="Maior",iferror(VLOOKUP($R45,Capa!$A:$Z,BG$5,0),0),IF(ISERROR(1/VLOOKUP($R45,Capa!$A:$Z,BG$5,0)),0,1/VLOOKUP($R45,Capa!$A:$Z,BG$5,0))))</f>
        <v/>
      </c>
      <c r="BH46" s="124" t="str">
        <f>IF(BH$6="","",IF(BH$3="Maior",iferror(VLOOKUP($R45,Capa!$A:$Z,BH$5,0),0),IF(ISERROR(1/VLOOKUP($R45,Capa!$A:$Z,BH$5,0)),0,1/VLOOKUP($R45,Capa!$A:$Z,BH$5,0))))</f>
        <v/>
      </c>
      <c r="BI46" s="124" t="str">
        <f>IF(BI$6="","",IF(BI$3="Maior",iferror(VLOOKUP($R45,Capa!$A:$Z,BI$5,0),0),IF(ISERROR(1/VLOOKUP($R45,Capa!$A:$Z,BI$5,0)),0,1/VLOOKUP($R45,Capa!$A:$Z,BI$5,0))))</f>
        <v/>
      </c>
      <c r="BJ46" s="124" t="str">
        <f>IF(BJ$6="","",IF(BJ$3="Maior",iferror(VLOOKUP($R45,Capa!$A:$Z,BJ$5,0),0),IF(ISERROR(1/VLOOKUP($R45,Capa!$A:$Z,BJ$5,0)),0,1/VLOOKUP($R45,Capa!$A:$Z,BJ$5,0))))</f>
        <v/>
      </c>
      <c r="BK46" s="124" t="str">
        <f>IF(BK$6="","",IF(BK$3="Maior",iferror(VLOOKUP($R45,Capa!$A:$Z,BK$5,0),0),IF(ISERROR(1/VLOOKUP($R45,Capa!$A:$Z,BK$5,0)),0,1/VLOOKUP($R45,Capa!$A:$Z,BK$5,0))))</f>
        <v/>
      </c>
      <c r="BL46" s="124" t="str">
        <f>IF(BL$6="","",IF(BL$3="Maior",iferror(VLOOKUP($R45,Capa!$A:$Z,BL$5,0),0),IF(ISERROR(1/VLOOKUP($R45,Capa!$A:$Z,BL$5,0)),0,1/VLOOKUP($R45,Capa!$A:$Z,BL$5,0))))</f>
        <v/>
      </c>
      <c r="BM46" s="124" t="str">
        <f>IF(BM$6="","",IF(BM$3="Maior",iferror(VLOOKUP($R45,Capa!$A:$Z,BM$5,0),0),IF(ISERROR(1/VLOOKUP($R45,Capa!$A:$Z,BM$5,0)),0,1/VLOOKUP($R45,Capa!$A:$Z,BM$5,0))))</f>
        <v/>
      </c>
      <c r="BN46" s="124" t="str">
        <f>IF(BN$6="","",IF(BN$3="Maior",iferror(VLOOKUP($R45,Capa!$A:$Z,BN$5,0),0),IF(ISERROR(1/VLOOKUP($R45,Capa!$A:$Z,BN$5,0)),0,1/VLOOKUP($R45,Capa!$A:$Z,BN$5,0))))</f>
        <v/>
      </c>
      <c r="BO46" s="124" t="str">
        <f>IF(BO$6="","",IF(BO$3="Maior",iferror(VLOOKUP($R45,Capa!$A:$Z,BO$5,0),0),IF(ISERROR(1/VLOOKUP($R45,Capa!$A:$Z,BO$5,0)),0,1/VLOOKUP($R45,Capa!$A:$Z,BO$5,0))))</f>
        <v/>
      </c>
      <c r="BP46" s="124" t="str">
        <f>IF(BP$6="","",IF(BP$3="Maior",iferror(VLOOKUP($R45,Capa!$A:$Z,BP$5,0),0),IF(ISERROR(1/VLOOKUP($R45,Capa!$A:$Z,BP$5,0)),0,1/VLOOKUP($R45,Capa!$A:$Z,BP$5,0))))</f>
        <v/>
      </c>
      <c r="BQ46" s="124" t="str">
        <f>IF(BQ$6="","",IF(BQ$3="Maior",iferror(VLOOKUP($R45,Capa!$A:$Z,BQ$5,0),0),IF(ISERROR(1/VLOOKUP($R45,Capa!$A:$Z,BQ$5,0)),0,1/VLOOKUP($R45,Capa!$A:$Z,BQ$5,0))))</f>
        <v/>
      </c>
      <c r="BR46" s="125" t="str">
        <f>IF(BR$6="","",IF(BR$3="Maior",iferror(VLOOKUP($R45,Capa!$A:$Z,BR$5,0),0),IF(ISERROR(1/VLOOKUP($R45,Capa!$A:$Z,BR$5,0)),0,1/VLOOKUP($R45,Capa!$A:$Z,BR$5,0))))</f>
        <v/>
      </c>
      <c r="BS46" s="88"/>
    </row>
    <row r="47">
      <c r="G47" s="9"/>
      <c r="H47" s="7">
        <v>41.0</v>
      </c>
      <c r="I47" s="111" t="str">
        <f t="shared" si="7"/>
        <v>HGCR11</v>
      </c>
      <c r="J47" s="112" t="str">
        <f>VLOOKUP(I47,Capa!A:G,7,0)</f>
        <v>Recebíveis Imobiliários</v>
      </c>
      <c r="K47" s="113">
        <f t="shared" si="8"/>
        <v>1.008044493</v>
      </c>
      <c r="L47" s="113">
        <f t="shared" si="9"/>
        <v>0.1397149667</v>
      </c>
      <c r="M47" s="113" t="str">
        <f t="shared" si="10"/>
        <v/>
      </c>
      <c r="N47" s="113" t="str">
        <f t="shared" si="11"/>
        <v/>
      </c>
      <c r="O47" s="114">
        <f t="shared" si="12"/>
        <v>4194440.42</v>
      </c>
      <c r="P47" s="9"/>
      <c r="Q47" s="9"/>
      <c r="R47" s="115" t="s">
        <v>60</v>
      </c>
      <c r="S47" s="116">
        <f t="shared" si="13"/>
        <v>1177.01176</v>
      </c>
      <c r="T47" s="117">
        <f>MID(VLOOKUP($R47,'Dados ClubeFII'!$A:$AU,23,0),3,100)/1</f>
        <v>848917.32</v>
      </c>
      <c r="U47" s="118">
        <f t="shared" si="14"/>
        <v>117.0117</v>
      </c>
      <c r="V47" s="118">
        <f t="shared" si="15"/>
        <v>60.00006</v>
      </c>
      <c r="W47" s="118" t="str">
        <f t="shared" ref="W47:AS47" si="56">IF(AV47="","", RANK(AV47,AV$7:AV$405,0))</f>
        <v/>
      </c>
      <c r="X47" s="118" t="str">
        <f t="shared" si="56"/>
        <v/>
      </c>
      <c r="Y47" s="118" t="str">
        <f t="shared" si="56"/>
        <v/>
      </c>
      <c r="Z47" s="118" t="str">
        <f t="shared" si="56"/>
        <v/>
      </c>
      <c r="AA47" s="118" t="str">
        <f t="shared" si="56"/>
        <v/>
      </c>
      <c r="AB47" s="118" t="str">
        <f t="shared" si="56"/>
        <v/>
      </c>
      <c r="AC47" s="118" t="str">
        <f t="shared" si="56"/>
        <v/>
      </c>
      <c r="AD47" s="118" t="str">
        <f t="shared" si="56"/>
        <v/>
      </c>
      <c r="AE47" s="118" t="str">
        <f t="shared" si="56"/>
        <v/>
      </c>
      <c r="AF47" s="118" t="str">
        <f t="shared" si="56"/>
        <v/>
      </c>
      <c r="AG47" s="118" t="str">
        <f t="shared" si="56"/>
        <v/>
      </c>
      <c r="AH47" s="118" t="str">
        <f t="shared" si="56"/>
        <v/>
      </c>
      <c r="AI47" s="118" t="str">
        <f t="shared" si="56"/>
        <v/>
      </c>
      <c r="AJ47" s="118" t="str">
        <f t="shared" si="56"/>
        <v/>
      </c>
      <c r="AK47" s="118" t="str">
        <f t="shared" si="56"/>
        <v/>
      </c>
      <c r="AL47" s="118" t="str">
        <f t="shared" si="56"/>
        <v/>
      </c>
      <c r="AM47" s="118" t="str">
        <f t="shared" si="56"/>
        <v/>
      </c>
      <c r="AN47" s="118" t="str">
        <f t="shared" si="56"/>
        <v/>
      </c>
      <c r="AO47" s="118" t="str">
        <f t="shared" si="56"/>
        <v/>
      </c>
      <c r="AP47" s="118" t="str">
        <f t="shared" si="56"/>
        <v/>
      </c>
      <c r="AQ47" s="118" t="str">
        <f t="shared" si="56"/>
        <v/>
      </c>
      <c r="AR47" s="118" t="str">
        <f t="shared" si="56"/>
        <v/>
      </c>
      <c r="AS47" s="118" t="str">
        <f t="shared" si="56"/>
        <v/>
      </c>
      <c r="AT47" s="123">
        <f>IF(AT$6="","",IF(AT$3="Maior",iferror(VLOOKUP($R47,Capa!$A:$Z,AT$5,0),0),IF(ISERROR(1/VLOOKUP($R47,Capa!$A:$Z,AT$5,0)),0,1/VLOOKUP($R47,Capa!$A:$Z,AT$5,0))))</f>
        <v>1.156468489</v>
      </c>
      <c r="AU47" s="124">
        <f>IF(AU$6="","",IF(AU$3="Maior",iferror(VLOOKUP($R47,Capa!$A:$Z,AU$5,0),0),IF(ISERROR(1/VLOOKUP($R47,Capa!$A:$Z,AU$5,0)),0,1/VLOOKUP($R47,Capa!$A:$Z,AU$5,0))))</f>
        <v>0.1294070473</v>
      </c>
      <c r="AV47" s="124" t="str">
        <f>IF(AV$6="","",IF(AV$3="Maior",iferror(VLOOKUP($R46,Capa!$A:$Z,AV$5,0),0),IF(ISERROR(1/VLOOKUP($R46,Capa!$A:$Z,AV$5,0)),0,1/VLOOKUP($R46,Capa!$A:$Z,AV$5,0))))</f>
        <v/>
      </c>
      <c r="AW47" s="124" t="str">
        <f>IF(AW$6="","",IF(AW$3="Maior",iferror(VLOOKUP($R46,Capa!$A:$Z,AW$5,0),0),IF(ISERROR(1/VLOOKUP($R46,Capa!$A:$Z,AW$5,0)),0,1/VLOOKUP($R46,Capa!$A:$Z,AW$5,0))))</f>
        <v/>
      </c>
      <c r="AX47" s="124" t="str">
        <f>IF(AX$6="","",IF(AX$3="Maior",iferror(VLOOKUP($R46,Capa!$A:$Z,AX$5,0),0),IF(ISERROR(1/VLOOKUP($R46,Capa!$A:$Z,AX$5,0)),0,1/VLOOKUP($R46,Capa!$A:$Z,AX$5,0))))</f>
        <v/>
      </c>
      <c r="AY47" s="124" t="str">
        <f>IF(AY$6="","",IF(AY$3="Maior",iferror(VLOOKUP($R46,Capa!$A:$Z,AY$5,0),0),IF(ISERROR(1/VLOOKUP($R46,Capa!$A:$Z,AY$5,0)),0,1/VLOOKUP($R46,Capa!$A:$Z,AY$5,0))))</f>
        <v/>
      </c>
      <c r="AZ47" s="124" t="str">
        <f>IF(AZ$6="","",IF(AZ$3="Maior",iferror(VLOOKUP($R46,Capa!$A:$Z,AZ$5,0),0),IF(ISERROR(1/VLOOKUP($R46,Capa!$A:$Z,AZ$5,0)),0,1/VLOOKUP($R46,Capa!$A:$Z,AZ$5,0))))</f>
        <v/>
      </c>
      <c r="BA47" s="124" t="str">
        <f>IF(BA$6="","",IF(BA$3="Maior",iferror(VLOOKUP($R46,Capa!$A:$Z,BA$5,0),0),IF(ISERROR(1/VLOOKUP($R46,Capa!$A:$Z,BA$5,0)),0,1/VLOOKUP($R46,Capa!$A:$Z,BA$5,0))))</f>
        <v/>
      </c>
      <c r="BB47" s="124" t="str">
        <f>IF(BB$6="","",IF(BB$3="Maior",iferror(VLOOKUP($R46,Capa!$A:$Z,BB$5,0),0),IF(ISERROR(1/VLOOKUP($R46,Capa!$A:$Z,BB$5,0)),0,1/VLOOKUP($R46,Capa!$A:$Z,BB$5,0))))</f>
        <v/>
      </c>
      <c r="BC47" s="124" t="str">
        <f>IF(BC$6="","",IF(BC$3="Maior",iferror(VLOOKUP($R46,Capa!$A:$Z,BC$5,0),0),IF(ISERROR(1/VLOOKUP($R46,Capa!$A:$Z,BC$5,0)),0,1/VLOOKUP($R46,Capa!$A:$Z,BC$5,0))))</f>
        <v/>
      </c>
      <c r="BD47" s="124" t="str">
        <f>IF(BD$6="","",IF(BD$3="Maior",iferror(VLOOKUP($R46,Capa!$A:$Z,BD$5,0),0),IF(ISERROR(1/VLOOKUP($R46,Capa!$A:$Z,BD$5,0)),0,1/VLOOKUP($R46,Capa!$A:$Z,BD$5,0))))</f>
        <v/>
      </c>
      <c r="BE47" s="124" t="str">
        <f>IF(BE$6="","",IF(BE$3="Maior",iferror(VLOOKUP($R46,Capa!$A:$Z,BE$5,0),0),IF(ISERROR(1/VLOOKUP($R46,Capa!$A:$Z,BE$5,0)),0,1/VLOOKUP($R46,Capa!$A:$Z,BE$5,0))))</f>
        <v/>
      </c>
      <c r="BF47" s="124" t="str">
        <f>IF(BF$6="","",IF(BF$3="Maior",iferror(VLOOKUP($R46,Capa!$A:$Z,BF$5,0),0),IF(ISERROR(1/VLOOKUP($R46,Capa!$A:$Z,BF$5,0)),0,1/VLOOKUP($R46,Capa!$A:$Z,BF$5,0))))</f>
        <v/>
      </c>
      <c r="BG47" s="124" t="str">
        <f>IF(BG$6="","",IF(BG$3="Maior",iferror(VLOOKUP($R46,Capa!$A:$Z,BG$5,0),0),IF(ISERROR(1/VLOOKUP($R46,Capa!$A:$Z,BG$5,0)),0,1/VLOOKUP($R46,Capa!$A:$Z,BG$5,0))))</f>
        <v/>
      </c>
      <c r="BH47" s="124" t="str">
        <f>IF(BH$6="","",IF(BH$3="Maior",iferror(VLOOKUP($R46,Capa!$A:$Z,BH$5,0),0),IF(ISERROR(1/VLOOKUP($R46,Capa!$A:$Z,BH$5,0)),0,1/VLOOKUP($R46,Capa!$A:$Z,BH$5,0))))</f>
        <v/>
      </c>
      <c r="BI47" s="124" t="str">
        <f>IF(BI$6="","",IF(BI$3="Maior",iferror(VLOOKUP($R46,Capa!$A:$Z,BI$5,0),0),IF(ISERROR(1/VLOOKUP($R46,Capa!$A:$Z,BI$5,0)),0,1/VLOOKUP($R46,Capa!$A:$Z,BI$5,0))))</f>
        <v/>
      </c>
      <c r="BJ47" s="124" t="str">
        <f>IF(BJ$6="","",IF(BJ$3="Maior",iferror(VLOOKUP($R46,Capa!$A:$Z,BJ$5,0),0),IF(ISERROR(1/VLOOKUP($R46,Capa!$A:$Z,BJ$5,0)),0,1/VLOOKUP($R46,Capa!$A:$Z,BJ$5,0))))</f>
        <v/>
      </c>
      <c r="BK47" s="124" t="str">
        <f>IF(BK$6="","",IF(BK$3="Maior",iferror(VLOOKUP($R46,Capa!$A:$Z,BK$5,0),0),IF(ISERROR(1/VLOOKUP($R46,Capa!$A:$Z,BK$5,0)),0,1/VLOOKUP($R46,Capa!$A:$Z,BK$5,0))))</f>
        <v/>
      </c>
      <c r="BL47" s="124" t="str">
        <f>IF(BL$6="","",IF(BL$3="Maior",iferror(VLOOKUP($R46,Capa!$A:$Z,BL$5,0),0),IF(ISERROR(1/VLOOKUP($R46,Capa!$A:$Z,BL$5,0)),0,1/VLOOKUP($R46,Capa!$A:$Z,BL$5,0))))</f>
        <v/>
      </c>
      <c r="BM47" s="124" t="str">
        <f>IF(BM$6="","",IF(BM$3="Maior",iferror(VLOOKUP($R46,Capa!$A:$Z,BM$5,0),0),IF(ISERROR(1/VLOOKUP($R46,Capa!$A:$Z,BM$5,0)),0,1/VLOOKUP($R46,Capa!$A:$Z,BM$5,0))))</f>
        <v/>
      </c>
      <c r="BN47" s="124" t="str">
        <f>IF(BN$6="","",IF(BN$3="Maior",iferror(VLOOKUP($R46,Capa!$A:$Z,BN$5,0),0),IF(ISERROR(1/VLOOKUP($R46,Capa!$A:$Z,BN$5,0)),0,1/VLOOKUP($R46,Capa!$A:$Z,BN$5,0))))</f>
        <v/>
      </c>
      <c r="BO47" s="124" t="str">
        <f>IF(BO$6="","",IF(BO$3="Maior",iferror(VLOOKUP($R46,Capa!$A:$Z,BO$5,0),0),IF(ISERROR(1/VLOOKUP($R46,Capa!$A:$Z,BO$5,0)),0,1/VLOOKUP($R46,Capa!$A:$Z,BO$5,0))))</f>
        <v/>
      </c>
      <c r="BP47" s="124" t="str">
        <f>IF(BP$6="","",IF(BP$3="Maior",iferror(VLOOKUP($R46,Capa!$A:$Z,BP$5,0),0),IF(ISERROR(1/VLOOKUP($R46,Capa!$A:$Z,BP$5,0)),0,1/VLOOKUP($R46,Capa!$A:$Z,BP$5,0))))</f>
        <v/>
      </c>
      <c r="BQ47" s="124" t="str">
        <f>IF(BQ$6="","",IF(BQ$3="Maior",iferror(VLOOKUP($R46,Capa!$A:$Z,BQ$5,0),0),IF(ISERROR(1/VLOOKUP($R46,Capa!$A:$Z,BQ$5,0)),0,1/VLOOKUP($R46,Capa!$A:$Z,BQ$5,0))))</f>
        <v/>
      </c>
      <c r="BR47" s="125" t="str">
        <f>IF(BR$6="","",IF(BR$3="Maior",iferror(VLOOKUP($R46,Capa!$A:$Z,BR$5,0),0),IF(ISERROR(1/VLOOKUP($R46,Capa!$A:$Z,BR$5,0)),0,1/VLOOKUP($R46,Capa!$A:$Z,BR$5,0))))</f>
        <v/>
      </c>
      <c r="BS47" s="88"/>
    </row>
    <row r="48">
      <c r="G48" s="9"/>
      <c r="H48" s="7">
        <v>42.0</v>
      </c>
      <c r="I48" s="111" t="str">
        <f t="shared" si="7"/>
        <v>KNHY11</v>
      </c>
      <c r="J48" s="112" t="str">
        <f>VLOOKUP(I48,Capa!A:G,7,0)</f>
        <v>Recebíveis Imobiliários</v>
      </c>
      <c r="K48" s="113">
        <f t="shared" si="8"/>
        <v>0.9994305239</v>
      </c>
      <c r="L48" s="113">
        <f t="shared" si="9"/>
        <v>0.1339640712</v>
      </c>
      <c r="M48" s="113" t="str">
        <f t="shared" si="10"/>
        <v/>
      </c>
      <c r="N48" s="113" t="str">
        <f t="shared" si="11"/>
        <v/>
      </c>
      <c r="O48" s="114">
        <f t="shared" si="12"/>
        <v>2855871.02</v>
      </c>
      <c r="P48" s="9"/>
      <c r="Q48" s="9"/>
      <c r="R48" s="115" t="s">
        <v>116</v>
      </c>
      <c r="S48" s="116">
        <f t="shared" si="13"/>
        <v>1271.013042</v>
      </c>
      <c r="T48" s="117">
        <f>MID(VLOOKUP($R48,'Dados ClubeFII'!$A:$AU,23,0),3,100)/1</f>
        <v>96530.84</v>
      </c>
      <c r="U48" s="118">
        <f t="shared" si="14"/>
        <v>129.0129</v>
      </c>
      <c r="V48" s="118">
        <f t="shared" si="15"/>
        <v>142.000142</v>
      </c>
      <c r="W48" s="118" t="str">
        <f t="shared" ref="W48:AS48" si="57">IF(AV48="","", RANK(AV48,AV$7:AV$405,0))</f>
        <v/>
      </c>
      <c r="X48" s="118" t="str">
        <f t="shared" si="57"/>
        <v/>
      </c>
      <c r="Y48" s="118" t="str">
        <f t="shared" si="57"/>
        <v/>
      </c>
      <c r="Z48" s="118" t="str">
        <f t="shared" si="57"/>
        <v/>
      </c>
      <c r="AA48" s="118" t="str">
        <f t="shared" si="57"/>
        <v/>
      </c>
      <c r="AB48" s="118" t="str">
        <f t="shared" si="57"/>
        <v/>
      </c>
      <c r="AC48" s="118" t="str">
        <f t="shared" si="57"/>
        <v/>
      </c>
      <c r="AD48" s="118" t="str">
        <f t="shared" si="57"/>
        <v/>
      </c>
      <c r="AE48" s="118" t="str">
        <f t="shared" si="57"/>
        <v/>
      </c>
      <c r="AF48" s="118" t="str">
        <f t="shared" si="57"/>
        <v/>
      </c>
      <c r="AG48" s="118" t="str">
        <f t="shared" si="57"/>
        <v/>
      </c>
      <c r="AH48" s="118" t="str">
        <f t="shared" si="57"/>
        <v/>
      </c>
      <c r="AI48" s="118" t="str">
        <f t="shared" si="57"/>
        <v/>
      </c>
      <c r="AJ48" s="118" t="str">
        <f t="shared" si="57"/>
        <v/>
      </c>
      <c r="AK48" s="118" t="str">
        <f t="shared" si="57"/>
        <v/>
      </c>
      <c r="AL48" s="118" t="str">
        <f t="shared" si="57"/>
        <v/>
      </c>
      <c r="AM48" s="118" t="str">
        <f t="shared" si="57"/>
        <v/>
      </c>
      <c r="AN48" s="118" t="str">
        <f t="shared" si="57"/>
        <v/>
      </c>
      <c r="AO48" s="118" t="str">
        <f t="shared" si="57"/>
        <v/>
      </c>
      <c r="AP48" s="118" t="str">
        <f t="shared" si="57"/>
        <v/>
      </c>
      <c r="AQ48" s="118" t="str">
        <f t="shared" si="57"/>
        <v/>
      </c>
      <c r="AR48" s="118" t="str">
        <f t="shared" si="57"/>
        <v/>
      </c>
      <c r="AS48" s="118" t="str">
        <f t="shared" si="57"/>
        <v/>
      </c>
      <c r="AT48" s="123">
        <f>IF(AT$6="","",IF(AT$3="Maior",iferror(VLOOKUP($R48,Capa!$A:$Z,AT$5,0),0),IF(ISERROR(1/VLOOKUP($R48,Capa!$A:$Z,AT$5,0)),0,1/VLOOKUP($R48,Capa!$A:$Z,AT$5,0))))</f>
        <v>1.12915786</v>
      </c>
      <c r="AU48" s="124">
        <f>IF(AU$6="","",IF(AU$3="Maior",iferror(VLOOKUP($R48,Capa!$A:$Z,AU$5,0),0),IF(ISERROR(1/VLOOKUP($R48,Capa!$A:$Z,AU$5,0)),0,1/VLOOKUP($R48,Capa!$A:$Z,AU$5,0))))</f>
        <v>0.08836256158</v>
      </c>
      <c r="AV48" s="124" t="str">
        <f>IF(AV$6="","",IF(AV$3="Maior",iferror(VLOOKUP($R47,Capa!$A:$Z,AV$5,0),0),IF(ISERROR(1/VLOOKUP($R47,Capa!$A:$Z,AV$5,0)),0,1/VLOOKUP($R47,Capa!$A:$Z,AV$5,0))))</f>
        <v/>
      </c>
      <c r="AW48" s="124" t="str">
        <f>IF(AW$6="","",IF(AW$3="Maior",iferror(VLOOKUP($R47,Capa!$A:$Z,AW$5,0),0),IF(ISERROR(1/VLOOKUP($R47,Capa!$A:$Z,AW$5,0)),0,1/VLOOKUP($R47,Capa!$A:$Z,AW$5,0))))</f>
        <v/>
      </c>
      <c r="AX48" s="124" t="str">
        <f>IF(AX$6="","",IF(AX$3="Maior",iferror(VLOOKUP($R47,Capa!$A:$Z,AX$5,0),0),IF(ISERROR(1/VLOOKUP($R47,Capa!$A:$Z,AX$5,0)),0,1/VLOOKUP($R47,Capa!$A:$Z,AX$5,0))))</f>
        <v/>
      </c>
      <c r="AY48" s="124" t="str">
        <f>IF(AY$6="","",IF(AY$3="Maior",iferror(VLOOKUP($R47,Capa!$A:$Z,AY$5,0),0),IF(ISERROR(1/VLOOKUP($R47,Capa!$A:$Z,AY$5,0)),0,1/VLOOKUP($R47,Capa!$A:$Z,AY$5,0))))</f>
        <v/>
      </c>
      <c r="AZ48" s="124" t="str">
        <f>IF(AZ$6="","",IF(AZ$3="Maior",iferror(VLOOKUP($R47,Capa!$A:$Z,AZ$5,0),0),IF(ISERROR(1/VLOOKUP($R47,Capa!$A:$Z,AZ$5,0)),0,1/VLOOKUP($R47,Capa!$A:$Z,AZ$5,0))))</f>
        <v/>
      </c>
      <c r="BA48" s="124" t="str">
        <f>IF(BA$6="","",IF(BA$3="Maior",iferror(VLOOKUP($R47,Capa!$A:$Z,BA$5,0),0),IF(ISERROR(1/VLOOKUP($R47,Capa!$A:$Z,BA$5,0)),0,1/VLOOKUP($R47,Capa!$A:$Z,BA$5,0))))</f>
        <v/>
      </c>
      <c r="BB48" s="124" t="str">
        <f>IF(BB$6="","",IF(BB$3="Maior",iferror(VLOOKUP($R47,Capa!$A:$Z,BB$5,0),0),IF(ISERROR(1/VLOOKUP($R47,Capa!$A:$Z,BB$5,0)),0,1/VLOOKUP($R47,Capa!$A:$Z,BB$5,0))))</f>
        <v/>
      </c>
      <c r="BC48" s="124" t="str">
        <f>IF(BC$6="","",IF(BC$3="Maior",iferror(VLOOKUP($R47,Capa!$A:$Z,BC$5,0),0),IF(ISERROR(1/VLOOKUP($R47,Capa!$A:$Z,BC$5,0)),0,1/VLOOKUP($R47,Capa!$A:$Z,BC$5,0))))</f>
        <v/>
      </c>
      <c r="BD48" s="124" t="str">
        <f>IF(BD$6="","",IF(BD$3="Maior",iferror(VLOOKUP($R47,Capa!$A:$Z,BD$5,0),0),IF(ISERROR(1/VLOOKUP($R47,Capa!$A:$Z,BD$5,0)),0,1/VLOOKUP($R47,Capa!$A:$Z,BD$5,0))))</f>
        <v/>
      </c>
      <c r="BE48" s="124" t="str">
        <f>IF(BE$6="","",IF(BE$3="Maior",iferror(VLOOKUP($R47,Capa!$A:$Z,BE$5,0),0),IF(ISERROR(1/VLOOKUP($R47,Capa!$A:$Z,BE$5,0)),0,1/VLOOKUP($R47,Capa!$A:$Z,BE$5,0))))</f>
        <v/>
      </c>
      <c r="BF48" s="124" t="str">
        <f>IF(BF$6="","",IF(BF$3="Maior",iferror(VLOOKUP($R47,Capa!$A:$Z,BF$5,0),0),IF(ISERROR(1/VLOOKUP($R47,Capa!$A:$Z,BF$5,0)),0,1/VLOOKUP($R47,Capa!$A:$Z,BF$5,0))))</f>
        <v/>
      </c>
      <c r="BG48" s="124" t="str">
        <f>IF(BG$6="","",IF(BG$3="Maior",iferror(VLOOKUP($R47,Capa!$A:$Z,BG$5,0),0),IF(ISERROR(1/VLOOKUP($R47,Capa!$A:$Z,BG$5,0)),0,1/VLOOKUP($R47,Capa!$A:$Z,BG$5,0))))</f>
        <v/>
      </c>
      <c r="BH48" s="124" t="str">
        <f>IF(BH$6="","",IF(BH$3="Maior",iferror(VLOOKUP($R47,Capa!$A:$Z,BH$5,0),0),IF(ISERROR(1/VLOOKUP($R47,Capa!$A:$Z,BH$5,0)),0,1/VLOOKUP($R47,Capa!$A:$Z,BH$5,0))))</f>
        <v/>
      </c>
      <c r="BI48" s="124" t="str">
        <f>IF(BI$6="","",IF(BI$3="Maior",iferror(VLOOKUP($R47,Capa!$A:$Z,BI$5,0),0),IF(ISERROR(1/VLOOKUP($R47,Capa!$A:$Z,BI$5,0)),0,1/VLOOKUP($R47,Capa!$A:$Z,BI$5,0))))</f>
        <v/>
      </c>
      <c r="BJ48" s="124" t="str">
        <f>IF(BJ$6="","",IF(BJ$3="Maior",iferror(VLOOKUP($R47,Capa!$A:$Z,BJ$5,0),0),IF(ISERROR(1/VLOOKUP($R47,Capa!$A:$Z,BJ$5,0)),0,1/VLOOKUP($R47,Capa!$A:$Z,BJ$5,0))))</f>
        <v/>
      </c>
      <c r="BK48" s="124" t="str">
        <f>IF(BK$6="","",IF(BK$3="Maior",iferror(VLOOKUP($R47,Capa!$A:$Z,BK$5,0),0),IF(ISERROR(1/VLOOKUP($R47,Capa!$A:$Z,BK$5,0)),0,1/VLOOKUP($R47,Capa!$A:$Z,BK$5,0))))</f>
        <v/>
      </c>
      <c r="BL48" s="124" t="str">
        <f>IF(BL$6="","",IF(BL$3="Maior",iferror(VLOOKUP($R47,Capa!$A:$Z,BL$5,0),0),IF(ISERROR(1/VLOOKUP($R47,Capa!$A:$Z,BL$5,0)),0,1/VLOOKUP($R47,Capa!$A:$Z,BL$5,0))))</f>
        <v/>
      </c>
      <c r="BM48" s="124" t="str">
        <f>IF(BM$6="","",IF(BM$3="Maior",iferror(VLOOKUP($R47,Capa!$A:$Z,BM$5,0),0),IF(ISERROR(1/VLOOKUP($R47,Capa!$A:$Z,BM$5,0)),0,1/VLOOKUP($R47,Capa!$A:$Z,BM$5,0))))</f>
        <v/>
      </c>
      <c r="BN48" s="124" t="str">
        <f>IF(BN$6="","",IF(BN$3="Maior",iferror(VLOOKUP($R47,Capa!$A:$Z,BN$5,0),0),IF(ISERROR(1/VLOOKUP($R47,Capa!$A:$Z,BN$5,0)),0,1/VLOOKUP($R47,Capa!$A:$Z,BN$5,0))))</f>
        <v/>
      </c>
      <c r="BO48" s="124" t="str">
        <f>IF(BO$6="","",IF(BO$3="Maior",iferror(VLOOKUP($R47,Capa!$A:$Z,BO$5,0),0),IF(ISERROR(1/VLOOKUP($R47,Capa!$A:$Z,BO$5,0)),0,1/VLOOKUP($R47,Capa!$A:$Z,BO$5,0))))</f>
        <v/>
      </c>
      <c r="BP48" s="124" t="str">
        <f>IF(BP$6="","",IF(BP$3="Maior",iferror(VLOOKUP($R47,Capa!$A:$Z,BP$5,0),0),IF(ISERROR(1/VLOOKUP($R47,Capa!$A:$Z,BP$5,0)),0,1/VLOOKUP($R47,Capa!$A:$Z,BP$5,0))))</f>
        <v/>
      </c>
      <c r="BQ48" s="124" t="str">
        <f>IF(BQ$6="","",IF(BQ$3="Maior",iferror(VLOOKUP($R47,Capa!$A:$Z,BQ$5,0),0),IF(ISERROR(1/VLOOKUP($R47,Capa!$A:$Z,BQ$5,0)),0,1/VLOOKUP($R47,Capa!$A:$Z,BQ$5,0))))</f>
        <v/>
      </c>
      <c r="BR48" s="125" t="str">
        <f>IF(BR$6="","",IF(BR$3="Maior",iferror(VLOOKUP($R47,Capa!$A:$Z,BR$5,0),0),IF(ISERROR(1/VLOOKUP($R47,Capa!$A:$Z,BR$5,0)),0,1/VLOOKUP($R47,Capa!$A:$Z,BR$5,0))))</f>
        <v/>
      </c>
      <c r="BS48" s="88"/>
    </row>
    <row r="49">
      <c r="G49" s="9"/>
      <c r="H49" s="7">
        <v>43.0</v>
      </c>
      <c r="I49" s="111" t="str">
        <f t="shared" si="7"/>
        <v>MALL11</v>
      </c>
      <c r="J49" s="112" t="str">
        <f>VLOOKUP(I49,Capa!A:G,7,0)</f>
        <v>Shopping/Varejo</v>
      </c>
      <c r="K49" s="113">
        <f t="shared" si="8"/>
        <v>0.8235440766</v>
      </c>
      <c r="L49" s="113">
        <f t="shared" si="9"/>
        <v>0.08929996011</v>
      </c>
      <c r="M49" s="113" t="str">
        <f t="shared" si="10"/>
        <v/>
      </c>
      <c r="N49" s="113" t="str">
        <f t="shared" si="11"/>
        <v/>
      </c>
      <c r="O49" s="114">
        <f t="shared" si="12"/>
        <v>1481843.9</v>
      </c>
      <c r="P49" s="9"/>
      <c r="Q49" s="9"/>
      <c r="R49" s="140" t="s">
        <v>57</v>
      </c>
      <c r="S49" s="116">
        <f t="shared" si="13"/>
        <v>158.012434</v>
      </c>
      <c r="T49" s="117">
        <f>MID(VLOOKUP($R49,'Dados ClubeFII'!$A:$AU,23,0),3,100)/1</f>
        <v>2335808.64</v>
      </c>
      <c r="U49" s="118">
        <f t="shared" si="14"/>
        <v>124.0124</v>
      </c>
      <c r="V49" s="118">
        <f t="shared" si="15"/>
        <v>34.000034</v>
      </c>
      <c r="W49" s="118" t="str">
        <f t="shared" ref="W49:AS49" si="58">IF(AV49="","", RANK(AV49,AV$7:AV$405,0))</f>
        <v/>
      </c>
      <c r="X49" s="118" t="str">
        <f t="shared" si="58"/>
        <v/>
      </c>
      <c r="Y49" s="118" t="str">
        <f t="shared" si="58"/>
        <v/>
      </c>
      <c r="Z49" s="118" t="str">
        <f t="shared" si="58"/>
        <v/>
      </c>
      <c r="AA49" s="118" t="str">
        <f t="shared" si="58"/>
        <v/>
      </c>
      <c r="AB49" s="118" t="str">
        <f t="shared" si="58"/>
        <v/>
      </c>
      <c r="AC49" s="118" t="str">
        <f t="shared" si="58"/>
        <v/>
      </c>
      <c r="AD49" s="118" t="str">
        <f t="shared" si="58"/>
        <v/>
      </c>
      <c r="AE49" s="118" t="str">
        <f t="shared" si="58"/>
        <v/>
      </c>
      <c r="AF49" s="118" t="str">
        <f t="shared" si="58"/>
        <v/>
      </c>
      <c r="AG49" s="118" t="str">
        <f t="shared" si="58"/>
        <v/>
      </c>
      <c r="AH49" s="118" t="str">
        <f t="shared" si="58"/>
        <v/>
      </c>
      <c r="AI49" s="118" t="str">
        <f t="shared" si="58"/>
        <v/>
      </c>
      <c r="AJ49" s="118" t="str">
        <f t="shared" si="58"/>
        <v/>
      </c>
      <c r="AK49" s="118" t="str">
        <f t="shared" si="58"/>
        <v/>
      </c>
      <c r="AL49" s="118" t="str">
        <f t="shared" si="58"/>
        <v/>
      </c>
      <c r="AM49" s="118" t="str">
        <f t="shared" si="58"/>
        <v/>
      </c>
      <c r="AN49" s="118" t="str">
        <f t="shared" si="58"/>
        <v/>
      </c>
      <c r="AO49" s="118" t="str">
        <f t="shared" si="58"/>
        <v/>
      </c>
      <c r="AP49" s="118" t="str">
        <f t="shared" si="58"/>
        <v/>
      </c>
      <c r="AQ49" s="118" t="str">
        <f t="shared" si="58"/>
        <v/>
      </c>
      <c r="AR49" s="118" t="str">
        <f t="shared" si="58"/>
        <v/>
      </c>
      <c r="AS49" s="118" t="str">
        <f t="shared" si="58"/>
        <v/>
      </c>
      <c r="AT49" s="123">
        <f>IF(AT$6="","",IF(AT$3="Maior",iferror(VLOOKUP($R49,Capa!$A:$Z,AT$5,0),0),IF(ISERROR(1/VLOOKUP($R49,Capa!$A:$Z,AT$5,0)),0,1/VLOOKUP($R49,Capa!$A:$Z,AT$5,0))))</f>
        <v>1.142759432</v>
      </c>
      <c r="AU49" s="124">
        <f>IF(AU$6="","",IF(AU$3="Maior",iferror(VLOOKUP($R49,Capa!$A:$Z,AU$5,0),0),IF(ISERROR(1/VLOOKUP($R49,Capa!$A:$Z,AU$5,0)),0,1/VLOOKUP($R49,Capa!$A:$Z,AU$5,0))))</f>
        <v>0.1466504692</v>
      </c>
      <c r="AV49" s="124" t="str">
        <f>IF(AV$6="","",IF(AV$3="Maior",iferror(VLOOKUP(#REF!,Capa!$A:$Z,AV$5,0),0),IF(ISERROR(1/VLOOKUP(#REF!,Capa!$A:$Z,AV$5,0)),0,1/VLOOKUP(#REF!,Capa!$A:$Z,AV$5,0))))</f>
        <v/>
      </c>
      <c r="AW49" s="124" t="str">
        <f>IF(AW$6="","",IF(AW$3="Maior",iferror(VLOOKUP(#REF!,Capa!$A:$Z,AW$5,0),0),IF(ISERROR(1/VLOOKUP(#REF!,Capa!$A:$Z,AW$5,0)),0,1/VLOOKUP(#REF!,Capa!$A:$Z,AW$5,0))))</f>
        <v/>
      </c>
      <c r="AX49" s="124" t="str">
        <f>IF(AX$6="","",IF(AX$3="Maior",iferror(VLOOKUP(#REF!,Capa!$A:$Z,AX$5,0),0),IF(ISERROR(1/VLOOKUP(#REF!,Capa!$A:$Z,AX$5,0)),0,1/VLOOKUP(#REF!,Capa!$A:$Z,AX$5,0))))</f>
        <v/>
      </c>
      <c r="AY49" s="124" t="str">
        <f>IF(AY$6="","",IF(AY$3="Maior",iferror(VLOOKUP(#REF!,Capa!$A:$Z,AY$5,0),0),IF(ISERROR(1/VLOOKUP(#REF!,Capa!$A:$Z,AY$5,0)),0,1/VLOOKUP(#REF!,Capa!$A:$Z,AY$5,0))))</f>
        <v/>
      </c>
      <c r="AZ49" s="124" t="str">
        <f>IF(AZ$6="","",IF(AZ$3="Maior",iferror(VLOOKUP(#REF!,Capa!$A:$Z,AZ$5,0),0),IF(ISERROR(1/VLOOKUP(#REF!,Capa!$A:$Z,AZ$5,0)),0,1/VLOOKUP(#REF!,Capa!$A:$Z,AZ$5,0))))</f>
        <v/>
      </c>
      <c r="BA49" s="124" t="str">
        <f>IF(BA$6="","",IF(BA$3="Maior",iferror(VLOOKUP(#REF!,Capa!$A:$Z,BA$5,0),0),IF(ISERROR(1/VLOOKUP(#REF!,Capa!$A:$Z,BA$5,0)),0,1/VLOOKUP(#REF!,Capa!$A:$Z,BA$5,0))))</f>
        <v/>
      </c>
      <c r="BB49" s="124" t="str">
        <f>IF(BB$6="","",IF(BB$3="Maior",iferror(VLOOKUP(#REF!,Capa!$A:$Z,BB$5,0),0),IF(ISERROR(1/VLOOKUP(#REF!,Capa!$A:$Z,BB$5,0)),0,1/VLOOKUP(#REF!,Capa!$A:$Z,BB$5,0))))</f>
        <v/>
      </c>
      <c r="BC49" s="124" t="str">
        <f>IF(BC$6="","",IF(BC$3="Maior",iferror(VLOOKUP(#REF!,Capa!$A:$Z,BC$5,0),0),IF(ISERROR(1/VLOOKUP(#REF!,Capa!$A:$Z,BC$5,0)),0,1/VLOOKUP(#REF!,Capa!$A:$Z,BC$5,0))))</f>
        <v/>
      </c>
      <c r="BD49" s="124" t="str">
        <f>IF(BD$6="","",IF(BD$3="Maior",iferror(VLOOKUP(#REF!,Capa!$A:$Z,BD$5,0),0),IF(ISERROR(1/VLOOKUP(#REF!,Capa!$A:$Z,BD$5,0)),0,1/VLOOKUP(#REF!,Capa!$A:$Z,BD$5,0))))</f>
        <v/>
      </c>
      <c r="BE49" s="124" t="str">
        <f>IF(BE$6="","",IF(BE$3="Maior",iferror(VLOOKUP(#REF!,Capa!$A:$Z,BE$5,0),0),IF(ISERROR(1/VLOOKUP(#REF!,Capa!$A:$Z,BE$5,0)),0,1/VLOOKUP(#REF!,Capa!$A:$Z,BE$5,0))))</f>
        <v/>
      </c>
      <c r="BF49" s="124" t="str">
        <f>IF(BF$6="","",IF(BF$3="Maior",iferror(VLOOKUP(#REF!,Capa!$A:$Z,BF$5,0),0),IF(ISERROR(1/VLOOKUP(#REF!,Capa!$A:$Z,BF$5,0)),0,1/VLOOKUP(#REF!,Capa!$A:$Z,BF$5,0))))</f>
        <v/>
      </c>
      <c r="BG49" s="124" t="str">
        <f>IF(BG$6="","",IF(BG$3="Maior",iferror(VLOOKUP(#REF!,Capa!$A:$Z,BG$5,0),0),IF(ISERROR(1/VLOOKUP(#REF!,Capa!$A:$Z,BG$5,0)),0,1/VLOOKUP(#REF!,Capa!$A:$Z,BG$5,0))))</f>
        <v/>
      </c>
      <c r="BH49" s="124" t="str">
        <f>IF(BH$6="","",IF(BH$3="Maior",iferror(VLOOKUP(#REF!,Capa!$A:$Z,BH$5,0),0),IF(ISERROR(1/VLOOKUP(#REF!,Capa!$A:$Z,BH$5,0)),0,1/VLOOKUP(#REF!,Capa!$A:$Z,BH$5,0))))</f>
        <v/>
      </c>
      <c r="BI49" s="124" t="str">
        <f>IF(BI$6="","",IF(BI$3="Maior",iferror(VLOOKUP(#REF!,Capa!$A:$Z,BI$5,0),0),IF(ISERROR(1/VLOOKUP(#REF!,Capa!$A:$Z,BI$5,0)),0,1/VLOOKUP(#REF!,Capa!$A:$Z,BI$5,0))))</f>
        <v/>
      </c>
      <c r="BJ49" s="124" t="str">
        <f>IF(BJ$6="","",IF(BJ$3="Maior",iferror(VLOOKUP(#REF!,Capa!$A:$Z,BJ$5,0),0),IF(ISERROR(1/VLOOKUP(#REF!,Capa!$A:$Z,BJ$5,0)),0,1/VLOOKUP(#REF!,Capa!$A:$Z,BJ$5,0))))</f>
        <v/>
      </c>
      <c r="BK49" s="124" t="str">
        <f>IF(BK$6="","",IF(BK$3="Maior",iferror(VLOOKUP(#REF!,Capa!$A:$Z,BK$5,0),0),IF(ISERROR(1/VLOOKUP(#REF!,Capa!$A:$Z,BK$5,0)),0,1/VLOOKUP(#REF!,Capa!$A:$Z,BK$5,0))))</f>
        <v/>
      </c>
      <c r="BL49" s="124" t="str">
        <f>IF(BL$6="","",IF(BL$3="Maior",iferror(VLOOKUP(#REF!,Capa!$A:$Z,BL$5,0),0),IF(ISERROR(1/VLOOKUP(#REF!,Capa!$A:$Z,BL$5,0)),0,1/VLOOKUP(#REF!,Capa!$A:$Z,BL$5,0))))</f>
        <v/>
      </c>
      <c r="BM49" s="124" t="str">
        <f>IF(BM$6="","",IF(BM$3="Maior",iferror(VLOOKUP(#REF!,Capa!$A:$Z,BM$5,0),0),IF(ISERROR(1/VLOOKUP(#REF!,Capa!$A:$Z,BM$5,0)),0,1/VLOOKUP(#REF!,Capa!$A:$Z,BM$5,0))))</f>
        <v/>
      </c>
      <c r="BN49" s="124" t="str">
        <f>IF(BN$6="","",IF(BN$3="Maior",iferror(VLOOKUP(#REF!,Capa!$A:$Z,BN$5,0),0),IF(ISERROR(1/VLOOKUP(#REF!,Capa!$A:$Z,BN$5,0)),0,1/VLOOKUP(#REF!,Capa!$A:$Z,BN$5,0))))</f>
        <v/>
      </c>
      <c r="BO49" s="124" t="str">
        <f>IF(BO$6="","",IF(BO$3="Maior",iferror(VLOOKUP(#REF!,Capa!$A:$Z,BO$5,0),0),IF(ISERROR(1/VLOOKUP(#REF!,Capa!$A:$Z,BO$5,0)),0,1/VLOOKUP(#REF!,Capa!$A:$Z,BO$5,0))))</f>
        <v/>
      </c>
      <c r="BP49" s="124" t="str">
        <f>IF(BP$6="","",IF(BP$3="Maior",iferror(VLOOKUP(#REF!,Capa!$A:$Z,BP$5,0),0),IF(ISERROR(1/VLOOKUP(#REF!,Capa!$A:$Z,BP$5,0)),0,1/VLOOKUP(#REF!,Capa!$A:$Z,BP$5,0))))</f>
        <v/>
      </c>
      <c r="BQ49" s="124" t="str">
        <f>IF(BQ$6="","",IF(BQ$3="Maior",iferror(VLOOKUP(#REF!,Capa!$A:$Z,BQ$5,0),0),IF(ISERROR(1/VLOOKUP(#REF!,Capa!$A:$Z,BQ$5,0)),0,1/VLOOKUP(#REF!,Capa!$A:$Z,BQ$5,0))))</f>
        <v/>
      </c>
      <c r="BR49" s="125" t="str">
        <f>IF(BR$6="","",IF(BR$3="Maior",iferror(VLOOKUP(#REF!,Capa!$A:$Z,BR$5,0),0),IF(ISERROR(1/VLOOKUP(#REF!,Capa!$A:$Z,BR$5,0)),0,1/VLOOKUP(#REF!,Capa!$A:$Z,BR$5,0))))</f>
        <v/>
      </c>
      <c r="BS49" s="88"/>
    </row>
    <row r="50">
      <c r="G50" s="9"/>
      <c r="H50" s="7">
        <v>44.0</v>
      </c>
      <c r="I50" s="129" t="str">
        <f t="shared" si="7"/>
        <v>XPLG11</v>
      </c>
      <c r="J50" s="112" t="str">
        <f>VLOOKUP(I50,Capa!A:G,7,0)</f>
        <v>Logisticos</v>
      </c>
      <c r="K50" s="113">
        <f t="shared" si="8"/>
        <v>0.8444308633</v>
      </c>
      <c r="L50" s="113">
        <f t="shared" si="9"/>
        <v>0.09391718869</v>
      </c>
      <c r="M50" s="113" t="str">
        <f t="shared" si="10"/>
        <v/>
      </c>
      <c r="N50" s="113" t="str">
        <f t="shared" si="11"/>
        <v/>
      </c>
      <c r="O50" s="114">
        <f t="shared" si="12"/>
        <v>4691271.61</v>
      </c>
      <c r="P50" s="9"/>
      <c r="Q50" s="9"/>
      <c r="R50" s="115" t="s">
        <v>64</v>
      </c>
      <c r="S50" s="116">
        <f t="shared" si="13"/>
        <v>188.01583</v>
      </c>
      <c r="T50" s="117">
        <f>MID(VLOOKUP($R50,'Dados ClubeFII'!$A:$AU,23,0),3,100)/1</f>
        <v>2106000.28</v>
      </c>
      <c r="U50" s="118">
        <f t="shared" si="14"/>
        <v>158.0158</v>
      </c>
      <c r="V50" s="118">
        <f t="shared" si="15"/>
        <v>30.00003</v>
      </c>
      <c r="W50" s="118" t="str">
        <f t="shared" ref="W50:AS50" si="59">IF(AV50="","", RANK(AV50,AV$7:AV$405,0))</f>
        <v/>
      </c>
      <c r="X50" s="118" t="str">
        <f t="shared" si="59"/>
        <v/>
      </c>
      <c r="Y50" s="118" t="str">
        <f t="shared" si="59"/>
        <v/>
      </c>
      <c r="Z50" s="118" t="str">
        <f t="shared" si="59"/>
        <v/>
      </c>
      <c r="AA50" s="118" t="str">
        <f t="shared" si="59"/>
        <v/>
      </c>
      <c r="AB50" s="118" t="str">
        <f t="shared" si="59"/>
        <v/>
      </c>
      <c r="AC50" s="118" t="str">
        <f t="shared" si="59"/>
        <v/>
      </c>
      <c r="AD50" s="118" t="str">
        <f t="shared" si="59"/>
        <v/>
      </c>
      <c r="AE50" s="118" t="str">
        <f t="shared" si="59"/>
        <v/>
      </c>
      <c r="AF50" s="118" t="str">
        <f t="shared" si="59"/>
        <v/>
      </c>
      <c r="AG50" s="118" t="str">
        <f t="shared" si="59"/>
        <v/>
      </c>
      <c r="AH50" s="118" t="str">
        <f t="shared" si="59"/>
        <v/>
      </c>
      <c r="AI50" s="118" t="str">
        <f t="shared" si="59"/>
        <v/>
      </c>
      <c r="AJ50" s="118" t="str">
        <f t="shared" si="59"/>
        <v/>
      </c>
      <c r="AK50" s="118" t="str">
        <f t="shared" si="59"/>
        <v/>
      </c>
      <c r="AL50" s="118" t="str">
        <f t="shared" si="59"/>
        <v/>
      </c>
      <c r="AM50" s="118" t="str">
        <f t="shared" si="59"/>
        <v/>
      </c>
      <c r="AN50" s="118" t="str">
        <f t="shared" si="59"/>
        <v/>
      </c>
      <c r="AO50" s="118" t="str">
        <f t="shared" si="59"/>
        <v/>
      </c>
      <c r="AP50" s="118" t="str">
        <f t="shared" si="59"/>
        <v/>
      </c>
      <c r="AQ50" s="118" t="str">
        <f t="shared" si="59"/>
        <v/>
      </c>
      <c r="AR50" s="118" t="str">
        <f t="shared" si="59"/>
        <v/>
      </c>
      <c r="AS50" s="118" t="str">
        <f t="shared" si="59"/>
        <v/>
      </c>
      <c r="AT50" s="123">
        <f>IF(AT$6="","",IF(AT$3="Maior",iferror(VLOOKUP($R50,Capa!$A:$Z,AT$5,0),0),IF(ISERROR(1/VLOOKUP($R50,Capa!$A:$Z,AT$5,0)),0,1/VLOOKUP($R50,Capa!$A:$Z,AT$5,0))))</f>
        <v>1.048713025</v>
      </c>
      <c r="AU50" s="124">
        <f>IF(AU$6="","",IF(AU$3="Maior",iferror(VLOOKUP($R50,Capa!$A:$Z,AU$5,0),0),IF(ISERROR(1/VLOOKUP($R50,Capa!$A:$Z,AU$5,0)),0,1/VLOOKUP($R50,Capa!$A:$Z,AU$5,0))))</f>
        <v>0.1482968455</v>
      </c>
      <c r="AV50" s="124" t="str">
        <f>IF(AV$6="","",IF(AV$3="Maior",iferror(VLOOKUP($R49,Capa!$A:$Z,AV$5,0),0),IF(ISERROR(1/VLOOKUP($R49,Capa!$A:$Z,AV$5,0)),0,1/VLOOKUP($R49,Capa!$A:$Z,AV$5,0))))</f>
        <v/>
      </c>
      <c r="AW50" s="124" t="str">
        <f>IF(AW$6="","",IF(AW$3="Maior",iferror(VLOOKUP($R49,Capa!$A:$Z,AW$5,0),0),IF(ISERROR(1/VLOOKUP($R49,Capa!$A:$Z,AW$5,0)),0,1/VLOOKUP($R49,Capa!$A:$Z,AW$5,0))))</f>
        <v/>
      </c>
      <c r="AX50" s="124" t="str">
        <f>IF(AX$6="","",IF(AX$3="Maior",iferror(VLOOKUP($R49,Capa!$A:$Z,AX$5,0),0),IF(ISERROR(1/VLOOKUP($R49,Capa!$A:$Z,AX$5,0)),0,1/VLOOKUP($R49,Capa!$A:$Z,AX$5,0))))</f>
        <v/>
      </c>
      <c r="AY50" s="124" t="str">
        <f>IF(AY$6="","",IF(AY$3="Maior",iferror(VLOOKUP($R49,Capa!$A:$Z,AY$5,0),0),IF(ISERROR(1/VLOOKUP($R49,Capa!$A:$Z,AY$5,0)),0,1/VLOOKUP($R49,Capa!$A:$Z,AY$5,0))))</f>
        <v/>
      </c>
      <c r="AZ50" s="124" t="str">
        <f>IF(AZ$6="","",IF(AZ$3="Maior",iferror(VLOOKUP($R49,Capa!$A:$Z,AZ$5,0),0),IF(ISERROR(1/VLOOKUP($R49,Capa!$A:$Z,AZ$5,0)),0,1/VLOOKUP($R49,Capa!$A:$Z,AZ$5,0))))</f>
        <v/>
      </c>
      <c r="BA50" s="124" t="str">
        <f>IF(BA$6="","",IF(BA$3="Maior",iferror(VLOOKUP($R49,Capa!$A:$Z,BA$5,0),0),IF(ISERROR(1/VLOOKUP($R49,Capa!$A:$Z,BA$5,0)),0,1/VLOOKUP($R49,Capa!$A:$Z,BA$5,0))))</f>
        <v/>
      </c>
      <c r="BB50" s="124" t="str">
        <f>IF(BB$6="","",IF(BB$3="Maior",iferror(VLOOKUP($R49,Capa!$A:$Z,BB$5,0),0),IF(ISERROR(1/VLOOKUP($R49,Capa!$A:$Z,BB$5,0)),0,1/VLOOKUP($R49,Capa!$A:$Z,BB$5,0))))</f>
        <v/>
      </c>
      <c r="BC50" s="124" t="str">
        <f>IF(BC$6="","",IF(BC$3="Maior",iferror(VLOOKUP($R49,Capa!$A:$Z,BC$5,0),0),IF(ISERROR(1/VLOOKUP($R49,Capa!$A:$Z,BC$5,0)),0,1/VLOOKUP($R49,Capa!$A:$Z,BC$5,0))))</f>
        <v/>
      </c>
      <c r="BD50" s="124" t="str">
        <f>IF(BD$6="","",IF(BD$3="Maior",iferror(VLOOKUP($R49,Capa!$A:$Z,BD$5,0),0),IF(ISERROR(1/VLOOKUP($R49,Capa!$A:$Z,BD$5,0)),0,1/VLOOKUP($R49,Capa!$A:$Z,BD$5,0))))</f>
        <v/>
      </c>
      <c r="BE50" s="124" t="str">
        <f>IF(BE$6="","",IF(BE$3="Maior",iferror(VLOOKUP($R49,Capa!$A:$Z,BE$5,0),0),IF(ISERROR(1/VLOOKUP($R49,Capa!$A:$Z,BE$5,0)),0,1/VLOOKUP($R49,Capa!$A:$Z,BE$5,0))))</f>
        <v/>
      </c>
      <c r="BF50" s="124" t="str">
        <f>IF(BF$6="","",IF(BF$3="Maior",iferror(VLOOKUP($R49,Capa!$A:$Z,BF$5,0),0),IF(ISERROR(1/VLOOKUP($R49,Capa!$A:$Z,BF$5,0)),0,1/VLOOKUP($R49,Capa!$A:$Z,BF$5,0))))</f>
        <v/>
      </c>
      <c r="BG50" s="124" t="str">
        <f>IF(BG$6="","",IF(BG$3="Maior",iferror(VLOOKUP($R49,Capa!$A:$Z,BG$5,0),0),IF(ISERROR(1/VLOOKUP($R49,Capa!$A:$Z,BG$5,0)),0,1/VLOOKUP($R49,Capa!$A:$Z,BG$5,0))))</f>
        <v/>
      </c>
      <c r="BH50" s="124" t="str">
        <f>IF(BH$6="","",IF(BH$3="Maior",iferror(VLOOKUP($R49,Capa!$A:$Z,BH$5,0),0),IF(ISERROR(1/VLOOKUP($R49,Capa!$A:$Z,BH$5,0)),0,1/VLOOKUP($R49,Capa!$A:$Z,BH$5,0))))</f>
        <v/>
      </c>
      <c r="BI50" s="124" t="str">
        <f>IF(BI$6="","",IF(BI$3="Maior",iferror(VLOOKUP($R49,Capa!$A:$Z,BI$5,0),0),IF(ISERROR(1/VLOOKUP($R49,Capa!$A:$Z,BI$5,0)),0,1/VLOOKUP($R49,Capa!$A:$Z,BI$5,0))))</f>
        <v/>
      </c>
      <c r="BJ50" s="124" t="str">
        <f>IF(BJ$6="","",IF(BJ$3="Maior",iferror(VLOOKUP($R49,Capa!$A:$Z,BJ$5,0),0),IF(ISERROR(1/VLOOKUP($R49,Capa!$A:$Z,BJ$5,0)),0,1/VLOOKUP($R49,Capa!$A:$Z,BJ$5,0))))</f>
        <v/>
      </c>
      <c r="BK50" s="124" t="str">
        <f>IF(BK$6="","",IF(BK$3="Maior",iferror(VLOOKUP($R49,Capa!$A:$Z,BK$5,0),0),IF(ISERROR(1/VLOOKUP($R49,Capa!$A:$Z,BK$5,0)),0,1/VLOOKUP($R49,Capa!$A:$Z,BK$5,0))))</f>
        <v/>
      </c>
      <c r="BL50" s="124" t="str">
        <f>IF(BL$6="","",IF(BL$3="Maior",iferror(VLOOKUP($R49,Capa!$A:$Z,BL$5,0),0),IF(ISERROR(1/VLOOKUP($R49,Capa!$A:$Z,BL$5,0)),0,1/VLOOKUP($R49,Capa!$A:$Z,BL$5,0))))</f>
        <v/>
      </c>
      <c r="BM50" s="124" t="str">
        <f>IF(BM$6="","",IF(BM$3="Maior",iferror(VLOOKUP($R49,Capa!$A:$Z,BM$5,0),0),IF(ISERROR(1/VLOOKUP($R49,Capa!$A:$Z,BM$5,0)),0,1/VLOOKUP($R49,Capa!$A:$Z,BM$5,0))))</f>
        <v/>
      </c>
      <c r="BN50" s="124" t="str">
        <f>IF(BN$6="","",IF(BN$3="Maior",iferror(VLOOKUP($R49,Capa!$A:$Z,BN$5,0),0),IF(ISERROR(1/VLOOKUP($R49,Capa!$A:$Z,BN$5,0)),0,1/VLOOKUP($R49,Capa!$A:$Z,BN$5,0))))</f>
        <v/>
      </c>
      <c r="BO50" s="124" t="str">
        <f>IF(BO$6="","",IF(BO$3="Maior",iferror(VLOOKUP($R49,Capa!$A:$Z,BO$5,0),0),IF(ISERROR(1/VLOOKUP($R49,Capa!$A:$Z,BO$5,0)),0,1/VLOOKUP($R49,Capa!$A:$Z,BO$5,0))))</f>
        <v/>
      </c>
      <c r="BP50" s="124" t="str">
        <f>IF(BP$6="","",IF(BP$3="Maior",iferror(VLOOKUP($R49,Capa!$A:$Z,BP$5,0),0),IF(ISERROR(1/VLOOKUP($R49,Capa!$A:$Z,BP$5,0)),0,1/VLOOKUP($R49,Capa!$A:$Z,BP$5,0))))</f>
        <v/>
      </c>
      <c r="BQ50" s="124" t="str">
        <f>IF(BQ$6="","",IF(BQ$3="Maior",iferror(VLOOKUP($R49,Capa!$A:$Z,BQ$5,0),0),IF(ISERROR(1/VLOOKUP($R49,Capa!$A:$Z,BQ$5,0)),0,1/VLOOKUP($R49,Capa!$A:$Z,BQ$5,0))))</f>
        <v/>
      </c>
      <c r="BR50" s="125" t="str">
        <f>IF(BR$6="","",IF(BR$3="Maior",iferror(VLOOKUP($R49,Capa!$A:$Z,BR$5,0),0),IF(ISERROR(1/VLOOKUP($R49,Capa!$A:$Z,BR$5,0)),0,1/VLOOKUP($R49,Capa!$A:$Z,BR$5,0))))</f>
        <v/>
      </c>
      <c r="BS50" s="88"/>
    </row>
    <row r="51">
      <c r="G51" s="9"/>
      <c r="H51" s="7">
        <v>45.0</v>
      </c>
      <c r="I51" s="111" t="str">
        <f t="shared" si="7"/>
        <v>ALZR11</v>
      </c>
      <c r="J51" s="112" t="str">
        <f>VLOOKUP(I51,Capa!A:G,7,0)</f>
        <v>Híbrido</v>
      </c>
      <c r="K51" s="113">
        <f t="shared" si="8"/>
        <v>1.07594931</v>
      </c>
      <c r="L51" s="113">
        <f t="shared" si="9"/>
        <v>0.1308559304</v>
      </c>
      <c r="M51" s="113" t="str">
        <f t="shared" si="10"/>
        <v/>
      </c>
      <c r="N51" s="113" t="str">
        <f t="shared" si="11"/>
        <v/>
      </c>
      <c r="O51" s="114">
        <f t="shared" si="12"/>
        <v>1064026.35</v>
      </c>
      <c r="P51" s="9"/>
      <c r="Q51" s="9"/>
      <c r="R51" s="115" t="s">
        <v>125</v>
      </c>
      <c r="S51" s="116">
        <f t="shared" si="13"/>
        <v>1128.002504</v>
      </c>
      <c r="T51" s="117">
        <f>MID(VLOOKUP($R51,'Dados ClubeFII'!$A:$AU,23,0),3,100)/1</f>
        <v>72474.7</v>
      </c>
      <c r="U51" s="118">
        <f t="shared" si="14"/>
        <v>24.0024</v>
      </c>
      <c r="V51" s="118">
        <f t="shared" si="15"/>
        <v>104.000104</v>
      </c>
      <c r="W51" s="118" t="str">
        <f t="shared" ref="W51:AS51" si="60">IF(AV51="","", RANK(AV51,AV$7:AV$405,0))</f>
        <v/>
      </c>
      <c r="X51" s="118" t="str">
        <f t="shared" si="60"/>
        <v/>
      </c>
      <c r="Y51" s="118" t="str">
        <f t="shared" si="60"/>
        <v/>
      </c>
      <c r="Z51" s="118" t="str">
        <f t="shared" si="60"/>
        <v/>
      </c>
      <c r="AA51" s="118" t="str">
        <f t="shared" si="60"/>
        <v/>
      </c>
      <c r="AB51" s="118" t="str">
        <f t="shared" si="60"/>
        <v/>
      </c>
      <c r="AC51" s="118" t="str">
        <f t="shared" si="60"/>
        <v/>
      </c>
      <c r="AD51" s="118" t="str">
        <f t="shared" si="60"/>
        <v/>
      </c>
      <c r="AE51" s="118" t="str">
        <f t="shared" si="60"/>
        <v/>
      </c>
      <c r="AF51" s="118" t="str">
        <f t="shared" si="60"/>
        <v/>
      </c>
      <c r="AG51" s="118" t="str">
        <f t="shared" si="60"/>
        <v/>
      </c>
      <c r="AH51" s="118" t="str">
        <f t="shared" si="60"/>
        <v/>
      </c>
      <c r="AI51" s="118" t="str">
        <f t="shared" si="60"/>
        <v/>
      </c>
      <c r="AJ51" s="118" t="str">
        <f t="shared" si="60"/>
        <v/>
      </c>
      <c r="AK51" s="118" t="str">
        <f t="shared" si="60"/>
        <v/>
      </c>
      <c r="AL51" s="118" t="str">
        <f t="shared" si="60"/>
        <v/>
      </c>
      <c r="AM51" s="118" t="str">
        <f t="shared" si="60"/>
        <v/>
      </c>
      <c r="AN51" s="118" t="str">
        <f t="shared" si="60"/>
        <v/>
      </c>
      <c r="AO51" s="118" t="str">
        <f t="shared" si="60"/>
        <v/>
      </c>
      <c r="AP51" s="118" t="str">
        <f t="shared" si="60"/>
        <v/>
      </c>
      <c r="AQ51" s="118" t="str">
        <f t="shared" si="60"/>
        <v/>
      </c>
      <c r="AR51" s="118" t="str">
        <f t="shared" si="60"/>
        <v/>
      </c>
      <c r="AS51" s="118" t="str">
        <f t="shared" si="60"/>
        <v/>
      </c>
      <c r="AT51" s="123">
        <f>IF(AT$6="","",IF(AT$3="Maior",iferror(VLOOKUP($R51,Capa!$A:$Z,AT$5,0),0),IF(ISERROR(1/VLOOKUP($R51,Capa!$A:$Z,AT$5,0)),0,1/VLOOKUP($R51,Capa!$A:$Z,AT$5,0))))</f>
        <v>1.80919139</v>
      </c>
      <c r="AU51" s="124">
        <f>IF(AU$6="","",IF(AU$3="Maior",iferror(VLOOKUP($R51,Capa!$A:$Z,AU$5,0),0),IF(ISERROR(1/VLOOKUP($R51,Capa!$A:$Z,AU$5,0)),0,1/VLOOKUP($R51,Capa!$A:$Z,AU$5,0))))</f>
        <v>0.1077829582</v>
      </c>
      <c r="AV51" s="124" t="str">
        <f>IF(AV$6="","",IF(AV$3="Maior",iferror(VLOOKUP($R50,Capa!$A:$Z,AV$5,0),0),IF(ISERROR(1/VLOOKUP($R50,Capa!$A:$Z,AV$5,0)),0,1/VLOOKUP($R50,Capa!$A:$Z,AV$5,0))))</f>
        <v/>
      </c>
      <c r="AW51" s="124" t="str">
        <f>IF(AW$6="","",IF(AW$3="Maior",iferror(VLOOKUP($R50,Capa!$A:$Z,AW$5,0),0),IF(ISERROR(1/VLOOKUP($R50,Capa!$A:$Z,AW$5,0)),0,1/VLOOKUP($R50,Capa!$A:$Z,AW$5,0))))</f>
        <v/>
      </c>
      <c r="AX51" s="124" t="str">
        <f>IF(AX$6="","",IF(AX$3="Maior",iferror(VLOOKUP($R50,Capa!$A:$Z,AX$5,0),0),IF(ISERROR(1/VLOOKUP($R50,Capa!$A:$Z,AX$5,0)),0,1/VLOOKUP($R50,Capa!$A:$Z,AX$5,0))))</f>
        <v/>
      </c>
      <c r="AY51" s="124" t="str">
        <f>IF(AY$6="","",IF(AY$3="Maior",iferror(VLOOKUP($R50,Capa!$A:$Z,AY$5,0),0),IF(ISERROR(1/VLOOKUP($R50,Capa!$A:$Z,AY$5,0)),0,1/VLOOKUP($R50,Capa!$A:$Z,AY$5,0))))</f>
        <v/>
      </c>
      <c r="AZ51" s="124" t="str">
        <f>IF(AZ$6="","",IF(AZ$3="Maior",iferror(VLOOKUP($R50,Capa!$A:$Z,AZ$5,0),0),IF(ISERROR(1/VLOOKUP($R50,Capa!$A:$Z,AZ$5,0)),0,1/VLOOKUP($R50,Capa!$A:$Z,AZ$5,0))))</f>
        <v/>
      </c>
      <c r="BA51" s="124" t="str">
        <f>IF(BA$6="","",IF(BA$3="Maior",iferror(VLOOKUP($R50,Capa!$A:$Z,BA$5,0),0),IF(ISERROR(1/VLOOKUP($R50,Capa!$A:$Z,BA$5,0)),0,1/VLOOKUP($R50,Capa!$A:$Z,BA$5,0))))</f>
        <v/>
      </c>
      <c r="BB51" s="124" t="str">
        <f>IF(BB$6="","",IF(BB$3="Maior",iferror(VLOOKUP($R50,Capa!$A:$Z,BB$5,0),0),IF(ISERROR(1/VLOOKUP($R50,Capa!$A:$Z,BB$5,0)),0,1/VLOOKUP($R50,Capa!$A:$Z,BB$5,0))))</f>
        <v/>
      </c>
      <c r="BC51" s="124" t="str">
        <f>IF(BC$6="","",IF(BC$3="Maior",iferror(VLOOKUP($R50,Capa!$A:$Z,BC$5,0),0),IF(ISERROR(1/VLOOKUP($R50,Capa!$A:$Z,BC$5,0)),0,1/VLOOKUP($R50,Capa!$A:$Z,BC$5,0))))</f>
        <v/>
      </c>
      <c r="BD51" s="124" t="str">
        <f>IF(BD$6="","",IF(BD$3="Maior",iferror(VLOOKUP($R50,Capa!$A:$Z,BD$5,0),0),IF(ISERROR(1/VLOOKUP($R50,Capa!$A:$Z,BD$5,0)),0,1/VLOOKUP($R50,Capa!$A:$Z,BD$5,0))))</f>
        <v/>
      </c>
      <c r="BE51" s="124" t="str">
        <f>IF(BE$6="","",IF(BE$3="Maior",iferror(VLOOKUP($R50,Capa!$A:$Z,BE$5,0),0),IF(ISERROR(1/VLOOKUP($R50,Capa!$A:$Z,BE$5,0)),0,1/VLOOKUP($R50,Capa!$A:$Z,BE$5,0))))</f>
        <v/>
      </c>
      <c r="BF51" s="124" t="str">
        <f>IF(BF$6="","",IF(BF$3="Maior",iferror(VLOOKUP($R50,Capa!$A:$Z,BF$5,0),0),IF(ISERROR(1/VLOOKUP($R50,Capa!$A:$Z,BF$5,0)),0,1/VLOOKUP($R50,Capa!$A:$Z,BF$5,0))))</f>
        <v/>
      </c>
      <c r="BG51" s="124" t="str">
        <f>IF(BG$6="","",IF(BG$3="Maior",iferror(VLOOKUP($R50,Capa!$A:$Z,BG$5,0),0),IF(ISERROR(1/VLOOKUP($R50,Capa!$A:$Z,BG$5,0)),0,1/VLOOKUP($R50,Capa!$A:$Z,BG$5,0))))</f>
        <v/>
      </c>
      <c r="BH51" s="124" t="str">
        <f>IF(BH$6="","",IF(BH$3="Maior",iferror(VLOOKUP($R50,Capa!$A:$Z,BH$5,0),0),IF(ISERROR(1/VLOOKUP($R50,Capa!$A:$Z,BH$5,0)),0,1/VLOOKUP($R50,Capa!$A:$Z,BH$5,0))))</f>
        <v/>
      </c>
      <c r="BI51" s="124" t="str">
        <f>IF(BI$6="","",IF(BI$3="Maior",iferror(VLOOKUP($R50,Capa!$A:$Z,BI$5,0),0),IF(ISERROR(1/VLOOKUP($R50,Capa!$A:$Z,BI$5,0)),0,1/VLOOKUP($R50,Capa!$A:$Z,BI$5,0))))</f>
        <v/>
      </c>
      <c r="BJ51" s="124" t="str">
        <f>IF(BJ$6="","",IF(BJ$3="Maior",iferror(VLOOKUP($R50,Capa!$A:$Z,BJ$5,0),0),IF(ISERROR(1/VLOOKUP($R50,Capa!$A:$Z,BJ$5,0)),0,1/VLOOKUP($R50,Capa!$A:$Z,BJ$5,0))))</f>
        <v/>
      </c>
      <c r="BK51" s="124" t="str">
        <f>IF(BK$6="","",IF(BK$3="Maior",iferror(VLOOKUP($R50,Capa!$A:$Z,BK$5,0),0),IF(ISERROR(1/VLOOKUP($R50,Capa!$A:$Z,BK$5,0)),0,1/VLOOKUP($R50,Capa!$A:$Z,BK$5,0))))</f>
        <v/>
      </c>
      <c r="BL51" s="124" t="str">
        <f>IF(BL$6="","",IF(BL$3="Maior",iferror(VLOOKUP($R50,Capa!$A:$Z,BL$5,0),0),IF(ISERROR(1/VLOOKUP($R50,Capa!$A:$Z,BL$5,0)),0,1/VLOOKUP($R50,Capa!$A:$Z,BL$5,0))))</f>
        <v/>
      </c>
      <c r="BM51" s="124" t="str">
        <f>IF(BM$6="","",IF(BM$3="Maior",iferror(VLOOKUP($R50,Capa!$A:$Z,BM$5,0),0),IF(ISERROR(1/VLOOKUP($R50,Capa!$A:$Z,BM$5,0)),0,1/VLOOKUP($R50,Capa!$A:$Z,BM$5,0))))</f>
        <v/>
      </c>
      <c r="BN51" s="124" t="str">
        <f>IF(BN$6="","",IF(BN$3="Maior",iferror(VLOOKUP($R50,Capa!$A:$Z,BN$5,0),0),IF(ISERROR(1/VLOOKUP($R50,Capa!$A:$Z,BN$5,0)),0,1/VLOOKUP($R50,Capa!$A:$Z,BN$5,0))))</f>
        <v/>
      </c>
      <c r="BO51" s="124" t="str">
        <f>IF(BO$6="","",IF(BO$3="Maior",iferror(VLOOKUP($R50,Capa!$A:$Z,BO$5,0),0),IF(ISERROR(1/VLOOKUP($R50,Capa!$A:$Z,BO$5,0)),0,1/VLOOKUP($R50,Capa!$A:$Z,BO$5,0))))</f>
        <v/>
      </c>
      <c r="BP51" s="124" t="str">
        <f>IF(BP$6="","",IF(BP$3="Maior",iferror(VLOOKUP($R50,Capa!$A:$Z,BP$5,0),0),IF(ISERROR(1/VLOOKUP($R50,Capa!$A:$Z,BP$5,0)),0,1/VLOOKUP($R50,Capa!$A:$Z,BP$5,0))))</f>
        <v/>
      </c>
      <c r="BQ51" s="124" t="str">
        <f>IF(BQ$6="","",IF(BQ$3="Maior",iferror(VLOOKUP($R50,Capa!$A:$Z,BQ$5,0),0),IF(ISERROR(1/VLOOKUP($R50,Capa!$A:$Z,BQ$5,0)),0,1/VLOOKUP($R50,Capa!$A:$Z,BQ$5,0))))</f>
        <v/>
      </c>
      <c r="BR51" s="125" t="str">
        <f>IF(BR$6="","",IF(BR$3="Maior",iferror(VLOOKUP($R50,Capa!$A:$Z,BR$5,0),0),IF(ISERROR(1/VLOOKUP($R50,Capa!$A:$Z,BR$5,0)),0,1/VLOOKUP($R50,Capa!$A:$Z,BR$5,0))))</f>
        <v/>
      </c>
      <c r="BS51" s="88"/>
    </row>
    <row r="52">
      <c r="G52" s="9"/>
      <c r="H52" s="7">
        <v>46.0</v>
      </c>
      <c r="I52" s="129" t="str">
        <f t="shared" si="7"/>
        <v>VISC11</v>
      </c>
      <c r="J52" s="112" t="str">
        <f>VLOOKUP(I52,Capa!A:G,7,0)</f>
        <v>Shopping/Varejo</v>
      </c>
      <c r="K52" s="113">
        <f t="shared" si="8"/>
        <v>0.8340023157</v>
      </c>
      <c r="L52" s="113">
        <f t="shared" si="9"/>
        <v>0.0840952335</v>
      </c>
      <c r="M52" s="113" t="str">
        <f t="shared" si="10"/>
        <v/>
      </c>
      <c r="N52" s="113" t="str">
        <f t="shared" si="11"/>
        <v/>
      </c>
      <c r="O52" s="114">
        <f t="shared" si="12"/>
        <v>2638628.71</v>
      </c>
      <c r="P52" s="9"/>
      <c r="Q52" s="9"/>
      <c r="R52" s="115" t="s">
        <v>70</v>
      </c>
      <c r="S52" s="116">
        <f t="shared" si="13"/>
        <v>1181.011467</v>
      </c>
      <c r="T52" s="117">
        <f>MID(VLOOKUP($R52,'Dados ClubeFII'!$A:$AU,23,0),3,100)/1</f>
        <v>85722</v>
      </c>
      <c r="U52" s="118">
        <f t="shared" si="14"/>
        <v>114.0114</v>
      </c>
      <c r="V52" s="118">
        <f t="shared" si="15"/>
        <v>67.000067</v>
      </c>
      <c r="W52" s="118" t="str">
        <f t="shared" ref="W52:AS52" si="61">IF(AV52="","", RANK(AV52,AV$7:AV$405,0))</f>
        <v/>
      </c>
      <c r="X52" s="118" t="str">
        <f t="shared" si="61"/>
        <v/>
      </c>
      <c r="Y52" s="118" t="str">
        <f t="shared" si="61"/>
        <v/>
      </c>
      <c r="Z52" s="118" t="str">
        <f t="shared" si="61"/>
        <v/>
      </c>
      <c r="AA52" s="118" t="str">
        <f t="shared" si="61"/>
        <v/>
      </c>
      <c r="AB52" s="118" t="str">
        <f t="shared" si="61"/>
        <v/>
      </c>
      <c r="AC52" s="118" t="str">
        <f t="shared" si="61"/>
        <v/>
      </c>
      <c r="AD52" s="118" t="str">
        <f t="shared" si="61"/>
        <v/>
      </c>
      <c r="AE52" s="118" t="str">
        <f t="shared" si="61"/>
        <v/>
      </c>
      <c r="AF52" s="118" t="str">
        <f t="shared" si="61"/>
        <v/>
      </c>
      <c r="AG52" s="118" t="str">
        <f t="shared" si="61"/>
        <v/>
      </c>
      <c r="AH52" s="118" t="str">
        <f t="shared" si="61"/>
        <v/>
      </c>
      <c r="AI52" s="118" t="str">
        <f t="shared" si="61"/>
        <v/>
      </c>
      <c r="AJ52" s="118" t="str">
        <f t="shared" si="61"/>
        <v/>
      </c>
      <c r="AK52" s="118" t="str">
        <f t="shared" si="61"/>
        <v/>
      </c>
      <c r="AL52" s="118" t="str">
        <f t="shared" si="61"/>
        <v/>
      </c>
      <c r="AM52" s="118" t="str">
        <f t="shared" si="61"/>
        <v/>
      </c>
      <c r="AN52" s="118" t="str">
        <f t="shared" si="61"/>
        <v/>
      </c>
      <c r="AO52" s="118" t="str">
        <f t="shared" si="61"/>
        <v/>
      </c>
      <c r="AP52" s="118" t="str">
        <f t="shared" si="61"/>
        <v/>
      </c>
      <c r="AQ52" s="118" t="str">
        <f t="shared" si="61"/>
        <v/>
      </c>
      <c r="AR52" s="118" t="str">
        <f t="shared" si="61"/>
        <v/>
      </c>
      <c r="AS52" s="118" t="str">
        <f t="shared" si="61"/>
        <v/>
      </c>
      <c r="AT52" s="123">
        <f>IF(AT$6="","",IF(AT$3="Maior",iferror(VLOOKUP($R52,Capa!$A:$Z,AT$5,0),0),IF(ISERROR(1/VLOOKUP($R52,Capa!$A:$Z,AT$5,0)),0,1/VLOOKUP($R52,Capa!$A:$Z,AT$5,0))))</f>
        <v>1.164295928</v>
      </c>
      <c r="AU52" s="124">
        <f>IF(AU$6="","",IF(AU$3="Maior",iferror(VLOOKUP($R52,Capa!$A:$Z,AU$5,0),0),IF(ISERROR(1/VLOOKUP($R52,Capa!$A:$Z,AU$5,0)),0,1/VLOOKUP($R52,Capa!$A:$Z,AU$5,0))))</f>
        <v>0.1260368455</v>
      </c>
      <c r="AV52" s="124" t="str">
        <f>IF(AV$6="","",IF(AV$3="Maior",iferror(VLOOKUP($R51,Capa!$A:$Z,AV$5,0),0),IF(ISERROR(1/VLOOKUP($R51,Capa!$A:$Z,AV$5,0)),0,1/VLOOKUP($R51,Capa!$A:$Z,AV$5,0))))</f>
        <v/>
      </c>
      <c r="AW52" s="124" t="str">
        <f>IF(AW$6="","",IF(AW$3="Maior",iferror(VLOOKUP($R51,Capa!$A:$Z,AW$5,0),0),IF(ISERROR(1/VLOOKUP($R51,Capa!$A:$Z,AW$5,0)),0,1/VLOOKUP($R51,Capa!$A:$Z,AW$5,0))))</f>
        <v/>
      </c>
      <c r="AX52" s="124" t="str">
        <f>IF(AX$6="","",IF(AX$3="Maior",iferror(VLOOKUP($R51,Capa!$A:$Z,AX$5,0),0),IF(ISERROR(1/VLOOKUP($R51,Capa!$A:$Z,AX$5,0)),0,1/VLOOKUP($R51,Capa!$A:$Z,AX$5,0))))</f>
        <v/>
      </c>
      <c r="AY52" s="124" t="str">
        <f>IF(AY$6="","",IF(AY$3="Maior",iferror(VLOOKUP($R51,Capa!$A:$Z,AY$5,0),0),IF(ISERROR(1/VLOOKUP($R51,Capa!$A:$Z,AY$5,0)),0,1/VLOOKUP($R51,Capa!$A:$Z,AY$5,0))))</f>
        <v/>
      </c>
      <c r="AZ52" s="124" t="str">
        <f>IF(AZ$6="","",IF(AZ$3="Maior",iferror(VLOOKUP($R51,Capa!$A:$Z,AZ$5,0),0),IF(ISERROR(1/VLOOKUP($R51,Capa!$A:$Z,AZ$5,0)),0,1/VLOOKUP($R51,Capa!$A:$Z,AZ$5,0))))</f>
        <v/>
      </c>
      <c r="BA52" s="124" t="str">
        <f>IF(BA$6="","",IF(BA$3="Maior",iferror(VLOOKUP($R51,Capa!$A:$Z,BA$5,0),0),IF(ISERROR(1/VLOOKUP($R51,Capa!$A:$Z,BA$5,0)),0,1/VLOOKUP($R51,Capa!$A:$Z,BA$5,0))))</f>
        <v/>
      </c>
      <c r="BB52" s="124" t="str">
        <f>IF(BB$6="","",IF(BB$3="Maior",iferror(VLOOKUP($R51,Capa!$A:$Z,BB$5,0),0),IF(ISERROR(1/VLOOKUP($R51,Capa!$A:$Z,BB$5,0)),0,1/VLOOKUP($R51,Capa!$A:$Z,BB$5,0))))</f>
        <v/>
      </c>
      <c r="BC52" s="124" t="str">
        <f>IF(BC$6="","",IF(BC$3="Maior",iferror(VLOOKUP($R51,Capa!$A:$Z,BC$5,0),0),IF(ISERROR(1/VLOOKUP($R51,Capa!$A:$Z,BC$5,0)),0,1/VLOOKUP($R51,Capa!$A:$Z,BC$5,0))))</f>
        <v/>
      </c>
      <c r="BD52" s="124" t="str">
        <f>IF(BD$6="","",IF(BD$3="Maior",iferror(VLOOKUP($R51,Capa!$A:$Z,BD$5,0),0),IF(ISERROR(1/VLOOKUP($R51,Capa!$A:$Z,BD$5,0)),0,1/VLOOKUP($R51,Capa!$A:$Z,BD$5,0))))</f>
        <v/>
      </c>
      <c r="BE52" s="124" t="str">
        <f>IF(BE$6="","",IF(BE$3="Maior",iferror(VLOOKUP($R51,Capa!$A:$Z,BE$5,0),0),IF(ISERROR(1/VLOOKUP($R51,Capa!$A:$Z,BE$5,0)),0,1/VLOOKUP($R51,Capa!$A:$Z,BE$5,0))))</f>
        <v/>
      </c>
      <c r="BF52" s="124" t="str">
        <f>IF(BF$6="","",IF(BF$3="Maior",iferror(VLOOKUP($R51,Capa!$A:$Z,BF$5,0),0),IF(ISERROR(1/VLOOKUP($R51,Capa!$A:$Z,BF$5,0)),0,1/VLOOKUP($R51,Capa!$A:$Z,BF$5,0))))</f>
        <v/>
      </c>
      <c r="BG52" s="124" t="str">
        <f>IF(BG$6="","",IF(BG$3="Maior",iferror(VLOOKUP($R51,Capa!$A:$Z,BG$5,0),0),IF(ISERROR(1/VLOOKUP($R51,Capa!$A:$Z,BG$5,0)),0,1/VLOOKUP($R51,Capa!$A:$Z,BG$5,0))))</f>
        <v/>
      </c>
      <c r="BH52" s="124" t="str">
        <f>IF(BH$6="","",IF(BH$3="Maior",iferror(VLOOKUP($R51,Capa!$A:$Z,BH$5,0),0),IF(ISERROR(1/VLOOKUP($R51,Capa!$A:$Z,BH$5,0)),0,1/VLOOKUP($R51,Capa!$A:$Z,BH$5,0))))</f>
        <v/>
      </c>
      <c r="BI52" s="124" t="str">
        <f>IF(BI$6="","",IF(BI$3="Maior",iferror(VLOOKUP($R51,Capa!$A:$Z,BI$5,0),0),IF(ISERROR(1/VLOOKUP($R51,Capa!$A:$Z,BI$5,0)),0,1/VLOOKUP($R51,Capa!$A:$Z,BI$5,0))))</f>
        <v/>
      </c>
      <c r="BJ52" s="124" t="str">
        <f>IF(BJ$6="","",IF(BJ$3="Maior",iferror(VLOOKUP($R51,Capa!$A:$Z,BJ$5,0),0),IF(ISERROR(1/VLOOKUP($R51,Capa!$A:$Z,BJ$5,0)),0,1/VLOOKUP($R51,Capa!$A:$Z,BJ$5,0))))</f>
        <v/>
      </c>
      <c r="BK52" s="124" t="str">
        <f>IF(BK$6="","",IF(BK$3="Maior",iferror(VLOOKUP($R51,Capa!$A:$Z,BK$5,0),0),IF(ISERROR(1/VLOOKUP($R51,Capa!$A:$Z,BK$5,0)),0,1/VLOOKUP($R51,Capa!$A:$Z,BK$5,0))))</f>
        <v/>
      </c>
      <c r="BL52" s="124" t="str">
        <f>IF(BL$6="","",IF(BL$3="Maior",iferror(VLOOKUP($R51,Capa!$A:$Z,BL$5,0),0),IF(ISERROR(1/VLOOKUP($R51,Capa!$A:$Z,BL$5,0)),0,1/VLOOKUP($R51,Capa!$A:$Z,BL$5,0))))</f>
        <v/>
      </c>
      <c r="BM52" s="124" t="str">
        <f>IF(BM$6="","",IF(BM$3="Maior",iferror(VLOOKUP($R51,Capa!$A:$Z,BM$5,0),0),IF(ISERROR(1/VLOOKUP($R51,Capa!$A:$Z,BM$5,0)),0,1/VLOOKUP($R51,Capa!$A:$Z,BM$5,0))))</f>
        <v/>
      </c>
      <c r="BN52" s="124" t="str">
        <f>IF(BN$6="","",IF(BN$3="Maior",iferror(VLOOKUP($R51,Capa!$A:$Z,BN$5,0),0),IF(ISERROR(1/VLOOKUP($R51,Capa!$A:$Z,BN$5,0)),0,1/VLOOKUP($R51,Capa!$A:$Z,BN$5,0))))</f>
        <v/>
      </c>
      <c r="BO52" s="124" t="str">
        <f>IF(BO$6="","",IF(BO$3="Maior",iferror(VLOOKUP($R51,Capa!$A:$Z,BO$5,0),0),IF(ISERROR(1/VLOOKUP($R51,Capa!$A:$Z,BO$5,0)),0,1/VLOOKUP($R51,Capa!$A:$Z,BO$5,0))))</f>
        <v/>
      </c>
      <c r="BP52" s="124" t="str">
        <f>IF(BP$6="","",IF(BP$3="Maior",iferror(VLOOKUP($R51,Capa!$A:$Z,BP$5,0),0),IF(ISERROR(1/VLOOKUP($R51,Capa!$A:$Z,BP$5,0)),0,1/VLOOKUP($R51,Capa!$A:$Z,BP$5,0))))</f>
        <v/>
      </c>
      <c r="BQ52" s="124" t="str">
        <f>IF(BQ$6="","",IF(BQ$3="Maior",iferror(VLOOKUP($R51,Capa!$A:$Z,BQ$5,0),0),IF(ISERROR(1/VLOOKUP($R51,Capa!$A:$Z,BQ$5,0)),0,1/VLOOKUP($R51,Capa!$A:$Z,BQ$5,0))))</f>
        <v/>
      </c>
      <c r="BR52" s="125" t="str">
        <f>IF(BR$6="","",IF(BR$3="Maior",iferror(VLOOKUP($R51,Capa!$A:$Z,BR$5,0),0),IF(ISERROR(1/VLOOKUP($R51,Capa!$A:$Z,BR$5,0)),0,1/VLOOKUP($R51,Capa!$A:$Z,BR$5,0))))</f>
        <v/>
      </c>
      <c r="BS52" s="88"/>
    </row>
    <row r="53">
      <c r="G53" s="9"/>
      <c r="H53" s="7">
        <v>47.0</v>
      </c>
      <c r="I53" s="111" t="str">
        <f t="shared" si="7"/>
        <v>PVBI11</v>
      </c>
      <c r="J53" s="112" t="str">
        <f>VLOOKUP(I53,Capa!A:G,7,0)</f>
        <v>Lajes Comerciais</v>
      </c>
      <c r="K53" s="113">
        <f t="shared" si="8"/>
        <v>0.8661307235</v>
      </c>
      <c r="L53" s="113">
        <f t="shared" si="9"/>
        <v>0.08125131073</v>
      </c>
      <c r="M53" s="113" t="str">
        <f t="shared" si="10"/>
        <v/>
      </c>
      <c r="N53" s="113" t="str">
        <f t="shared" si="11"/>
        <v/>
      </c>
      <c r="O53" s="114">
        <f t="shared" si="12"/>
        <v>2973327.17</v>
      </c>
      <c r="P53" s="9"/>
      <c r="Q53" s="9"/>
      <c r="R53" s="115" t="s">
        <v>76</v>
      </c>
      <c r="S53" s="116">
        <f t="shared" si="13"/>
        <v>1097.001978</v>
      </c>
      <c r="T53" s="117">
        <f>MID(VLOOKUP($R53,'Dados ClubeFII'!$A:$AU,23,0),3,100)/1</f>
        <v>487339.57</v>
      </c>
      <c r="U53" s="118">
        <f t="shared" si="14"/>
        <v>19.0019</v>
      </c>
      <c r="V53" s="118">
        <f t="shared" si="15"/>
        <v>78.000078</v>
      </c>
      <c r="W53" s="118" t="str">
        <f t="shared" ref="W53:AS53" si="62">IF(AV53="","", RANK(AV53,AV$7:AV$405,0))</f>
        <v/>
      </c>
      <c r="X53" s="118" t="str">
        <f t="shared" si="62"/>
        <v/>
      </c>
      <c r="Y53" s="118" t="str">
        <f t="shared" si="62"/>
        <v/>
      </c>
      <c r="Z53" s="118" t="str">
        <f t="shared" si="62"/>
        <v/>
      </c>
      <c r="AA53" s="118" t="str">
        <f t="shared" si="62"/>
        <v/>
      </c>
      <c r="AB53" s="118" t="str">
        <f t="shared" si="62"/>
        <v/>
      </c>
      <c r="AC53" s="118" t="str">
        <f t="shared" si="62"/>
        <v/>
      </c>
      <c r="AD53" s="118" t="str">
        <f t="shared" si="62"/>
        <v/>
      </c>
      <c r="AE53" s="118" t="str">
        <f t="shared" si="62"/>
        <v/>
      </c>
      <c r="AF53" s="118" t="str">
        <f t="shared" si="62"/>
        <v/>
      </c>
      <c r="AG53" s="118" t="str">
        <f t="shared" si="62"/>
        <v/>
      </c>
      <c r="AH53" s="118" t="str">
        <f t="shared" si="62"/>
        <v/>
      </c>
      <c r="AI53" s="118" t="str">
        <f t="shared" si="62"/>
        <v/>
      </c>
      <c r="AJ53" s="118" t="str">
        <f t="shared" si="62"/>
        <v/>
      </c>
      <c r="AK53" s="118" t="str">
        <f t="shared" si="62"/>
        <v/>
      </c>
      <c r="AL53" s="118" t="str">
        <f t="shared" si="62"/>
        <v/>
      </c>
      <c r="AM53" s="118" t="str">
        <f t="shared" si="62"/>
        <v/>
      </c>
      <c r="AN53" s="118" t="str">
        <f t="shared" si="62"/>
        <v/>
      </c>
      <c r="AO53" s="118" t="str">
        <f t="shared" si="62"/>
        <v/>
      </c>
      <c r="AP53" s="118" t="str">
        <f t="shared" si="62"/>
        <v/>
      </c>
      <c r="AQ53" s="118" t="str">
        <f t="shared" si="62"/>
        <v/>
      </c>
      <c r="AR53" s="118" t="str">
        <f t="shared" si="62"/>
        <v/>
      </c>
      <c r="AS53" s="118" t="str">
        <f t="shared" si="62"/>
        <v/>
      </c>
      <c r="AT53" s="123">
        <f>IF(AT$6="","",IF(AT$3="Maior",iferror(VLOOKUP($R53,Capa!$A:$Z,AT$5,0),0),IF(ISERROR(1/VLOOKUP($R53,Capa!$A:$Z,AT$5,0)),0,1/VLOOKUP($R53,Capa!$A:$Z,AT$5,0))))</f>
        <v>1.854389628</v>
      </c>
      <c r="AU53" s="124">
        <f>IF(AU$6="","",IF(AU$3="Maior",iferror(VLOOKUP($R53,Capa!$A:$Z,AU$5,0),0),IF(ISERROR(1/VLOOKUP($R53,Capa!$A:$Z,AU$5,0)),0,1/VLOOKUP($R53,Capa!$A:$Z,AU$5,0))))</f>
        <v>0.1198357771</v>
      </c>
      <c r="AV53" s="124" t="str">
        <f>IF(AV$6="","",IF(AV$3="Maior",iferror(VLOOKUP($R52,Capa!$A:$Z,AV$5,0),0),IF(ISERROR(1/VLOOKUP($R52,Capa!$A:$Z,AV$5,0)),0,1/VLOOKUP($R52,Capa!$A:$Z,AV$5,0))))</f>
        <v/>
      </c>
      <c r="AW53" s="124" t="str">
        <f>IF(AW$6="","",IF(AW$3="Maior",iferror(VLOOKUP($R52,Capa!$A:$Z,AW$5,0),0),IF(ISERROR(1/VLOOKUP($R52,Capa!$A:$Z,AW$5,0)),0,1/VLOOKUP($R52,Capa!$A:$Z,AW$5,0))))</f>
        <v/>
      </c>
      <c r="AX53" s="124" t="str">
        <f>IF(AX$6="","",IF(AX$3="Maior",iferror(VLOOKUP($R52,Capa!$A:$Z,AX$5,0),0),IF(ISERROR(1/VLOOKUP($R52,Capa!$A:$Z,AX$5,0)),0,1/VLOOKUP($R52,Capa!$A:$Z,AX$5,0))))</f>
        <v/>
      </c>
      <c r="AY53" s="124" t="str">
        <f>IF(AY$6="","",IF(AY$3="Maior",iferror(VLOOKUP($R52,Capa!$A:$Z,AY$5,0),0),IF(ISERROR(1/VLOOKUP($R52,Capa!$A:$Z,AY$5,0)),0,1/VLOOKUP($R52,Capa!$A:$Z,AY$5,0))))</f>
        <v/>
      </c>
      <c r="AZ53" s="124" t="str">
        <f>IF(AZ$6="","",IF(AZ$3="Maior",iferror(VLOOKUP($R52,Capa!$A:$Z,AZ$5,0),0),IF(ISERROR(1/VLOOKUP($R52,Capa!$A:$Z,AZ$5,0)),0,1/VLOOKUP($R52,Capa!$A:$Z,AZ$5,0))))</f>
        <v/>
      </c>
      <c r="BA53" s="124" t="str">
        <f>IF(BA$6="","",IF(BA$3="Maior",iferror(VLOOKUP($R52,Capa!$A:$Z,BA$5,0),0),IF(ISERROR(1/VLOOKUP($R52,Capa!$A:$Z,BA$5,0)),0,1/VLOOKUP($R52,Capa!$A:$Z,BA$5,0))))</f>
        <v/>
      </c>
      <c r="BB53" s="124" t="str">
        <f>IF(BB$6="","",IF(BB$3="Maior",iferror(VLOOKUP($R52,Capa!$A:$Z,BB$5,0),0),IF(ISERROR(1/VLOOKUP($R52,Capa!$A:$Z,BB$5,0)),0,1/VLOOKUP($R52,Capa!$A:$Z,BB$5,0))))</f>
        <v/>
      </c>
      <c r="BC53" s="124" t="str">
        <f>IF(BC$6="","",IF(BC$3="Maior",iferror(VLOOKUP($R52,Capa!$A:$Z,BC$5,0),0),IF(ISERROR(1/VLOOKUP($R52,Capa!$A:$Z,BC$5,0)),0,1/VLOOKUP($R52,Capa!$A:$Z,BC$5,0))))</f>
        <v/>
      </c>
      <c r="BD53" s="124" t="str">
        <f>IF(BD$6="","",IF(BD$3="Maior",iferror(VLOOKUP($R52,Capa!$A:$Z,BD$5,0),0),IF(ISERROR(1/VLOOKUP($R52,Capa!$A:$Z,BD$5,0)),0,1/VLOOKUP($R52,Capa!$A:$Z,BD$5,0))))</f>
        <v/>
      </c>
      <c r="BE53" s="124" t="str">
        <f>IF(BE$6="","",IF(BE$3="Maior",iferror(VLOOKUP($R52,Capa!$A:$Z,BE$5,0),0),IF(ISERROR(1/VLOOKUP($R52,Capa!$A:$Z,BE$5,0)),0,1/VLOOKUP($R52,Capa!$A:$Z,BE$5,0))))</f>
        <v/>
      </c>
      <c r="BF53" s="124" t="str">
        <f>IF(BF$6="","",IF(BF$3="Maior",iferror(VLOOKUP($R52,Capa!$A:$Z,BF$5,0),0),IF(ISERROR(1/VLOOKUP($R52,Capa!$A:$Z,BF$5,0)),0,1/VLOOKUP($R52,Capa!$A:$Z,BF$5,0))))</f>
        <v/>
      </c>
      <c r="BG53" s="124" t="str">
        <f>IF(BG$6="","",IF(BG$3="Maior",iferror(VLOOKUP($R52,Capa!$A:$Z,BG$5,0),0),IF(ISERROR(1/VLOOKUP($R52,Capa!$A:$Z,BG$5,0)),0,1/VLOOKUP($R52,Capa!$A:$Z,BG$5,0))))</f>
        <v/>
      </c>
      <c r="BH53" s="124" t="str">
        <f>IF(BH$6="","",IF(BH$3="Maior",iferror(VLOOKUP($R52,Capa!$A:$Z,BH$5,0),0),IF(ISERROR(1/VLOOKUP($R52,Capa!$A:$Z,BH$5,0)),0,1/VLOOKUP($R52,Capa!$A:$Z,BH$5,0))))</f>
        <v/>
      </c>
      <c r="BI53" s="124" t="str">
        <f>IF(BI$6="","",IF(BI$3="Maior",iferror(VLOOKUP($R52,Capa!$A:$Z,BI$5,0),0),IF(ISERROR(1/VLOOKUP($R52,Capa!$A:$Z,BI$5,0)),0,1/VLOOKUP($R52,Capa!$A:$Z,BI$5,0))))</f>
        <v/>
      </c>
      <c r="BJ53" s="124" t="str">
        <f>IF(BJ$6="","",IF(BJ$3="Maior",iferror(VLOOKUP($R52,Capa!$A:$Z,BJ$5,0),0),IF(ISERROR(1/VLOOKUP($R52,Capa!$A:$Z,BJ$5,0)),0,1/VLOOKUP($R52,Capa!$A:$Z,BJ$5,0))))</f>
        <v/>
      </c>
      <c r="BK53" s="124" t="str">
        <f>IF(BK$6="","",IF(BK$3="Maior",iferror(VLOOKUP($R52,Capa!$A:$Z,BK$5,0),0),IF(ISERROR(1/VLOOKUP($R52,Capa!$A:$Z,BK$5,0)),0,1/VLOOKUP($R52,Capa!$A:$Z,BK$5,0))))</f>
        <v/>
      </c>
      <c r="BL53" s="124" t="str">
        <f>IF(BL$6="","",IF(BL$3="Maior",iferror(VLOOKUP($R52,Capa!$A:$Z,BL$5,0),0),IF(ISERROR(1/VLOOKUP($R52,Capa!$A:$Z,BL$5,0)),0,1/VLOOKUP($R52,Capa!$A:$Z,BL$5,0))))</f>
        <v/>
      </c>
      <c r="BM53" s="124" t="str">
        <f>IF(BM$6="","",IF(BM$3="Maior",iferror(VLOOKUP($R52,Capa!$A:$Z,BM$5,0),0),IF(ISERROR(1/VLOOKUP($R52,Capa!$A:$Z,BM$5,0)),0,1/VLOOKUP($R52,Capa!$A:$Z,BM$5,0))))</f>
        <v/>
      </c>
      <c r="BN53" s="124" t="str">
        <f>IF(BN$6="","",IF(BN$3="Maior",iferror(VLOOKUP($R52,Capa!$A:$Z,BN$5,0),0),IF(ISERROR(1/VLOOKUP($R52,Capa!$A:$Z,BN$5,0)),0,1/VLOOKUP($R52,Capa!$A:$Z,BN$5,0))))</f>
        <v/>
      </c>
      <c r="BO53" s="124" t="str">
        <f>IF(BO$6="","",IF(BO$3="Maior",iferror(VLOOKUP($R52,Capa!$A:$Z,BO$5,0),0),IF(ISERROR(1/VLOOKUP($R52,Capa!$A:$Z,BO$5,0)),0,1/VLOOKUP($R52,Capa!$A:$Z,BO$5,0))))</f>
        <v/>
      </c>
      <c r="BP53" s="124" t="str">
        <f>IF(BP$6="","",IF(BP$3="Maior",iferror(VLOOKUP($R52,Capa!$A:$Z,BP$5,0),0),IF(ISERROR(1/VLOOKUP($R52,Capa!$A:$Z,BP$5,0)),0,1/VLOOKUP($R52,Capa!$A:$Z,BP$5,0))))</f>
        <v/>
      </c>
      <c r="BQ53" s="124" t="str">
        <f>IF(BQ$6="","",IF(BQ$3="Maior",iferror(VLOOKUP($R52,Capa!$A:$Z,BQ$5,0),0),IF(ISERROR(1/VLOOKUP($R52,Capa!$A:$Z,BQ$5,0)),0,1/VLOOKUP($R52,Capa!$A:$Z,BQ$5,0))))</f>
        <v/>
      </c>
      <c r="BR53" s="125" t="str">
        <f>IF(BR$6="","",IF(BR$3="Maior",iferror(VLOOKUP($R52,Capa!$A:$Z,BR$5,0),0),IF(ISERROR(1/VLOOKUP($R52,Capa!$A:$Z,BR$5,0)),0,1/VLOOKUP($R52,Capa!$A:$Z,BR$5,0))))</f>
        <v/>
      </c>
      <c r="BS53" s="88"/>
    </row>
    <row r="54">
      <c r="G54" s="9"/>
      <c r="H54" s="7">
        <v>48.0</v>
      </c>
      <c r="I54" s="129" t="str">
        <f t="shared" si="7"/>
        <v>MXRF11</v>
      </c>
      <c r="J54" s="112" t="str">
        <f>VLOOKUP(I54,Capa!A:G,7,0)</f>
        <v>Recebíveis Imobiliários</v>
      </c>
      <c r="K54" s="113">
        <f t="shared" si="8"/>
        <v>1.01284585</v>
      </c>
      <c r="L54" s="113">
        <f t="shared" si="9"/>
        <v>0.1116156126</v>
      </c>
      <c r="M54" s="113" t="str">
        <f t="shared" si="10"/>
        <v/>
      </c>
      <c r="N54" s="113" t="str">
        <f t="shared" si="11"/>
        <v/>
      </c>
      <c r="O54" s="114">
        <f t="shared" si="12"/>
        <v>5690018.16</v>
      </c>
      <c r="P54" s="9"/>
      <c r="Q54" s="9"/>
      <c r="R54" s="115" t="s">
        <v>94</v>
      </c>
      <c r="S54" s="116">
        <f t="shared" si="13"/>
        <v>1123.003984</v>
      </c>
      <c r="T54" s="117">
        <f>MID(VLOOKUP($R54,'Dados ClubeFII'!$A:$AU,23,0),3,100)/1</f>
        <v>28375.25</v>
      </c>
      <c r="U54" s="118">
        <f t="shared" si="14"/>
        <v>39.0039</v>
      </c>
      <c r="V54" s="118">
        <f t="shared" si="15"/>
        <v>84.000084</v>
      </c>
      <c r="W54" s="118" t="str">
        <f t="shared" ref="W54:AS54" si="63">IF(AV54="","", RANK(AV54,AV$7:AV$405,0))</f>
        <v/>
      </c>
      <c r="X54" s="118" t="str">
        <f t="shared" si="63"/>
        <v/>
      </c>
      <c r="Y54" s="118" t="str">
        <f t="shared" si="63"/>
        <v/>
      </c>
      <c r="Z54" s="118" t="str">
        <f t="shared" si="63"/>
        <v/>
      </c>
      <c r="AA54" s="118" t="str">
        <f t="shared" si="63"/>
        <v/>
      </c>
      <c r="AB54" s="118" t="str">
        <f t="shared" si="63"/>
        <v/>
      </c>
      <c r="AC54" s="118" t="str">
        <f t="shared" si="63"/>
        <v/>
      </c>
      <c r="AD54" s="118" t="str">
        <f t="shared" si="63"/>
        <v/>
      </c>
      <c r="AE54" s="118" t="str">
        <f t="shared" si="63"/>
        <v/>
      </c>
      <c r="AF54" s="118" t="str">
        <f t="shared" si="63"/>
        <v/>
      </c>
      <c r="AG54" s="118" t="str">
        <f t="shared" si="63"/>
        <v/>
      </c>
      <c r="AH54" s="118" t="str">
        <f t="shared" si="63"/>
        <v/>
      </c>
      <c r="AI54" s="118" t="str">
        <f t="shared" si="63"/>
        <v/>
      </c>
      <c r="AJ54" s="118" t="str">
        <f t="shared" si="63"/>
        <v/>
      </c>
      <c r="AK54" s="118" t="str">
        <f t="shared" si="63"/>
        <v/>
      </c>
      <c r="AL54" s="118" t="str">
        <f t="shared" si="63"/>
        <v/>
      </c>
      <c r="AM54" s="118" t="str">
        <f t="shared" si="63"/>
        <v/>
      </c>
      <c r="AN54" s="118" t="str">
        <f t="shared" si="63"/>
        <v/>
      </c>
      <c r="AO54" s="118" t="str">
        <f t="shared" si="63"/>
        <v/>
      </c>
      <c r="AP54" s="118" t="str">
        <f t="shared" si="63"/>
        <v/>
      </c>
      <c r="AQ54" s="118" t="str">
        <f t="shared" si="63"/>
        <v/>
      </c>
      <c r="AR54" s="118" t="str">
        <f t="shared" si="63"/>
        <v/>
      </c>
      <c r="AS54" s="118" t="str">
        <f t="shared" si="63"/>
        <v/>
      </c>
      <c r="AT54" s="123">
        <f>IF(AT$6="","",IF(AT$3="Maior",iferror(VLOOKUP($R54,Capa!$A:$Z,AT$5,0),0),IF(ISERROR(1/VLOOKUP($R54,Capa!$A:$Z,AT$5,0)),0,1/VLOOKUP($R54,Capa!$A:$Z,AT$5,0))))</f>
        <v>1.5328911</v>
      </c>
      <c r="AU54" s="124">
        <f>IF(AU$6="","",IF(AU$3="Maior",iferror(VLOOKUP($R54,Capa!$A:$Z,AU$5,0),0),IF(ISERROR(1/VLOOKUP($R54,Capa!$A:$Z,AU$5,0)),0,1/VLOOKUP($R54,Capa!$A:$Z,AU$5,0))))</f>
        <v>0.115088352</v>
      </c>
      <c r="AV54" s="124" t="str">
        <f>IF(AV$6="","",IF(AV$3="Maior",iferror(VLOOKUP($R53,Capa!$A:$Z,AV$5,0),0),IF(ISERROR(1/VLOOKUP($R53,Capa!$A:$Z,AV$5,0)),0,1/VLOOKUP($R53,Capa!$A:$Z,AV$5,0))))</f>
        <v/>
      </c>
      <c r="AW54" s="124" t="str">
        <f>IF(AW$6="","",IF(AW$3="Maior",iferror(VLOOKUP($R53,Capa!$A:$Z,AW$5,0),0),IF(ISERROR(1/VLOOKUP($R53,Capa!$A:$Z,AW$5,0)),0,1/VLOOKUP($R53,Capa!$A:$Z,AW$5,0))))</f>
        <v/>
      </c>
      <c r="AX54" s="124" t="str">
        <f>IF(AX$6="","",IF(AX$3="Maior",iferror(VLOOKUP($R53,Capa!$A:$Z,AX$5,0),0),IF(ISERROR(1/VLOOKUP($R53,Capa!$A:$Z,AX$5,0)),0,1/VLOOKUP($R53,Capa!$A:$Z,AX$5,0))))</f>
        <v/>
      </c>
      <c r="AY54" s="124" t="str">
        <f>IF(AY$6="","",IF(AY$3="Maior",iferror(VLOOKUP($R53,Capa!$A:$Z,AY$5,0),0),IF(ISERROR(1/VLOOKUP($R53,Capa!$A:$Z,AY$5,0)),0,1/VLOOKUP($R53,Capa!$A:$Z,AY$5,0))))</f>
        <v/>
      </c>
      <c r="AZ54" s="124" t="str">
        <f>IF(AZ$6="","",IF(AZ$3="Maior",iferror(VLOOKUP($R53,Capa!$A:$Z,AZ$5,0),0),IF(ISERROR(1/VLOOKUP($R53,Capa!$A:$Z,AZ$5,0)),0,1/VLOOKUP($R53,Capa!$A:$Z,AZ$5,0))))</f>
        <v/>
      </c>
      <c r="BA54" s="124" t="str">
        <f>IF(BA$6="","",IF(BA$3="Maior",iferror(VLOOKUP($R53,Capa!$A:$Z,BA$5,0),0),IF(ISERROR(1/VLOOKUP($R53,Capa!$A:$Z,BA$5,0)),0,1/VLOOKUP($R53,Capa!$A:$Z,BA$5,0))))</f>
        <v/>
      </c>
      <c r="BB54" s="124" t="str">
        <f>IF(BB$6="","",IF(BB$3="Maior",iferror(VLOOKUP($R53,Capa!$A:$Z,BB$5,0),0),IF(ISERROR(1/VLOOKUP($R53,Capa!$A:$Z,BB$5,0)),0,1/VLOOKUP($R53,Capa!$A:$Z,BB$5,0))))</f>
        <v/>
      </c>
      <c r="BC54" s="124" t="str">
        <f>IF(BC$6="","",IF(BC$3="Maior",iferror(VLOOKUP($R53,Capa!$A:$Z,BC$5,0),0),IF(ISERROR(1/VLOOKUP($R53,Capa!$A:$Z,BC$5,0)),0,1/VLOOKUP($R53,Capa!$A:$Z,BC$5,0))))</f>
        <v/>
      </c>
      <c r="BD54" s="124" t="str">
        <f>IF(BD$6="","",IF(BD$3="Maior",iferror(VLOOKUP($R53,Capa!$A:$Z,BD$5,0),0),IF(ISERROR(1/VLOOKUP($R53,Capa!$A:$Z,BD$5,0)),0,1/VLOOKUP($R53,Capa!$A:$Z,BD$5,0))))</f>
        <v/>
      </c>
      <c r="BE54" s="124" t="str">
        <f>IF(BE$6="","",IF(BE$3="Maior",iferror(VLOOKUP($R53,Capa!$A:$Z,BE$5,0),0),IF(ISERROR(1/VLOOKUP($R53,Capa!$A:$Z,BE$5,0)),0,1/VLOOKUP($R53,Capa!$A:$Z,BE$5,0))))</f>
        <v/>
      </c>
      <c r="BF54" s="124" t="str">
        <f>IF(BF$6="","",IF(BF$3="Maior",iferror(VLOOKUP($R53,Capa!$A:$Z,BF$5,0),0),IF(ISERROR(1/VLOOKUP($R53,Capa!$A:$Z,BF$5,0)),0,1/VLOOKUP($R53,Capa!$A:$Z,BF$5,0))))</f>
        <v/>
      </c>
      <c r="BG54" s="124" t="str">
        <f>IF(BG$6="","",IF(BG$3="Maior",iferror(VLOOKUP($R53,Capa!$A:$Z,BG$5,0),0),IF(ISERROR(1/VLOOKUP($R53,Capa!$A:$Z,BG$5,0)),0,1/VLOOKUP($R53,Capa!$A:$Z,BG$5,0))))</f>
        <v/>
      </c>
      <c r="BH54" s="124" t="str">
        <f>IF(BH$6="","",IF(BH$3="Maior",iferror(VLOOKUP($R53,Capa!$A:$Z,BH$5,0),0),IF(ISERROR(1/VLOOKUP($R53,Capa!$A:$Z,BH$5,0)),0,1/VLOOKUP($R53,Capa!$A:$Z,BH$5,0))))</f>
        <v/>
      </c>
      <c r="BI54" s="124" t="str">
        <f>IF(BI$6="","",IF(BI$3="Maior",iferror(VLOOKUP($R53,Capa!$A:$Z,BI$5,0),0),IF(ISERROR(1/VLOOKUP($R53,Capa!$A:$Z,BI$5,0)),0,1/VLOOKUP($R53,Capa!$A:$Z,BI$5,0))))</f>
        <v/>
      </c>
      <c r="BJ54" s="124" t="str">
        <f>IF(BJ$6="","",IF(BJ$3="Maior",iferror(VLOOKUP($R53,Capa!$A:$Z,BJ$5,0),0),IF(ISERROR(1/VLOOKUP($R53,Capa!$A:$Z,BJ$5,0)),0,1/VLOOKUP($R53,Capa!$A:$Z,BJ$5,0))))</f>
        <v/>
      </c>
      <c r="BK54" s="124" t="str">
        <f>IF(BK$6="","",IF(BK$3="Maior",iferror(VLOOKUP($R53,Capa!$A:$Z,BK$5,0),0),IF(ISERROR(1/VLOOKUP($R53,Capa!$A:$Z,BK$5,0)),0,1/VLOOKUP($R53,Capa!$A:$Z,BK$5,0))))</f>
        <v/>
      </c>
      <c r="BL54" s="124" t="str">
        <f>IF(BL$6="","",IF(BL$3="Maior",iferror(VLOOKUP($R53,Capa!$A:$Z,BL$5,0),0),IF(ISERROR(1/VLOOKUP($R53,Capa!$A:$Z,BL$5,0)),0,1/VLOOKUP($R53,Capa!$A:$Z,BL$5,0))))</f>
        <v/>
      </c>
      <c r="BM54" s="124" t="str">
        <f>IF(BM$6="","",IF(BM$3="Maior",iferror(VLOOKUP($R53,Capa!$A:$Z,BM$5,0),0),IF(ISERROR(1/VLOOKUP($R53,Capa!$A:$Z,BM$5,0)),0,1/VLOOKUP($R53,Capa!$A:$Z,BM$5,0))))</f>
        <v/>
      </c>
      <c r="BN54" s="124" t="str">
        <f>IF(BN$6="","",IF(BN$3="Maior",iferror(VLOOKUP($R53,Capa!$A:$Z,BN$5,0),0),IF(ISERROR(1/VLOOKUP($R53,Capa!$A:$Z,BN$5,0)),0,1/VLOOKUP($R53,Capa!$A:$Z,BN$5,0))))</f>
        <v/>
      </c>
      <c r="BO54" s="124" t="str">
        <f>IF(BO$6="","",IF(BO$3="Maior",iferror(VLOOKUP($R53,Capa!$A:$Z,BO$5,0),0),IF(ISERROR(1/VLOOKUP($R53,Capa!$A:$Z,BO$5,0)),0,1/VLOOKUP($R53,Capa!$A:$Z,BO$5,0))))</f>
        <v/>
      </c>
      <c r="BP54" s="124" t="str">
        <f>IF(BP$6="","",IF(BP$3="Maior",iferror(VLOOKUP($R53,Capa!$A:$Z,BP$5,0),0),IF(ISERROR(1/VLOOKUP($R53,Capa!$A:$Z,BP$5,0)),0,1/VLOOKUP($R53,Capa!$A:$Z,BP$5,0))))</f>
        <v/>
      </c>
      <c r="BQ54" s="124" t="str">
        <f>IF(BQ$6="","",IF(BQ$3="Maior",iferror(VLOOKUP($R53,Capa!$A:$Z,BQ$5,0),0),IF(ISERROR(1/VLOOKUP($R53,Capa!$A:$Z,BQ$5,0)),0,1/VLOOKUP($R53,Capa!$A:$Z,BQ$5,0))))</f>
        <v/>
      </c>
      <c r="BR54" s="125" t="str">
        <f>IF(BR$6="","",IF(BR$3="Maior",iferror(VLOOKUP($R53,Capa!$A:$Z,BR$5,0),0),IF(ISERROR(1/VLOOKUP($R53,Capa!$A:$Z,BR$5,0)),0,1/VLOOKUP($R53,Capa!$A:$Z,BR$5,0))))</f>
        <v/>
      </c>
      <c r="BS54" s="88"/>
    </row>
    <row r="55">
      <c r="G55" s="9"/>
      <c r="H55" s="7">
        <v>49.0</v>
      </c>
      <c r="I55" s="111" t="str">
        <f t="shared" si="7"/>
        <v>HGRU11</v>
      </c>
      <c r="J55" s="112" t="str">
        <f>VLOOKUP(I55,Capa!A:G,7,0)</f>
        <v>Híbrido</v>
      </c>
      <c r="K55" s="113">
        <f t="shared" si="8"/>
        <v>0.9373173052</v>
      </c>
      <c r="L55" s="113">
        <f t="shared" si="9"/>
        <v>0.09752088558</v>
      </c>
      <c r="M55" s="113" t="str">
        <f t="shared" si="10"/>
        <v/>
      </c>
      <c r="N55" s="113" t="str">
        <f t="shared" si="11"/>
        <v/>
      </c>
      <c r="O55" s="114">
        <f t="shared" si="12"/>
        <v>4120724.48</v>
      </c>
      <c r="P55" s="9"/>
      <c r="Q55" s="9"/>
      <c r="R55" s="115" t="s">
        <v>58</v>
      </c>
      <c r="S55" s="116">
        <f t="shared" si="13"/>
        <v>1121.01111</v>
      </c>
      <c r="T55" s="117">
        <f>MID(VLOOKUP($R55,'Dados ClubeFII'!$A:$AU,23,0),3,100)/1</f>
        <v>327183.75</v>
      </c>
      <c r="U55" s="118">
        <f t="shared" si="14"/>
        <v>111.0111</v>
      </c>
      <c r="V55" s="118">
        <f t="shared" si="15"/>
        <v>10.00001</v>
      </c>
      <c r="W55" s="118" t="str">
        <f t="shared" ref="W55:AS55" si="64">IF(AV55="","", RANK(AV55,AV$7:AV$405,0))</f>
        <v/>
      </c>
      <c r="X55" s="118" t="str">
        <f t="shared" si="64"/>
        <v/>
      </c>
      <c r="Y55" s="118" t="str">
        <f t="shared" si="64"/>
        <v/>
      </c>
      <c r="Z55" s="118" t="str">
        <f t="shared" si="64"/>
        <v/>
      </c>
      <c r="AA55" s="118" t="str">
        <f t="shared" si="64"/>
        <v/>
      </c>
      <c r="AB55" s="118" t="str">
        <f t="shared" si="64"/>
        <v/>
      </c>
      <c r="AC55" s="118" t="str">
        <f t="shared" si="64"/>
        <v/>
      </c>
      <c r="AD55" s="118" t="str">
        <f t="shared" si="64"/>
        <v/>
      </c>
      <c r="AE55" s="118" t="str">
        <f t="shared" si="64"/>
        <v/>
      </c>
      <c r="AF55" s="118" t="str">
        <f t="shared" si="64"/>
        <v/>
      </c>
      <c r="AG55" s="118" t="str">
        <f t="shared" si="64"/>
        <v/>
      </c>
      <c r="AH55" s="118" t="str">
        <f t="shared" si="64"/>
        <v/>
      </c>
      <c r="AI55" s="118" t="str">
        <f t="shared" si="64"/>
        <v/>
      </c>
      <c r="AJ55" s="118" t="str">
        <f t="shared" si="64"/>
        <v/>
      </c>
      <c r="AK55" s="118" t="str">
        <f t="shared" si="64"/>
        <v/>
      </c>
      <c r="AL55" s="118" t="str">
        <f t="shared" si="64"/>
        <v/>
      </c>
      <c r="AM55" s="118" t="str">
        <f t="shared" si="64"/>
        <v/>
      </c>
      <c r="AN55" s="118" t="str">
        <f t="shared" si="64"/>
        <v/>
      </c>
      <c r="AO55" s="118" t="str">
        <f t="shared" si="64"/>
        <v/>
      </c>
      <c r="AP55" s="118" t="str">
        <f t="shared" si="64"/>
        <v/>
      </c>
      <c r="AQ55" s="118" t="str">
        <f t="shared" si="64"/>
        <v/>
      </c>
      <c r="AR55" s="118" t="str">
        <f t="shared" si="64"/>
        <v/>
      </c>
      <c r="AS55" s="118" t="str">
        <f t="shared" si="64"/>
        <v/>
      </c>
      <c r="AT55" s="123">
        <f>IF(AT$6="","",IF(AT$3="Maior",iferror(VLOOKUP($R55,Capa!$A:$Z,AT$5,0),0),IF(ISERROR(1/VLOOKUP($R55,Capa!$A:$Z,AT$5,0)),0,1/VLOOKUP($R55,Capa!$A:$Z,AT$5,0))))</f>
        <v>1.168342095</v>
      </c>
      <c r="AU55" s="124">
        <f>IF(AU$6="","",IF(AU$3="Maior",iferror(VLOOKUP($R55,Capa!$A:$Z,AU$5,0),0),IF(ISERROR(1/VLOOKUP($R55,Capa!$A:$Z,AU$5,0)),0,1/VLOOKUP($R55,Capa!$A:$Z,AU$5,0))))</f>
        <v>0.1626236022</v>
      </c>
      <c r="AV55" s="124" t="str">
        <f>IF(AV$6="","",IF(AV$3="Maior",iferror(VLOOKUP($R54,Capa!$A:$Z,AV$5,0),0),IF(ISERROR(1/VLOOKUP($R54,Capa!$A:$Z,AV$5,0)),0,1/VLOOKUP($R54,Capa!$A:$Z,AV$5,0))))</f>
        <v/>
      </c>
      <c r="AW55" s="124" t="str">
        <f>IF(AW$6="","",IF(AW$3="Maior",iferror(VLOOKUP($R54,Capa!$A:$Z,AW$5,0),0),IF(ISERROR(1/VLOOKUP($R54,Capa!$A:$Z,AW$5,0)),0,1/VLOOKUP($R54,Capa!$A:$Z,AW$5,0))))</f>
        <v/>
      </c>
      <c r="AX55" s="124" t="str">
        <f>IF(AX$6="","",IF(AX$3="Maior",iferror(VLOOKUP($R54,Capa!$A:$Z,AX$5,0),0),IF(ISERROR(1/VLOOKUP($R54,Capa!$A:$Z,AX$5,0)),0,1/VLOOKUP($R54,Capa!$A:$Z,AX$5,0))))</f>
        <v/>
      </c>
      <c r="AY55" s="124" t="str">
        <f>IF(AY$6="","",IF(AY$3="Maior",iferror(VLOOKUP($R54,Capa!$A:$Z,AY$5,0),0),IF(ISERROR(1/VLOOKUP($R54,Capa!$A:$Z,AY$5,0)),0,1/VLOOKUP($R54,Capa!$A:$Z,AY$5,0))))</f>
        <v/>
      </c>
      <c r="AZ55" s="124" t="str">
        <f>IF(AZ$6="","",IF(AZ$3="Maior",iferror(VLOOKUP($R54,Capa!$A:$Z,AZ$5,0),0),IF(ISERROR(1/VLOOKUP($R54,Capa!$A:$Z,AZ$5,0)),0,1/VLOOKUP($R54,Capa!$A:$Z,AZ$5,0))))</f>
        <v/>
      </c>
      <c r="BA55" s="124" t="str">
        <f>IF(BA$6="","",IF(BA$3="Maior",iferror(VLOOKUP($R54,Capa!$A:$Z,BA$5,0),0),IF(ISERROR(1/VLOOKUP($R54,Capa!$A:$Z,BA$5,0)),0,1/VLOOKUP($R54,Capa!$A:$Z,BA$5,0))))</f>
        <v/>
      </c>
      <c r="BB55" s="124" t="str">
        <f>IF(BB$6="","",IF(BB$3="Maior",iferror(VLOOKUP($R54,Capa!$A:$Z,BB$5,0),0),IF(ISERROR(1/VLOOKUP($R54,Capa!$A:$Z,BB$5,0)),0,1/VLOOKUP($R54,Capa!$A:$Z,BB$5,0))))</f>
        <v/>
      </c>
      <c r="BC55" s="124" t="str">
        <f>IF(BC$6="","",IF(BC$3="Maior",iferror(VLOOKUP($R54,Capa!$A:$Z,BC$5,0),0),IF(ISERROR(1/VLOOKUP($R54,Capa!$A:$Z,BC$5,0)),0,1/VLOOKUP($R54,Capa!$A:$Z,BC$5,0))))</f>
        <v/>
      </c>
      <c r="BD55" s="124" t="str">
        <f>IF(BD$6="","",IF(BD$3="Maior",iferror(VLOOKUP($R54,Capa!$A:$Z,BD$5,0),0),IF(ISERROR(1/VLOOKUP($R54,Capa!$A:$Z,BD$5,0)),0,1/VLOOKUP($R54,Capa!$A:$Z,BD$5,0))))</f>
        <v/>
      </c>
      <c r="BE55" s="124" t="str">
        <f>IF(BE$6="","",IF(BE$3="Maior",iferror(VLOOKUP($R54,Capa!$A:$Z,BE$5,0),0),IF(ISERROR(1/VLOOKUP($R54,Capa!$A:$Z,BE$5,0)),0,1/VLOOKUP($R54,Capa!$A:$Z,BE$5,0))))</f>
        <v/>
      </c>
      <c r="BF55" s="124" t="str">
        <f>IF(BF$6="","",IF(BF$3="Maior",iferror(VLOOKUP($R54,Capa!$A:$Z,BF$5,0),0),IF(ISERROR(1/VLOOKUP($R54,Capa!$A:$Z,BF$5,0)),0,1/VLOOKUP($R54,Capa!$A:$Z,BF$5,0))))</f>
        <v/>
      </c>
      <c r="BG55" s="124" t="str">
        <f>IF(BG$6="","",IF(BG$3="Maior",iferror(VLOOKUP($R54,Capa!$A:$Z,BG$5,0),0),IF(ISERROR(1/VLOOKUP($R54,Capa!$A:$Z,BG$5,0)),0,1/VLOOKUP($R54,Capa!$A:$Z,BG$5,0))))</f>
        <v/>
      </c>
      <c r="BH55" s="124" t="str">
        <f>IF(BH$6="","",IF(BH$3="Maior",iferror(VLOOKUP($R54,Capa!$A:$Z,BH$5,0),0),IF(ISERROR(1/VLOOKUP($R54,Capa!$A:$Z,BH$5,0)),0,1/VLOOKUP($R54,Capa!$A:$Z,BH$5,0))))</f>
        <v/>
      </c>
      <c r="BI55" s="124" t="str">
        <f>IF(BI$6="","",IF(BI$3="Maior",iferror(VLOOKUP($R54,Capa!$A:$Z,BI$5,0),0),IF(ISERROR(1/VLOOKUP($R54,Capa!$A:$Z,BI$5,0)),0,1/VLOOKUP($R54,Capa!$A:$Z,BI$5,0))))</f>
        <v/>
      </c>
      <c r="BJ55" s="124" t="str">
        <f>IF(BJ$6="","",IF(BJ$3="Maior",iferror(VLOOKUP($R54,Capa!$A:$Z,BJ$5,0),0),IF(ISERROR(1/VLOOKUP($R54,Capa!$A:$Z,BJ$5,0)),0,1/VLOOKUP($R54,Capa!$A:$Z,BJ$5,0))))</f>
        <v/>
      </c>
      <c r="BK55" s="124" t="str">
        <f>IF(BK$6="","",IF(BK$3="Maior",iferror(VLOOKUP($R54,Capa!$A:$Z,BK$5,0),0),IF(ISERROR(1/VLOOKUP($R54,Capa!$A:$Z,BK$5,0)),0,1/VLOOKUP($R54,Capa!$A:$Z,BK$5,0))))</f>
        <v/>
      </c>
      <c r="BL55" s="124" t="str">
        <f>IF(BL$6="","",IF(BL$3="Maior",iferror(VLOOKUP($R54,Capa!$A:$Z,BL$5,0),0),IF(ISERROR(1/VLOOKUP($R54,Capa!$A:$Z,BL$5,0)),0,1/VLOOKUP($R54,Capa!$A:$Z,BL$5,0))))</f>
        <v/>
      </c>
      <c r="BM55" s="124" t="str">
        <f>IF(BM$6="","",IF(BM$3="Maior",iferror(VLOOKUP($R54,Capa!$A:$Z,BM$5,0),0),IF(ISERROR(1/VLOOKUP($R54,Capa!$A:$Z,BM$5,0)),0,1/VLOOKUP($R54,Capa!$A:$Z,BM$5,0))))</f>
        <v/>
      </c>
      <c r="BN55" s="124" t="str">
        <f>IF(BN$6="","",IF(BN$3="Maior",iferror(VLOOKUP($R54,Capa!$A:$Z,BN$5,0),0),IF(ISERROR(1/VLOOKUP($R54,Capa!$A:$Z,BN$5,0)),0,1/VLOOKUP($R54,Capa!$A:$Z,BN$5,0))))</f>
        <v/>
      </c>
      <c r="BO55" s="124" t="str">
        <f>IF(BO$6="","",IF(BO$3="Maior",iferror(VLOOKUP($R54,Capa!$A:$Z,BO$5,0),0),IF(ISERROR(1/VLOOKUP($R54,Capa!$A:$Z,BO$5,0)),0,1/VLOOKUP($R54,Capa!$A:$Z,BO$5,0))))</f>
        <v/>
      </c>
      <c r="BP55" s="124" t="str">
        <f>IF(BP$6="","",IF(BP$3="Maior",iferror(VLOOKUP($R54,Capa!$A:$Z,BP$5,0),0),IF(ISERROR(1/VLOOKUP($R54,Capa!$A:$Z,BP$5,0)),0,1/VLOOKUP($R54,Capa!$A:$Z,BP$5,0))))</f>
        <v/>
      </c>
      <c r="BQ55" s="124" t="str">
        <f>IF(BQ$6="","",IF(BQ$3="Maior",iferror(VLOOKUP($R54,Capa!$A:$Z,BQ$5,0),0),IF(ISERROR(1/VLOOKUP($R54,Capa!$A:$Z,BQ$5,0)),0,1/VLOOKUP($R54,Capa!$A:$Z,BQ$5,0))))</f>
        <v/>
      </c>
      <c r="BR55" s="125" t="str">
        <f>IF(BR$6="","",IF(BR$3="Maior",iferror(VLOOKUP($R54,Capa!$A:$Z,BR$5,0),0),IF(ISERROR(1/VLOOKUP($R54,Capa!$A:$Z,BR$5,0)),0,1/VLOOKUP($R54,Capa!$A:$Z,BR$5,0))))</f>
        <v/>
      </c>
      <c r="BS55" s="88"/>
    </row>
    <row r="56">
      <c r="G56" s="9"/>
      <c r="H56" s="7">
        <v>50.0</v>
      </c>
      <c r="I56" s="111" t="str">
        <f t="shared" si="7"/>
        <v>KNRI11</v>
      </c>
      <c r="J56" s="112" t="str">
        <f>VLOOKUP(I56,Capa!A:G,7,0)</f>
        <v>Híbrido</v>
      </c>
      <c r="K56" s="113">
        <f t="shared" si="8"/>
        <v>0.8676728625</v>
      </c>
      <c r="L56" s="113">
        <f t="shared" si="9"/>
        <v>0.07758609665</v>
      </c>
      <c r="M56" s="113" t="str">
        <f t="shared" si="10"/>
        <v/>
      </c>
      <c r="N56" s="113" t="str">
        <f t="shared" si="11"/>
        <v/>
      </c>
      <c r="O56" s="114">
        <f t="shared" si="12"/>
        <v>3147405.28</v>
      </c>
      <c r="P56" s="9"/>
      <c r="Q56" s="9"/>
      <c r="R56" s="115" t="s">
        <v>160</v>
      </c>
      <c r="S56" s="116">
        <f t="shared" si="13"/>
        <v>1163.000757</v>
      </c>
      <c r="T56" s="117">
        <f>MID(VLOOKUP($R56,'Dados ClubeFII'!$A:$AU,23,0),3,100)/1</f>
        <v>33730.27</v>
      </c>
      <c r="U56" s="118">
        <f t="shared" si="14"/>
        <v>6.0006</v>
      </c>
      <c r="V56" s="118">
        <f t="shared" si="15"/>
        <v>157.000157</v>
      </c>
      <c r="W56" s="118" t="str">
        <f t="shared" ref="W56:AS56" si="65">IF(AV56="","", RANK(AV56,AV$7:AV$405,0))</f>
        <v/>
      </c>
      <c r="X56" s="118" t="str">
        <f t="shared" si="65"/>
        <v/>
      </c>
      <c r="Y56" s="118" t="str">
        <f t="shared" si="65"/>
        <v/>
      </c>
      <c r="Z56" s="118" t="str">
        <f t="shared" si="65"/>
        <v/>
      </c>
      <c r="AA56" s="118" t="str">
        <f t="shared" si="65"/>
        <v/>
      </c>
      <c r="AB56" s="118" t="str">
        <f t="shared" si="65"/>
        <v/>
      </c>
      <c r="AC56" s="118" t="str">
        <f t="shared" si="65"/>
        <v/>
      </c>
      <c r="AD56" s="118" t="str">
        <f t="shared" si="65"/>
        <v/>
      </c>
      <c r="AE56" s="118" t="str">
        <f t="shared" si="65"/>
        <v/>
      </c>
      <c r="AF56" s="118" t="str">
        <f t="shared" si="65"/>
        <v/>
      </c>
      <c r="AG56" s="118" t="str">
        <f t="shared" si="65"/>
        <v/>
      </c>
      <c r="AH56" s="118" t="str">
        <f t="shared" si="65"/>
        <v/>
      </c>
      <c r="AI56" s="118" t="str">
        <f t="shared" si="65"/>
        <v/>
      </c>
      <c r="AJ56" s="118" t="str">
        <f t="shared" si="65"/>
        <v/>
      </c>
      <c r="AK56" s="118" t="str">
        <f t="shared" si="65"/>
        <v/>
      </c>
      <c r="AL56" s="118" t="str">
        <f t="shared" si="65"/>
        <v/>
      </c>
      <c r="AM56" s="118" t="str">
        <f t="shared" si="65"/>
        <v/>
      </c>
      <c r="AN56" s="118" t="str">
        <f t="shared" si="65"/>
        <v/>
      </c>
      <c r="AO56" s="118" t="str">
        <f t="shared" si="65"/>
        <v/>
      </c>
      <c r="AP56" s="118" t="str">
        <f t="shared" si="65"/>
        <v/>
      </c>
      <c r="AQ56" s="118" t="str">
        <f t="shared" si="65"/>
        <v/>
      </c>
      <c r="AR56" s="118" t="str">
        <f t="shared" si="65"/>
        <v/>
      </c>
      <c r="AS56" s="118" t="str">
        <f t="shared" si="65"/>
        <v/>
      </c>
      <c r="AT56" s="123">
        <f>IF(AT$6="","",IF(AT$3="Maior",iferror(VLOOKUP($R56,Capa!$A:$Z,AT$5,0),0),IF(ISERROR(1/VLOOKUP($R56,Capa!$A:$Z,AT$5,0)),0,1/VLOOKUP($R56,Capa!$A:$Z,AT$5,0))))</f>
        <v>3.003878795</v>
      </c>
      <c r="AU56" s="124">
        <f>IF(AU$6="","",IF(AU$3="Maior",iferror(VLOOKUP($R56,Capa!$A:$Z,AU$5,0),0),IF(ISERROR(1/VLOOKUP($R56,Capa!$A:$Z,AU$5,0)),0,1/VLOOKUP($R56,Capa!$A:$Z,AU$5,0))))</f>
        <v>0.07441359223</v>
      </c>
      <c r="AV56" s="124" t="str">
        <f>IF(AV$6="","",IF(AV$3="Maior",iferror(VLOOKUP($R55,Capa!$A:$Z,AV$5,0),0),IF(ISERROR(1/VLOOKUP($R55,Capa!$A:$Z,AV$5,0)),0,1/VLOOKUP($R55,Capa!$A:$Z,AV$5,0))))</f>
        <v/>
      </c>
      <c r="AW56" s="124" t="str">
        <f>IF(AW$6="","",IF(AW$3="Maior",iferror(VLOOKUP($R55,Capa!$A:$Z,AW$5,0),0),IF(ISERROR(1/VLOOKUP($R55,Capa!$A:$Z,AW$5,0)),0,1/VLOOKUP($R55,Capa!$A:$Z,AW$5,0))))</f>
        <v/>
      </c>
      <c r="AX56" s="124" t="str">
        <f>IF(AX$6="","",IF(AX$3="Maior",iferror(VLOOKUP($R55,Capa!$A:$Z,AX$5,0),0),IF(ISERROR(1/VLOOKUP($R55,Capa!$A:$Z,AX$5,0)),0,1/VLOOKUP($R55,Capa!$A:$Z,AX$5,0))))</f>
        <v/>
      </c>
      <c r="AY56" s="124" t="str">
        <f>IF(AY$6="","",IF(AY$3="Maior",iferror(VLOOKUP($R55,Capa!$A:$Z,AY$5,0),0),IF(ISERROR(1/VLOOKUP($R55,Capa!$A:$Z,AY$5,0)),0,1/VLOOKUP($R55,Capa!$A:$Z,AY$5,0))))</f>
        <v/>
      </c>
      <c r="AZ56" s="124" t="str">
        <f>IF(AZ$6="","",IF(AZ$3="Maior",iferror(VLOOKUP($R55,Capa!$A:$Z,AZ$5,0),0),IF(ISERROR(1/VLOOKUP($R55,Capa!$A:$Z,AZ$5,0)),0,1/VLOOKUP($R55,Capa!$A:$Z,AZ$5,0))))</f>
        <v/>
      </c>
      <c r="BA56" s="124" t="str">
        <f>IF(BA$6="","",IF(BA$3="Maior",iferror(VLOOKUP($R55,Capa!$A:$Z,BA$5,0),0),IF(ISERROR(1/VLOOKUP($R55,Capa!$A:$Z,BA$5,0)),0,1/VLOOKUP($R55,Capa!$A:$Z,BA$5,0))))</f>
        <v/>
      </c>
      <c r="BB56" s="124" t="str">
        <f>IF(BB$6="","",IF(BB$3="Maior",iferror(VLOOKUP($R55,Capa!$A:$Z,BB$5,0),0),IF(ISERROR(1/VLOOKUP($R55,Capa!$A:$Z,BB$5,0)),0,1/VLOOKUP($R55,Capa!$A:$Z,BB$5,0))))</f>
        <v/>
      </c>
      <c r="BC56" s="124" t="str">
        <f>IF(BC$6="","",IF(BC$3="Maior",iferror(VLOOKUP($R55,Capa!$A:$Z,BC$5,0),0),IF(ISERROR(1/VLOOKUP($R55,Capa!$A:$Z,BC$5,0)),0,1/VLOOKUP($R55,Capa!$A:$Z,BC$5,0))))</f>
        <v/>
      </c>
      <c r="BD56" s="124" t="str">
        <f>IF(BD$6="","",IF(BD$3="Maior",iferror(VLOOKUP($R55,Capa!$A:$Z,BD$5,0),0),IF(ISERROR(1/VLOOKUP($R55,Capa!$A:$Z,BD$5,0)),0,1/VLOOKUP($R55,Capa!$A:$Z,BD$5,0))))</f>
        <v/>
      </c>
      <c r="BE56" s="124" t="str">
        <f>IF(BE$6="","",IF(BE$3="Maior",iferror(VLOOKUP($R55,Capa!$A:$Z,BE$5,0),0),IF(ISERROR(1/VLOOKUP($R55,Capa!$A:$Z,BE$5,0)),0,1/VLOOKUP($R55,Capa!$A:$Z,BE$5,0))))</f>
        <v/>
      </c>
      <c r="BF56" s="124" t="str">
        <f>IF(BF$6="","",IF(BF$3="Maior",iferror(VLOOKUP($R55,Capa!$A:$Z,BF$5,0),0),IF(ISERROR(1/VLOOKUP($R55,Capa!$A:$Z,BF$5,0)),0,1/VLOOKUP($R55,Capa!$A:$Z,BF$5,0))))</f>
        <v/>
      </c>
      <c r="BG56" s="124" t="str">
        <f>IF(BG$6="","",IF(BG$3="Maior",iferror(VLOOKUP($R55,Capa!$A:$Z,BG$5,0),0),IF(ISERROR(1/VLOOKUP($R55,Capa!$A:$Z,BG$5,0)),0,1/VLOOKUP($R55,Capa!$A:$Z,BG$5,0))))</f>
        <v/>
      </c>
      <c r="BH56" s="124" t="str">
        <f>IF(BH$6="","",IF(BH$3="Maior",iferror(VLOOKUP($R55,Capa!$A:$Z,BH$5,0),0),IF(ISERROR(1/VLOOKUP($R55,Capa!$A:$Z,BH$5,0)),0,1/VLOOKUP($R55,Capa!$A:$Z,BH$5,0))))</f>
        <v/>
      </c>
      <c r="BI56" s="124" t="str">
        <f>IF(BI$6="","",IF(BI$3="Maior",iferror(VLOOKUP($R55,Capa!$A:$Z,BI$5,0),0),IF(ISERROR(1/VLOOKUP($R55,Capa!$A:$Z,BI$5,0)),0,1/VLOOKUP($R55,Capa!$A:$Z,BI$5,0))))</f>
        <v/>
      </c>
      <c r="BJ56" s="124" t="str">
        <f>IF(BJ$6="","",IF(BJ$3="Maior",iferror(VLOOKUP($R55,Capa!$A:$Z,BJ$5,0),0),IF(ISERROR(1/VLOOKUP($R55,Capa!$A:$Z,BJ$5,0)),0,1/VLOOKUP($R55,Capa!$A:$Z,BJ$5,0))))</f>
        <v/>
      </c>
      <c r="BK56" s="124" t="str">
        <f>IF(BK$6="","",IF(BK$3="Maior",iferror(VLOOKUP($R55,Capa!$A:$Z,BK$5,0),0),IF(ISERROR(1/VLOOKUP($R55,Capa!$A:$Z,BK$5,0)),0,1/VLOOKUP($R55,Capa!$A:$Z,BK$5,0))))</f>
        <v/>
      </c>
      <c r="BL56" s="124" t="str">
        <f>IF(BL$6="","",IF(BL$3="Maior",iferror(VLOOKUP($R55,Capa!$A:$Z,BL$5,0),0),IF(ISERROR(1/VLOOKUP($R55,Capa!$A:$Z,BL$5,0)),0,1/VLOOKUP($R55,Capa!$A:$Z,BL$5,0))))</f>
        <v/>
      </c>
      <c r="BM56" s="124" t="str">
        <f>IF(BM$6="","",IF(BM$3="Maior",iferror(VLOOKUP($R55,Capa!$A:$Z,BM$5,0),0),IF(ISERROR(1/VLOOKUP($R55,Capa!$A:$Z,BM$5,0)),0,1/VLOOKUP($R55,Capa!$A:$Z,BM$5,0))))</f>
        <v/>
      </c>
      <c r="BN56" s="124" t="str">
        <f>IF(BN$6="","",IF(BN$3="Maior",iferror(VLOOKUP($R55,Capa!$A:$Z,BN$5,0),0),IF(ISERROR(1/VLOOKUP($R55,Capa!$A:$Z,BN$5,0)),0,1/VLOOKUP($R55,Capa!$A:$Z,BN$5,0))))</f>
        <v/>
      </c>
      <c r="BO56" s="124" t="str">
        <f>IF(BO$6="","",IF(BO$3="Maior",iferror(VLOOKUP($R55,Capa!$A:$Z,BO$5,0),0),IF(ISERROR(1/VLOOKUP($R55,Capa!$A:$Z,BO$5,0)),0,1/VLOOKUP($R55,Capa!$A:$Z,BO$5,0))))</f>
        <v/>
      </c>
      <c r="BP56" s="124" t="str">
        <f>IF(BP$6="","",IF(BP$3="Maior",iferror(VLOOKUP($R55,Capa!$A:$Z,BP$5,0),0),IF(ISERROR(1/VLOOKUP($R55,Capa!$A:$Z,BP$5,0)),0,1/VLOOKUP($R55,Capa!$A:$Z,BP$5,0))))</f>
        <v/>
      </c>
      <c r="BQ56" s="124" t="str">
        <f>IF(BQ$6="","",IF(BQ$3="Maior",iferror(VLOOKUP($R55,Capa!$A:$Z,BQ$5,0),0),IF(ISERROR(1/VLOOKUP($R55,Capa!$A:$Z,BQ$5,0)),0,1/VLOOKUP($R55,Capa!$A:$Z,BQ$5,0))))</f>
        <v/>
      </c>
      <c r="BR56" s="125" t="str">
        <f>IF(BR$6="","",IF(BR$3="Maior",iferror(VLOOKUP($R55,Capa!$A:$Z,BR$5,0),0),IF(ISERROR(1/VLOOKUP($R55,Capa!$A:$Z,BR$5,0)),0,1/VLOOKUP($R55,Capa!$A:$Z,BR$5,0))))</f>
        <v/>
      </c>
      <c r="BS56" s="88"/>
    </row>
    <row r="57">
      <c r="G57" s="9"/>
      <c r="H57" s="7">
        <v>51.0</v>
      </c>
      <c r="I57" s="129" t="str">
        <f t="shared" si="7"/>
        <v>BTLG11</v>
      </c>
      <c r="J57" s="112" t="str">
        <f>VLOOKUP(I57,Capa!A:G,7,0)</f>
        <v>Logisticos</v>
      </c>
      <c r="K57" s="113">
        <f t="shared" si="8"/>
        <v>0.9458428893</v>
      </c>
      <c r="L57" s="113">
        <f t="shared" si="9"/>
        <v>0.0959929911</v>
      </c>
      <c r="M57" s="113" t="str">
        <f t="shared" si="10"/>
        <v/>
      </c>
      <c r="N57" s="113" t="str">
        <f t="shared" si="11"/>
        <v/>
      </c>
      <c r="O57" s="114">
        <f t="shared" si="12"/>
        <v>4707708.53</v>
      </c>
      <c r="P57" s="9"/>
      <c r="Q57" s="9"/>
      <c r="R57" s="115" t="s">
        <v>82</v>
      </c>
      <c r="S57" s="116">
        <f t="shared" si="13"/>
        <v>1172.010765</v>
      </c>
      <c r="T57" s="117">
        <f>MID(VLOOKUP($R57,'Dados ClubeFII'!$A:$AU,23,0),3,100)/1</f>
        <v>187943.84</v>
      </c>
      <c r="U57" s="118">
        <f t="shared" si="14"/>
        <v>107.0107</v>
      </c>
      <c r="V57" s="118">
        <f t="shared" si="15"/>
        <v>65.000065</v>
      </c>
      <c r="W57" s="118" t="str">
        <f t="shared" ref="W57:AS57" si="66">IF(AV57="","", RANK(AV57,AV$7:AV$405,0))</f>
        <v/>
      </c>
      <c r="X57" s="118" t="str">
        <f t="shared" si="66"/>
        <v/>
      </c>
      <c r="Y57" s="118" t="str">
        <f t="shared" si="66"/>
        <v/>
      </c>
      <c r="Z57" s="118" t="str">
        <f t="shared" si="66"/>
        <v/>
      </c>
      <c r="AA57" s="118" t="str">
        <f t="shared" si="66"/>
        <v/>
      </c>
      <c r="AB57" s="118" t="str">
        <f t="shared" si="66"/>
        <v/>
      </c>
      <c r="AC57" s="118" t="str">
        <f t="shared" si="66"/>
        <v/>
      </c>
      <c r="AD57" s="118" t="str">
        <f t="shared" si="66"/>
        <v/>
      </c>
      <c r="AE57" s="118" t="str">
        <f t="shared" si="66"/>
        <v/>
      </c>
      <c r="AF57" s="118" t="str">
        <f t="shared" si="66"/>
        <v/>
      </c>
      <c r="AG57" s="118" t="str">
        <f t="shared" si="66"/>
        <v/>
      </c>
      <c r="AH57" s="118" t="str">
        <f t="shared" si="66"/>
        <v/>
      </c>
      <c r="AI57" s="118" t="str">
        <f t="shared" si="66"/>
        <v/>
      </c>
      <c r="AJ57" s="118" t="str">
        <f t="shared" si="66"/>
        <v/>
      </c>
      <c r="AK57" s="118" t="str">
        <f t="shared" si="66"/>
        <v/>
      </c>
      <c r="AL57" s="118" t="str">
        <f t="shared" si="66"/>
        <v/>
      </c>
      <c r="AM57" s="118" t="str">
        <f t="shared" si="66"/>
        <v/>
      </c>
      <c r="AN57" s="118" t="str">
        <f t="shared" si="66"/>
        <v/>
      </c>
      <c r="AO57" s="118" t="str">
        <f t="shared" si="66"/>
        <v/>
      </c>
      <c r="AP57" s="118" t="str">
        <f t="shared" si="66"/>
        <v/>
      </c>
      <c r="AQ57" s="118" t="str">
        <f t="shared" si="66"/>
        <v/>
      </c>
      <c r="AR57" s="118" t="str">
        <f t="shared" si="66"/>
        <v/>
      </c>
      <c r="AS57" s="118" t="str">
        <f t="shared" si="66"/>
        <v/>
      </c>
      <c r="AT57" s="123">
        <f>IF(AT$6="","",IF(AT$3="Maior",iferror(VLOOKUP($R57,Capa!$A:$Z,AT$5,0),0),IF(ISERROR(1/VLOOKUP($R57,Capa!$A:$Z,AT$5,0)),0,1/VLOOKUP($R57,Capa!$A:$Z,AT$5,0))))</f>
        <v>1.176805861</v>
      </c>
      <c r="AU57" s="124">
        <f>IF(AU$6="","",IF(AU$3="Maior",iferror(VLOOKUP($R57,Capa!$A:$Z,AU$5,0),0),IF(ISERROR(1/VLOOKUP($R57,Capa!$A:$Z,AU$5,0)),0,1/VLOOKUP($R57,Capa!$A:$Z,AU$5,0))))</f>
        <v>0.1276636182</v>
      </c>
      <c r="AV57" s="124" t="str">
        <f>IF(AV$6="","",IF(AV$3="Maior",iferror(VLOOKUP($R56,Capa!$A:$Z,AV$5,0),0),IF(ISERROR(1/VLOOKUP($R56,Capa!$A:$Z,AV$5,0)),0,1/VLOOKUP($R56,Capa!$A:$Z,AV$5,0))))</f>
        <v/>
      </c>
      <c r="AW57" s="124" t="str">
        <f>IF(AW$6="","",IF(AW$3="Maior",iferror(VLOOKUP($R56,Capa!$A:$Z,AW$5,0),0),IF(ISERROR(1/VLOOKUP($R56,Capa!$A:$Z,AW$5,0)),0,1/VLOOKUP($R56,Capa!$A:$Z,AW$5,0))))</f>
        <v/>
      </c>
      <c r="AX57" s="124" t="str">
        <f>IF(AX$6="","",IF(AX$3="Maior",iferror(VLOOKUP($R56,Capa!$A:$Z,AX$5,0),0),IF(ISERROR(1/VLOOKUP($R56,Capa!$A:$Z,AX$5,0)),0,1/VLOOKUP($R56,Capa!$A:$Z,AX$5,0))))</f>
        <v/>
      </c>
      <c r="AY57" s="124" t="str">
        <f>IF(AY$6="","",IF(AY$3="Maior",iferror(VLOOKUP($R56,Capa!$A:$Z,AY$5,0),0),IF(ISERROR(1/VLOOKUP($R56,Capa!$A:$Z,AY$5,0)),0,1/VLOOKUP($R56,Capa!$A:$Z,AY$5,0))))</f>
        <v/>
      </c>
      <c r="AZ57" s="124" t="str">
        <f>IF(AZ$6="","",IF(AZ$3="Maior",iferror(VLOOKUP($R56,Capa!$A:$Z,AZ$5,0),0),IF(ISERROR(1/VLOOKUP($R56,Capa!$A:$Z,AZ$5,0)),0,1/VLOOKUP($R56,Capa!$A:$Z,AZ$5,0))))</f>
        <v/>
      </c>
      <c r="BA57" s="124" t="str">
        <f>IF(BA$6="","",IF(BA$3="Maior",iferror(VLOOKUP($R56,Capa!$A:$Z,BA$5,0),0),IF(ISERROR(1/VLOOKUP($R56,Capa!$A:$Z,BA$5,0)),0,1/VLOOKUP($R56,Capa!$A:$Z,BA$5,0))))</f>
        <v/>
      </c>
      <c r="BB57" s="124" t="str">
        <f>IF(BB$6="","",IF(BB$3="Maior",iferror(VLOOKUP($R56,Capa!$A:$Z,BB$5,0),0),IF(ISERROR(1/VLOOKUP($R56,Capa!$A:$Z,BB$5,0)),0,1/VLOOKUP($R56,Capa!$A:$Z,BB$5,0))))</f>
        <v/>
      </c>
      <c r="BC57" s="124" t="str">
        <f>IF(BC$6="","",IF(BC$3="Maior",iferror(VLOOKUP($R56,Capa!$A:$Z,BC$5,0),0),IF(ISERROR(1/VLOOKUP($R56,Capa!$A:$Z,BC$5,0)),0,1/VLOOKUP($R56,Capa!$A:$Z,BC$5,0))))</f>
        <v/>
      </c>
      <c r="BD57" s="124" t="str">
        <f>IF(BD$6="","",IF(BD$3="Maior",iferror(VLOOKUP($R56,Capa!$A:$Z,BD$5,0),0),IF(ISERROR(1/VLOOKUP($R56,Capa!$A:$Z,BD$5,0)),0,1/VLOOKUP($R56,Capa!$A:$Z,BD$5,0))))</f>
        <v/>
      </c>
      <c r="BE57" s="124" t="str">
        <f>IF(BE$6="","",IF(BE$3="Maior",iferror(VLOOKUP($R56,Capa!$A:$Z,BE$5,0),0),IF(ISERROR(1/VLOOKUP($R56,Capa!$A:$Z,BE$5,0)),0,1/VLOOKUP($R56,Capa!$A:$Z,BE$5,0))))</f>
        <v/>
      </c>
      <c r="BF57" s="124" t="str">
        <f>IF(BF$6="","",IF(BF$3="Maior",iferror(VLOOKUP($R56,Capa!$A:$Z,BF$5,0),0),IF(ISERROR(1/VLOOKUP($R56,Capa!$A:$Z,BF$5,0)),0,1/VLOOKUP($R56,Capa!$A:$Z,BF$5,0))))</f>
        <v/>
      </c>
      <c r="BG57" s="124" t="str">
        <f>IF(BG$6="","",IF(BG$3="Maior",iferror(VLOOKUP($R56,Capa!$A:$Z,BG$5,0),0),IF(ISERROR(1/VLOOKUP($R56,Capa!$A:$Z,BG$5,0)),0,1/VLOOKUP($R56,Capa!$A:$Z,BG$5,0))))</f>
        <v/>
      </c>
      <c r="BH57" s="124" t="str">
        <f>IF(BH$6="","",IF(BH$3="Maior",iferror(VLOOKUP($R56,Capa!$A:$Z,BH$5,0),0),IF(ISERROR(1/VLOOKUP($R56,Capa!$A:$Z,BH$5,0)),0,1/VLOOKUP($R56,Capa!$A:$Z,BH$5,0))))</f>
        <v/>
      </c>
      <c r="BI57" s="124" t="str">
        <f>IF(BI$6="","",IF(BI$3="Maior",iferror(VLOOKUP($R56,Capa!$A:$Z,BI$5,0),0),IF(ISERROR(1/VLOOKUP($R56,Capa!$A:$Z,BI$5,0)),0,1/VLOOKUP($R56,Capa!$A:$Z,BI$5,0))))</f>
        <v/>
      </c>
      <c r="BJ57" s="124" t="str">
        <f>IF(BJ$6="","",IF(BJ$3="Maior",iferror(VLOOKUP($R56,Capa!$A:$Z,BJ$5,0),0),IF(ISERROR(1/VLOOKUP($R56,Capa!$A:$Z,BJ$5,0)),0,1/VLOOKUP($R56,Capa!$A:$Z,BJ$5,0))))</f>
        <v/>
      </c>
      <c r="BK57" s="124" t="str">
        <f>IF(BK$6="","",IF(BK$3="Maior",iferror(VLOOKUP($R56,Capa!$A:$Z,BK$5,0),0),IF(ISERROR(1/VLOOKUP($R56,Capa!$A:$Z,BK$5,0)),0,1/VLOOKUP($R56,Capa!$A:$Z,BK$5,0))))</f>
        <v/>
      </c>
      <c r="BL57" s="124" t="str">
        <f>IF(BL$6="","",IF(BL$3="Maior",iferror(VLOOKUP($R56,Capa!$A:$Z,BL$5,0),0),IF(ISERROR(1/VLOOKUP($R56,Capa!$A:$Z,BL$5,0)),0,1/VLOOKUP($R56,Capa!$A:$Z,BL$5,0))))</f>
        <v/>
      </c>
      <c r="BM57" s="124" t="str">
        <f>IF(BM$6="","",IF(BM$3="Maior",iferror(VLOOKUP($R56,Capa!$A:$Z,BM$5,0),0),IF(ISERROR(1/VLOOKUP($R56,Capa!$A:$Z,BM$5,0)),0,1/VLOOKUP($R56,Capa!$A:$Z,BM$5,0))))</f>
        <v/>
      </c>
      <c r="BN57" s="124" t="str">
        <f>IF(BN$6="","",IF(BN$3="Maior",iferror(VLOOKUP($R56,Capa!$A:$Z,BN$5,0),0),IF(ISERROR(1/VLOOKUP($R56,Capa!$A:$Z,BN$5,0)),0,1/VLOOKUP($R56,Capa!$A:$Z,BN$5,0))))</f>
        <v/>
      </c>
      <c r="BO57" s="124" t="str">
        <f>IF(BO$6="","",IF(BO$3="Maior",iferror(VLOOKUP($R56,Capa!$A:$Z,BO$5,0),0),IF(ISERROR(1/VLOOKUP($R56,Capa!$A:$Z,BO$5,0)),0,1/VLOOKUP($R56,Capa!$A:$Z,BO$5,0))))</f>
        <v/>
      </c>
      <c r="BP57" s="124" t="str">
        <f>IF(BP$6="","",IF(BP$3="Maior",iferror(VLOOKUP($R56,Capa!$A:$Z,BP$5,0),0),IF(ISERROR(1/VLOOKUP($R56,Capa!$A:$Z,BP$5,0)),0,1/VLOOKUP($R56,Capa!$A:$Z,BP$5,0))))</f>
        <v/>
      </c>
      <c r="BQ57" s="124" t="str">
        <f>IF(BQ$6="","",IF(BQ$3="Maior",iferror(VLOOKUP($R56,Capa!$A:$Z,BQ$5,0),0),IF(ISERROR(1/VLOOKUP($R56,Capa!$A:$Z,BQ$5,0)),0,1/VLOOKUP($R56,Capa!$A:$Z,BQ$5,0))))</f>
        <v/>
      </c>
      <c r="BR57" s="125" t="str">
        <f>IF(BR$6="","",IF(BR$3="Maior",iferror(VLOOKUP($R56,Capa!$A:$Z,BR$5,0),0),IF(ISERROR(1/VLOOKUP($R56,Capa!$A:$Z,BR$5,0)),0,1/VLOOKUP($R56,Capa!$A:$Z,BR$5,0))))</f>
        <v/>
      </c>
      <c r="BS57" s="88"/>
    </row>
    <row r="58">
      <c r="G58" s="9"/>
      <c r="H58" s="7">
        <v>52.0</v>
      </c>
      <c r="I58" s="111" t="str">
        <f t="shared" si="7"/>
        <v>TRXF11</v>
      </c>
      <c r="J58" s="112" t="str">
        <f>VLOOKUP(I58,Capa!A:G,7,0)</f>
        <v>Híbrido</v>
      </c>
      <c r="K58" s="113">
        <f t="shared" si="8"/>
        <v>0.9816169394</v>
      </c>
      <c r="L58" s="113">
        <f t="shared" si="9"/>
        <v>0.1000267661</v>
      </c>
      <c r="M58" s="113" t="str">
        <f t="shared" si="10"/>
        <v/>
      </c>
      <c r="N58" s="113" t="str">
        <f t="shared" si="11"/>
        <v/>
      </c>
      <c r="O58" s="114">
        <f t="shared" si="12"/>
        <v>2728302.31</v>
      </c>
      <c r="P58" s="9"/>
      <c r="Q58" s="9"/>
      <c r="R58" s="115" t="s">
        <v>68</v>
      </c>
      <c r="S58" s="116">
        <f t="shared" si="13"/>
        <v>1191.011081</v>
      </c>
      <c r="T58" s="117">
        <f>MID(VLOOKUP($R58,'Dados ClubeFII'!$A:$AU,23,0),3,100)/1</f>
        <v>483523.63</v>
      </c>
      <c r="U58" s="118">
        <f t="shared" si="14"/>
        <v>110.011</v>
      </c>
      <c r="V58" s="118">
        <f t="shared" si="15"/>
        <v>81.000081</v>
      </c>
      <c r="W58" s="118" t="str">
        <f t="shared" ref="W58:AS58" si="67">IF(AV58="","", RANK(AV58,AV$7:AV$405,0))</f>
        <v/>
      </c>
      <c r="X58" s="118" t="str">
        <f t="shared" si="67"/>
        <v/>
      </c>
      <c r="Y58" s="118" t="str">
        <f t="shared" si="67"/>
        <v/>
      </c>
      <c r="Z58" s="118" t="str">
        <f t="shared" si="67"/>
        <v/>
      </c>
      <c r="AA58" s="118" t="str">
        <f t="shared" si="67"/>
        <v/>
      </c>
      <c r="AB58" s="118" t="str">
        <f t="shared" si="67"/>
        <v/>
      </c>
      <c r="AC58" s="118" t="str">
        <f t="shared" si="67"/>
        <v/>
      </c>
      <c r="AD58" s="118" t="str">
        <f t="shared" si="67"/>
        <v/>
      </c>
      <c r="AE58" s="118" t="str">
        <f t="shared" si="67"/>
        <v/>
      </c>
      <c r="AF58" s="118" t="str">
        <f t="shared" si="67"/>
        <v/>
      </c>
      <c r="AG58" s="118" t="str">
        <f t="shared" si="67"/>
        <v/>
      </c>
      <c r="AH58" s="118" t="str">
        <f t="shared" si="67"/>
        <v/>
      </c>
      <c r="AI58" s="118" t="str">
        <f t="shared" si="67"/>
        <v/>
      </c>
      <c r="AJ58" s="118" t="str">
        <f t="shared" si="67"/>
        <v/>
      </c>
      <c r="AK58" s="118" t="str">
        <f t="shared" si="67"/>
        <v/>
      </c>
      <c r="AL58" s="118" t="str">
        <f t="shared" si="67"/>
        <v/>
      </c>
      <c r="AM58" s="118" t="str">
        <f t="shared" si="67"/>
        <v/>
      </c>
      <c r="AN58" s="118" t="str">
        <f t="shared" si="67"/>
        <v/>
      </c>
      <c r="AO58" s="118" t="str">
        <f t="shared" si="67"/>
        <v/>
      </c>
      <c r="AP58" s="118" t="str">
        <f t="shared" si="67"/>
        <v/>
      </c>
      <c r="AQ58" s="118" t="str">
        <f t="shared" si="67"/>
        <v/>
      </c>
      <c r="AR58" s="118" t="str">
        <f t="shared" si="67"/>
        <v/>
      </c>
      <c r="AS58" s="118" t="str">
        <f t="shared" si="67"/>
        <v/>
      </c>
      <c r="AT58" s="123">
        <f>IF(AT$6="","",IF(AT$3="Maior",iferror(VLOOKUP($R58,Capa!$A:$Z,AT$5,0),0),IF(ISERROR(1/VLOOKUP($R58,Capa!$A:$Z,AT$5,0)),0,1/VLOOKUP($R58,Capa!$A:$Z,AT$5,0))))</f>
        <v>1.168877617</v>
      </c>
      <c r="AU58" s="124">
        <f>IF(AU$6="","",IF(AU$3="Maior",iferror(VLOOKUP($R58,Capa!$A:$Z,AU$5,0),0),IF(ISERROR(1/VLOOKUP($R58,Capa!$A:$Z,AU$5,0)),0,1/VLOOKUP($R58,Capa!$A:$Z,AU$5,0))))</f>
        <v>0.1172453408</v>
      </c>
      <c r="AV58" s="124" t="str">
        <f>IF(AV$6="","",IF(AV$3="Maior",iferror(VLOOKUP($R57,Capa!$A:$Z,AV$5,0),0),IF(ISERROR(1/VLOOKUP($R57,Capa!$A:$Z,AV$5,0)),0,1/VLOOKUP($R57,Capa!$A:$Z,AV$5,0))))</f>
        <v/>
      </c>
      <c r="AW58" s="124" t="str">
        <f>IF(AW$6="","",IF(AW$3="Maior",iferror(VLOOKUP($R57,Capa!$A:$Z,AW$5,0),0),IF(ISERROR(1/VLOOKUP($R57,Capa!$A:$Z,AW$5,0)),0,1/VLOOKUP($R57,Capa!$A:$Z,AW$5,0))))</f>
        <v/>
      </c>
      <c r="AX58" s="124" t="str">
        <f>IF(AX$6="","",IF(AX$3="Maior",iferror(VLOOKUP($R57,Capa!$A:$Z,AX$5,0),0),IF(ISERROR(1/VLOOKUP($R57,Capa!$A:$Z,AX$5,0)),0,1/VLOOKUP($R57,Capa!$A:$Z,AX$5,0))))</f>
        <v/>
      </c>
      <c r="AY58" s="124" t="str">
        <f>IF(AY$6="","",IF(AY$3="Maior",iferror(VLOOKUP($R57,Capa!$A:$Z,AY$5,0),0),IF(ISERROR(1/VLOOKUP($R57,Capa!$A:$Z,AY$5,0)),0,1/VLOOKUP($R57,Capa!$A:$Z,AY$5,0))))</f>
        <v/>
      </c>
      <c r="AZ58" s="124" t="str">
        <f>IF(AZ$6="","",IF(AZ$3="Maior",iferror(VLOOKUP($R57,Capa!$A:$Z,AZ$5,0),0),IF(ISERROR(1/VLOOKUP($R57,Capa!$A:$Z,AZ$5,0)),0,1/VLOOKUP($R57,Capa!$A:$Z,AZ$5,0))))</f>
        <v/>
      </c>
      <c r="BA58" s="124" t="str">
        <f>IF(BA$6="","",IF(BA$3="Maior",iferror(VLOOKUP($R57,Capa!$A:$Z,BA$5,0),0),IF(ISERROR(1/VLOOKUP($R57,Capa!$A:$Z,BA$5,0)),0,1/VLOOKUP($R57,Capa!$A:$Z,BA$5,0))))</f>
        <v/>
      </c>
      <c r="BB58" s="124" t="str">
        <f>IF(BB$6="","",IF(BB$3="Maior",iferror(VLOOKUP($R57,Capa!$A:$Z,BB$5,0),0),IF(ISERROR(1/VLOOKUP($R57,Capa!$A:$Z,BB$5,0)),0,1/VLOOKUP($R57,Capa!$A:$Z,BB$5,0))))</f>
        <v/>
      </c>
      <c r="BC58" s="124" t="str">
        <f>IF(BC$6="","",IF(BC$3="Maior",iferror(VLOOKUP($R57,Capa!$A:$Z,BC$5,0),0),IF(ISERROR(1/VLOOKUP($R57,Capa!$A:$Z,BC$5,0)),0,1/VLOOKUP($R57,Capa!$A:$Z,BC$5,0))))</f>
        <v/>
      </c>
      <c r="BD58" s="124" t="str">
        <f>IF(BD$6="","",IF(BD$3="Maior",iferror(VLOOKUP($R57,Capa!$A:$Z,BD$5,0),0),IF(ISERROR(1/VLOOKUP($R57,Capa!$A:$Z,BD$5,0)),0,1/VLOOKUP($R57,Capa!$A:$Z,BD$5,0))))</f>
        <v/>
      </c>
      <c r="BE58" s="124" t="str">
        <f>IF(BE$6="","",IF(BE$3="Maior",iferror(VLOOKUP($R57,Capa!$A:$Z,BE$5,0),0),IF(ISERROR(1/VLOOKUP($R57,Capa!$A:$Z,BE$5,0)),0,1/VLOOKUP($R57,Capa!$A:$Z,BE$5,0))))</f>
        <v/>
      </c>
      <c r="BF58" s="124" t="str">
        <f>IF(BF$6="","",IF(BF$3="Maior",iferror(VLOOKUP($R57,Capa!$A:$Z,BF$5,0),0),IF(ISERROR(1/VLOOKUP($R57,Capa!$A:$Z,BF$5,0)),0,1/VLOOKUP($R57,Capa!$A:$Z,BF$5,0))))</f>
        <v/>
      </c>
      <c r="BG58" s="124" t="str">
        <f>IF(BG$6="","",IF(BG$3="Maior",iferror(VLOOKUP($R57,Capa!$A:$Z,BG$5,0),0),IF(ISERROR(1/VLOOKUP($R57,Capa!$A:$Z,BG$5,0)),0,1/VLOOKUP($R57,Capa!$A:$Z,BG$5,0))))</f>
        <v/>
      </c>
      <c r="BH58" s="124" t="str">
        <f>IF(BH$6="","",IF(BH$3="Maior",iferror(VLOOKUP($R57,Capa!$A:$Z,BH$5,0),0),IF(ISERROR(1/VLOOKUP($R57,Capa!$A:$Z,BH$5,0)),0,1/VLOOKUP($R57,Capa!$A:$Z,BH$5,0))))</f>
        <v/>
      </c>
      <c r="BI58" s="124" t="str">
        <f>IF(BI$6="","",IF(BI$3="Maior",iferror(VLOOKUP($R57,Capa!$A:$Z,BI$5,0),0),IF(ISERROR(1/VLOOKUP($R57,Capa!$A:$Z,BI$5,0)),0,1/VLOOKUP($R57,Capa!$A:$Z,BI$5,0))))</f>
        <v/>
      </c>
      <c r="BJ58" s="124" t="str">
        <f>IF(BJ$6="","",IF(BJ$3="Maior",iferror(VLOOKUP($R57,Capa!$A:$Z,BJ$5,0),0),IF(ISERROR(1/VLOOKUP($R57,Capa!$A:$Z,BJ$5,0)),0,1/VLOOKUP($R57,Capa!$A:$Z,BJ$5,0))))</f>
        <v/>
      </c>
      <c r="BK58" s="124" t="str">
        <f>IF(BK$6="","",IF(BK$3="Maior",iferror(VLOOKUP($R57,Capa!$A:$Z,BK$5,0),0),IF(ISERROR(1/VLOOKUP($R57,Capa!$A:$Z,BK$5,0)),0,1/VLOOKUP($R57,Capa!$A:$Z,BK$5,0))))</f>
        <v/>
      </c>
      <c r="BL58" s="124" t="str">
        <f>IF(BL$6="","",IF(BL$3="Maior",iferror(VLOOKUP($R57,Capa!$A:$Z,BL$5,0),0),IF(ISERROR(1/VLOOKUP($R57,Capa!$A:$Z,BL$5,0)),0,1/VLOOKUP($R57,Capa!$A:$Z,BL$5,0))))</f>
        <v/>
      </c>
      <c r="BM58" s="124" t="str">
        <f>IF(BM$6="","",IF(BM$3="Maior",iferror(VLOOKUP($R57,Capa!$A:$Z,BM$5,0),0),IF(ISERROR(1/VLOOKUP($R57,Capa!$A:$Z,BM$5,0)),0,1/VLOOKUP($R57,Capa!$A:$Z,BM$5,0))))</f>
        <v/>
      </c>
      <c r="BN58" s="124" t="str">
        <f>IF(BN$6="","",IF(BN$3="Maior",iferror(VLOOKUP($R57,Capa!$A:$Z,BN$5,0),0),IF(ISERROR(1/VLOOKUP($R57,Capa!$A:$Z,BN$5,0)),0,1/VLOOKUP($R57,Capa!$A:$Z,BN$5,0))))</f>
        <v/>
      </c>
      <c r="BO58" s="124" t="str">
        <f>IF(BO$6="","",IF(BO$3="Maior",iferror(VLOOKUP($R57,Capa!$A:$Z,BO$5,0),0),IF(ISERROR(1/VLOOKUP($R57,Capa!$A:$Z,BO$5,0)),0,1/VLOOKUP($R57,Capa!$A:$Z,BO$5,0))))</f>
        <v/>
      </c>
      <c r="BP58" s="124" t="str">
        <f>IF(BP$6="","",IF(BP$3="Maior",iferror(VLOOKUP($R57,Capa!$A:$Z,BP$5,0),0),IF(ISERROR(1/VLOOKUP($R57,Capa!$A:$Z,BP$5,0)),0,1/VLOOKUP($R57,Capa!$A:$Z,BP$5,0))))</f>
        <v/>
      </c>
      <c r="BQ58" s="124" t="str">
        <f>IF(BQ$6="","",IF(BQ$3="Maior",iferror(VLOOKUP($R57,Capa!$A:$Z,BQ$5,0),0),IF(ISERROR(1/VLOOKUP($R57,Capa!$A:$Z,BQ$5,0)),0,1/VLOOKUP($R57,Capa!$A:$Z,BQ$5,0))))</f>
        <v/>
      </c>
      <c r="BR58" s="125" t="str">
        <f>IF(BR$6="","",IF(BR$3="Maior",iferror(VLOOKUP($R57,Capa!$A:$Z,BR$5,0),0),IF(ISERROR(1/VLOOKUP($R57,Capa!$A:$Z,BR$5,0)),0,1/VLOOKUP($R57,Capa!$A:$Z,BR$5,0))))</f>
        <v/>
      </c>
      <c r="BS58" s="88"/>
    </row>
    <row r="59">
      <c r="G59" s="9"/>
      <c r="H59" s="7">
        <v>53.0</v>
      </c>
      <c r="I59" s="111" t="str">
        <f t="shared" si="7"/>
        <v>HGLG11</v>
      </c>
      <c r="J59" s="112" t="str">
        <f>VLOOKUP(I59,Capa!A:G,7,0)</f>
        <v>Logisticos</v>
      </c>
      <c r="K59" s="113">
        <f t="shared" si="8"/>
        <v>1.05164728</v>
      </c>
      <c r="L59" s="113">
        <f t="shared" si="9"/>
        <v>0.1012954597</v>
      </c>
      <c r="M59" s="113" t="str">
        <f t="shared" si="10"/>
        <v/>
      </c>
      <c r="N59" s="113" t="str">
        <f t="shared" si="11"/>
        <v/>
      </c>
      <c r="O59" s="114">
        <f t="shared" si="12"/>
        <v>4900320.09</v>
      </c>
      <c r="P59" s="9"/>
      <c r="Q59" s="9"/>
      <c r="R59" s="127" t="s">
        <v>138</v>
      </c>
      <c r="S59" s="116">
        <f t="shared" si="13"/>
        <v>167.008285</v>
      </c>
      <c r="T59" s="117">
        <f>MID(VLOOKUP($R59,'Dados ClubeFII'!$A:$AU,23,0),3,100)/1</f>
        <v>1543022.57</v>
      </c>
      <c r="U59" s="118">
        <f t="shared" si="14"/>
        <v>82.0082</v>
      </c>
      <c r="V59" s="118">
        <f t="shared" si="15"/>
        <v>85.000085</v>
      </c>
      <c r="W59" s="118" t="str">
        <f t="shared" ref="W59:AS59" si="68">IF(AV59="","", RANK(AV59,AV$7:AV$405,0))</f>
        <v/>
      </c>
      <c r="X59" s="118" t="str">
        <f t="shared" si="68"/>
        <v/>
      </c>
      <c r="Y59" s="118" t="str">
        <f t="shared" si="68"/>
        <v/>
      </c>
      <c r="Z59" s="118" t="str">
        <f t="shared" si="68"/>
        <v/>
      </c>
      <c r="AA59" s="118" t="str">
        <f t="shared" si="68"/>
        <v/>
      </c>
      <c r="AB59" s="118" t="str">
        <f t="shared" si="68"/>
        <v/>
      </c>
      <c r="AC59" s="118" t="str">
        <f t="shared" si="68"/>
        <v/>
      </c>
      <c r="AD59" s="118" t="str">
        <f t="shared" si="68"/>
        <v/>
      </c>
      <c r="AE59" s="118" t="str">
        <f t="shared" si="68"/>
        <v/>
      </c>
      <c r="AF59" s="118" t="str">
        <f t="shared" si="68"/>
        <v/>
      </c>
      <c r="AG59" s="118" t="str">
        <f t="shared" si="68"/>
        <v/>
      </c>
      <c r="AH59" s="118" t="str">
        <f t="shared" si="68"/>
        <v/>
      </c>
      <c r="AI59" s="118" t="str">
        <f t="shared" si="68"/>
        <v/>
      </c>
      <c r="AJ59" s="118" t="str">
        <f t="shared" si="68"/>
        <v/>
      </c>
      <c r="AK59" s="118" t="str">
        <f t="shared" si="68"/>
        <v/>
      </c>
      <c r="AL59" s="118" t="str">
        <f t="shared" si="68"/>
        <v/>
      </c>
      <c r="AM59" s="118" t="str">
        <f t="shared" si="68"/>
        <v/>
      </c>
      <c r="AN59" s="118" t="str">
        <f t="shared" si="68"/>
        <v/>
      </c>
      <c r="AO59" s="118" t="str">
        <f t="shared" si="68"/>
        <v/>
      </c>
      <c r="AP59" s="118" t="str">
        <f t="shared" si="68"/>
        <v/>
      </c>
      <c r="AQ59" s="118" t="str">
        <f t="shared" si="68"/>
        <v/>
      </c>
      <c r="AR59" s="118" t="str">
        <f t="shared" si="68"/>
        <v/>
      </c>
      <c r="AS59" s="118" t="str">
        <f t="shared" si="68"/>
        <v/>
      </c>
      <c r="AT59" s="123">
        <f>IF(AT$6="","",IF(AT$3="Maior",iferror(VLOOKUP($R59,Capa!$A:$Z,AT$5,0),0),IF(ISERROR(1/VLOOKUP($R59,Capa!$A:$Z,AT$5,0)),0,1/VLOOKUP($R59,Capa!$A:$Z,AT$5,0))))</f>
        <v>1.224188624</v>
      </c>
      <c r="AU59" s="124">
        <f>IF(AU$6="","",IF(AU$3="Maior",iferror(VLOOKUP($R59,Capa!$A:$Z,AU$5,0),0),IF(ISERROR(1/VLOOKUP($R59,Capa!$A:$Z,AU$5,0)),0,1/VLOOKUP($R59,Capa!$A:$Z,AU$5,0))))</f>
        <v>0.1149665485</v>
      </c>
      <c r="AV59" s="124" t="str">
        <f>IF(AV$6="","",IF(AV$3="Maior",iferror(VLOOKUP($R58,Capa!$A:$Z,AV$5,0),0),IF(ISERROR(1/VLOOKUP($R58,Capa!$A:$Z,AV$5,0)),0,1/VLOOKUP($R58,Capa!$A:$Z,AV$5,0))))</f>
        <v/>
      </c>
      <c r="AW59" s="124" t="str">
        <f>IF(AW$6="","",IF(AW$3="Maior",iferror(VLOOKUP($R58,Capa!$A:$Z,AW$5,0),0),IF(ISERROR(1/VLOOKUP($R58,Capa!$A:$Z,AW$5,0)),0,1/VLOOKUP($R58,Capa!$A:$Z,AW$5,0))))</f>
        <v/>
      </c>
      <c r="AX59" s="124" t="str">
        <f>IF(AX$6="","",IF(AX$3="Maior",iferror(VLOOKUP($R58,Capa!$A:$Z,AX$5,0),0),IF(ISERROR(1/VLOOKUP($R58,Capa!$A:$Z,AX$5,0)),0,1/VLOOKUP($R58,Capa!$A:$Z,AX$5,0))))</f>
        <v/>
      </c>
      <c r="AY59" s="124" t="str">
        <f>IF(AY$6="","",IF(AY$3="Maior",iferror(VLOOKUP($R58,Capa!$A:$Z,AY$5,0),0),IF(ISERROR(1/VLOOKUP($R58,Capa!$A:$Z,AY$5,0)),0,1/VLOOKUP($R58,Capa!$A:$Z,AY$5,0))))</f>
        <v/>
      </c>
      <c r="AZ59" s="124" t="str">
        <f>IF(AZ$6="","",IF(AZ$3="Maior",iferror(VLOOKUP($R58,Capa!$A:$Z,AZ$5,0),0),IF(ISERROR(1/VLOOKUP($R58,Capa!$A:$Z,AZ$5,0)),0,1/VLOOKUP($R58,Capa!$A:$Z,AZ$5,0))))</f>
        <v/>
      </c>
      <c r="BA59" s="124" t="str">
        <f>IF(BA$6="","",IF(BA$3="Maior",iferror(VLOOKUP($R58,Capa!$A:$Z,BA$5,0),0),IF(ISERROR(1/VLOOKUP($R58,Capa!$A:$Z,BA$5,0)),0,1/VLOOKUP($R58,Capa!$A:$Z,BA$5,0))))</f>
        <v/>
      </c>
      <c r="BB59" s="124" t="str">
        <f>IF(BB$6="","",IF(BB$3="Maior",iferror(VLOOKUP($R58,Capa!$A:$Z,BB$5,0),0),IF(ISERROR(1/VLOOKUP($R58,Capa!$A:$Z,BB$5,0)),0,1/VLOOKUP($R58,Capa!$A:$Z,BB$5,0))))</f>
        <v/>
      </c>
      <c r="BC59" s="124" t="str">
        <f>IF(BC$6="","",IF(BC$3="Maior",iferror(VLOOKUP($R58,Capa!$A:$Z,BC$5,0),0),IF(ISERROR(1/VLOOKUP($R58,Capa!$A:$Z,BC$5,0)),0,1/VLOOKUP($R58,Capa!$A:$Z,BC$5,0))))</f>
        <v/>
      </c>
      <c r="BD59" s="124" t="str">
        <f>IF(BD$6="","",IF(BD$3="Maior",iferror(VLOOKUP($R58,Capa!$A:$Z,BD$5,0),0),IF(ISERROR(1/VLOOKUP($R58,Capa!$A:$Z,BD$5,0)),0,1/VLOOKUP($R58,Capa!$A:$Z,BD$5,0))))</f>
        <v/>
      </c>
      <c r="BE59" s="124" t="str">
        <f>IF(BE$6="","",IF(BE$3="Maior",iferror(VLOOKUP($R58,Capa!$A:$Z,BE$5,0),0),IF(ISERROR(1/VLOOKUP($R58,Capa!$A:$Z,BE$5,0)),0,1/VLOOKUP($R58,Capa!$A:$Z,BE$5,0))))</f>
        <v/>
      </c>
      <c r="BF59" s="124" t="str">
        <f>IF(BF$6="","",IF(BF$3="Maior",iferror(VLOOKUP($R58,Capa!$A:$Z,BF$5,0),0),IF(ISERROR(1/VLOOKUP($R58,Capa!$A:$Z,BF$5,0)),0,1/VLOOKUP($R58,Capa!$A:$Z,BF$5,0))))</f>
        <v/>
      </c>
      <c r="BG59" s="124" t="str">
        <f>IF(BG$6="","",IF(BG$3="Maior",iferror(VLOOKUP($R58,Capa!$A:$Z,BG$5,0),0),IF(ISERROR(1/VLOOKUP($R58,Capa!$A:$Z,BG$5,0)),0,1/VLOOKUP($R58,Capa!$A:$Z,BG$5,0))))</f>
        <v/>
      </c>
      <c r="BH59" s="124" t="str">
        <f>IF(BH$6="","",IF(BH$3="Maior",iferror(VLOOKUP($R58,Capa!$A:$Z,BH$5,0),0),IF(ISERROR(1/VLOOKUP($R58,Capa!$A:$Z,BH$5,0)),0,1/VLOOKUP($R58,Capa!$A:$Z,BH$5,0))))</f>
        <v/>
      </c>
      <c r="BI59" s="124" t="str">
        <f>IF(BI$6="","",IF(BI$3="Maior",iferror(VLOOKUP($R58,Capa!$A:$Z,BI$5,0),0),IF(ISERROR(1/VLOOKUP($R58,Capa!$A:$Z,BI$5,0)),0,1/VLOOKUP($R58,Capa!$A:$Z,BI$5,0))))</f>
        <v/>
      </c>
      <c r="BJ59" s="124" t="str">
        <f>IF(BJ$6="","",IF(BJ$3="Maior",iferror(VLOOKUP($R58,Capa!$A:$Z,BJ$5,0),0),IF(ISERROR(1/VLOOKUP($R58,Capa!$A:$Z,BJ$5,0)),0,1/VLOOKUP($R58,Capa!$A:$Z,BJ$5,0))))</f>
        <v/>
      </c>
      <c r="BK59" s="124" t="str">
        <f>IF(BK$6="","",IF(BK$3="Maior",iferror(VLOOKUP($R58,Capa!$A:$Z,BK$5,0),0),IF(ISERROR(1/VLOOKUP($R58,Capa!$A:$Z,BK$5,0)),0,1/VLOOKUP($R58,Capa!$A:$Z,BK$5,0))))</f>
        <v/>
      </c>
      <c r="BL59" s="124" t="str">
        <f>IF(BL$6="","",IF(BL$3="Maior",iferror(VLOOKUP($R58,Capa!$A:$Z,BL$5,0),0),IF(ISERROR(1/VLOOKUP($R58,Capa!$A:$Z,BL$5,0)),0,1/VLOOKUP($R58,Capa!$A:$Z,BL$5,0))))</f>
        <v/>
      </c>
      <c r="BM59" s="124" t="str">
        <f>IF(BM$6="","",IF(BM$3="Maior",iferror(VLOOKUP($R58,Capa!$A:$Z,BM$5,0),0),IF(ISERROR(1/VLOOKUP($R58,Capa!$A:$Z,BM$5,0)),0,1/VLOOKUP($R58,Capa!$A:$Z,BM$5,0))))</f>
        <v/>
      </c>
      <c r="BN59" s="124" t="str">
        <f>IF(BN$6="","",IF(BN$3="Maior",iferror(VLOOKUP($R58,Capa!$A:$Z,BN$5,0),0),IF(ISERROR(1/VLOOKUP($R58,Capa!$A:$Z,BN$5,0)),0,1/VLOOKUP($R58,Capa!$A:$Z,BN$5,0))))</f>
        <v/>
      </c>
      <c r="BO59" s="124" t="str">
        <f>IF(BO$6="","",IF(BO$3="Maior",iferror(VLOOKUP($R58,Capa!$A:$Z,BO$5,0),0),IF(ISERROR(1/VLOOKUP($R58,Capa!$A:$Z,BO$5,0)),0,1/VLOOKUP($R58,Capa!$A:$Z,BO$5,0))))</f>
        <v/>
      </c>
      <c r="BP59" s="124" t="str">
        <f>IF(BP$6="","",IF(BP$3="Maior",iferror(VLOOKUP($R58,Capa!$A:$Z,BP$5,0),0),IF(ISERROR(1/VLOOKUP($R58,Capa!$A:$Z,BP$5,0)),0,1/VLOOKUP($R58,Capa!$A:$Z,BP$5,0))))</f>
        <v/>
      </c>
      <c r="BQ59" s="124" t="str">
        <f>IF(BQ$6="","",IF(BQ$3="Maior",iferror(VLOOKUP($R58,Capa!$A:$Z,BQ$5,0),0),IF(ISERROR(1/VLOOKUP($R58,Capa!$A:$Z,BQ$5,0)),0,1/VLOOKUP($R58,Capa!$A:$Z,BQ$5,0))))</f>
        <v/>
      </c>
      <c r="BR59" s="125" t="str">
        <f>IF(BR$6="","",IF(BR$3="Maior",iferror(VLOOKUP($R58,Capa!$A:$Z,BR$5,0),0),IF(ISERROR(1/VLOOKUP($R58,Capa!$A:$Z,BR$5,0)),0,1/VLOOKUP($R58,Capa!$A:$Z,BR$5,0))))</f>
        <v/>
      </c>
      <c r="BS59" s="88"/>
    </row>
    <row r="60">
      <c r="G60" s="9"/>
      <c r="H60" s="7">
        <v>54.0</v>
      </c>
      <c r="I60" s="111" t="str">
        <f t="shared" si="7"/>
        <v>XPML11</v>
      </c>
      <c r="J60" s="112" t="str">
        <f>VLOOKUP(I60,Capa!A:G,7,0)</f>
        <v>Shopping/Varejo</v>
      </c>
      <c r="K60" s="113">
        <f t="shared" si="8"/>
        <v>0.9728907615</v>
      </c>
      <c r="L60" s="113">
        <f t="shared" si="9"/>
        <v>0.08936553283</v>
      </c>
      <c r="M60" s="113" t="str">
        <f t="shared" si="10"/>
        <v/>
      </c>
      <c r="N60" s="113" t="str">
        <f t="shared" si="11"/>
        <v/>
      </c>
      <c r="O60" s="114">
        <f t="shared" si="12"/>
        <v>4220057.77</v>
      </c>
      <c r="P60" s="9"/>
      <c r="Q60" s="9"/>
      <c r="R60" s="115" t="s">
        <v>66</v>
      </c>
      <c r="S60" s="116">
        <f t="shared" si="13"/>
        <v>1180.017802</v>
      </c>
      <c r="T60" s="117">
        <f>MID(VLOOKUP($R60,'Dados ClubeFII'!$A:$AU,23,0),3,100)/1</f>
        <v>380619</v>
      </c>
      <c r="U60" s="118">
        <f t="shared" si="14"/>
        <v>178.0178</v>
      </c>
      <c r="V60" s="118">
        <f t="shared" si="15"/>
        <v>2.000002</v>
      </c>
      <c r="W60" s="118" t="str">
        <f t="shared" ref="W60:AS60" si="69">IF(AV60="","", RANK(AV60,AV$7:AV$405,0))</f>
        <v/>
      </c>
      <c r="X60" s="118" t="str">
        <f t="shared" si="69"/>
        <v/>
      </c>
      <c r="Y60" s="118" t="str">
        <f t="shared" si="69"/>
        <v/>
      </c>
      <c r="Z60" s="118" t="str">
        <f t="shared" si="69"/>
        <v/>
      </c>
      <c r="AA60" s="118" t="str">
        <f t="shared" si="69"/>
        <v/>
      </c>
      <c r="AB60" s="118" t="str">
        <f t="shared" si="69"/>
        <v/>
      </c>
      <c r="AC60" s="118" t="str">
        <f t="shared" si="69"/>
        <v/>
      </c>
      <c r="AD60" s="118" t="str">
        <f t="shared" si="69"/>
        <v/>
      </c>
      <c r="AE60" s="118" t="str">
        <f t="shared" si="69"/>
        <v/>
      </c>
      <c r="AF60" s="118" t="str">
        <f t="shared" si="69"/>
        <v/>
      </c>
      <c r="AG60" s="118" t="str">
        <f t="shared" si="69"/>
        <v/>
      </c>
      <c r="AH60" s="118" t="str">
        <f t="shared" si="69"/>
        <v/>
      </c>
      <c r="AI60" s="118" t="str">
        <f t="shared" si="69"/>
        <v/>
      </c>
      <c r="AJ60" s="118" t="str">
        <f t="shared" si="69"/>
        <v/>
      </c>
      <c r="AK60" s="118" t="str">
        <f t="shared" si="69"/>
        <v/>
      </c>
      <c r="AL60" s="118" t="str">
        <f t="shared" si="69"/>
        <v/>
      </c>
      <c r="AM60" s="118" t="str">
        <f t="shared" si="69"/>
        <v/>
      </c>
      <c r="AN60" s="118" t="str">
        <f t="shared" si="69"/>
        <v/>
      </c>
      <c r="AO60" s="118" t="str">
        <f t="shared" si="69"/>
        <v/>
      </c>
      <c r="AP60" s="118" t="str">
        <f t="shared" si="69"/>
        <v/>
      </c>
      <c r="AQ60" s="118" t="str">
        <f t="shared" si="69"/>
        <v/>
      </c>
      <c r="AR60" s="118" t="str">
        <f t="shared" si="69"/>
        <v/>
      </c>
      <c r="AS60" s="118" t="str">
        <f t="shared" si="69"/>
        <v/>
      </c>
      <c r="AT60" s="123">
        <f>IF(AT$6="","",IF(AT$3="Maior",iferror(VLOOKUP($R60,Capa!$A:$Z,AT$5,0),0),IF(ISERROR(1/VLOOKUP($R60,Capa!$A:$Z,AT$5,0)),0,1/VLOOKUP($R60,Capa!$A:$Z,AT$5,0))))</f>
        <v>0.9702918297</v>
      </c>
      <c r="AU60" s="124">
        <f>IF(AU$6="","",IF(AU$3="Maior",iferror(VLOOKUP($R60,Capa!$A:$Z,AU$5,0),0),IF(ISERROR(1/VLOOKUP($R60,Capa!$A:$Z,AU$5,0)),0,1/VLOOKUP($R60,Capa!$A:$Z,AU$5,0))))</f>
        <v>0.1903669935</v>
      </c>
      <c r="AV60" s="124" t="str">
        <f>IF(AV$6="","",IF(AV$3="Maior",iferror(VLOOKUP($R59,Capa!$A:$Z,AV$5,0),0),IF(ISERROR(1/VLOOKUP($R59,Capa!$A:$Z,AV$5,0)),0,1/VLOOKUP($R59,Capa!$A:$Z,AV$5,0))))</f>
        <v/>
      </c>
      <c r="AW60" s="124" t="str">
        <f>IF(AW$6="","",IF(AW$3="Maior",iferror(VLOOKUP($R59,Capa!$A:$Z,AW$5,0),0),IF(ISERROR(1/VLOOKUP($R59,Capa!$A:$Z,AW$5,0)),0,1/VLOOKUP($R59,Capa!$A:$Z,AW$5,0))))</f>
        <v/>
      </c>
      <c r="AX60" s="124" t="str">
        <f>IF(AX$6="","",IF(AX$3="Maior",iferror(VLOOKUP($R59,Capa!$A:$Z,AX$5,0),0),IF(ISERROR(1/VLOOKUP($R59,Capa!$A:$Z,AX$5,0)),0,1/VLOOKUP($R59,Capa!$A:$Z,AX$5,0))))</f>
        <v/>
      </c>
      <c r="AY60" s="124" t="str">
        <f>IF(AY$6="","",IF(AY$3="Maior",iferror(VLOOKUP($R59,Capa!$A:$Z,AY$5,0),0),IF(ISERROR(1/VLOOKUP($R59,Capa!$A:$Z,AY$5,0)),0,1/VLOOKUP($R59,Capa!$A:$Z,AY$5,0))))</f>
        <v/>
      </c>
      <c r="AZ60" s="124" t="str">
        <f>IF(AZ$6="","",IF(AZ$3="Maior",iferror(VLOOKUP($R59,Capa!$A:$Z,AZ$5,0),0),IF(ISERROR(1/VLOOKUP($R59,Capa!$A:$Z,AZ$5,0)),0,1/VLOOKUP($R59,Capa!$A:$Z,AZ$5,0))))</f>
        <v/>
      </c>
      <c r="BA60" s="124" t="str">
        <f>IF(BA$6="","",IF(BA$3="Maior",iferror(VLOOKUP($R59,Capa!$A:$Z,BA$5,0),0),IF(ISERROR(1/VLOOKUP($R59,Capa!$A:$Z,BA$5,0)),0,1/VLOOKUP($R59,Capa!$A:$Z,BA$5,0))))</f>
        <v/>
      </c>
      <c r="BB60" s="124" t="str">
        <f>IF(BB$6="","",IF(BB$3="Maior",iferror(VLOOKUP($R59,Capa!$A:$Z,BB$5,0),0),IF(ISERROR(1/VLOOKUP($R59,Capa!$A:$Z,BB$5,0)),0,1/VLOOKUP($R59,Capa!$A:$Z,BB$5,0))))</f>
        <v/>
      </c>
      <c r="BC60" s="124" t="str">
        <f>IF(BC$6="","",IF(BC$3="Maior",iferror(VLOOKUP($R59,Capa!$A:$Z,BC$5,0),0),IF(ISERROR(1/VLOOKUP($R59,Capa!$A:$Z,BC$5,0)),0,1/VLOOKUP($R59,Capa!$A:$Z,BC$5,0))))</f>
        <v/>
      </c>
      <c r="BD60" s="124" t="str">
        <f>IF(BD$6="","",IF(BD$3="Maior",iferror(VLOOKUP($R59,Capa!$A:$Z,BD$5,0),0),IF(ISERROR(1/VLOOKUP($R59,Capa!$A:$Z,BD$5,0)),0,1/VLOOKUP($R59,Capa!$A:$Z,BD$5,0))))</f>
        <v/>
      </c>
      <c r="BE60" s="124" t="str">
        <f>IF(BE$6="","",IF(BE$3="Maior",iferror(VLOOKUP($R59,Capa!$A:$Z,BE$5,0),0),IF(ISERROR(1/VLOOKUP($R59,Capa!$A:$Z,BE$5,0)),0,1/VLOOKUP($R59,Capa!$A:$Z,BE$5,0))))</f>
        <v/>
      </c>
      <c r="BF60" s="124" t="str">
        <f>IF(BF$6="","",IF(BF$3="Maior",iferror(VLOOKUP($R59,Capa!$A:$Z,BF$5,0),0),IF(ISERROR(1/VLOOKUP($R59,Capa!$A:$Z,BF$5,0)),0,1/VLOOKUP($R59,Capa!$A:$Z,BF$5,0))))</f>
        <v/>
      </c>
      <c r="BG60" s="124" t="str">
        <f>IF(BG$6="","",IF(BG$3="Maior",iferror(VLOOKUP($R59,Capa!$A:$Z,BG$5,0),0),IF(ISERROR(1/VLOOKUP($R59,Capa!$A:$Z,BG$5,0)),0,1/VLOOKUP($R59,Capa!$A:$Z,BG$5,0))))</f>
        <v/>
      </c>
      <c r="BH60" s="124" t="str">
        <f>IF(BH$6="","",IF(BH$3="Maior",iferror(VLOOKUP($R59,Capa!$A:$Z,BH$5,0),0),IF(ISERROR(1/VLOOKUP($R59,Capa!$A:$Z,BH$5,0)),0,1/VLOOKUP($R59,Capa!$A:$Z,BH$5,0))))</f>
        <v/>
      </c>
      <c r="BI60" s="124" t="str">
        <f>IF(BI$6="","",IF(BI$3="Maior",iferror(VLOOKUP($R59,Capa!$A:$Z,BI$5,0),0),IF(ISERROR(1/VLOOKUP($R59,Capa!$A:$Z,BI$5,0)),0,1/VLOOKUP($R59,Capa!$A:$Z,BI$5,0))))</f>
        <v/>
      </c>
      <c r="BJ60" s="124" t="str">
        <f>IF(BJ$6="","",IF(BJ$3="Maior",iferror(VLOOKUP($R59,Capa!$A:$Z,BJ$5,0),0),IF(ISERROR(1/VLOOKUP($R59,Capa!$A:$Z,BJ$5,0)),0,1/VLOOKUP($R59,Capa!$A:$Z,BJ$5,0))))</f>
        <v/>
      </c>
      <c r="BK60" s="124" t="str">
        <f>IF(BK$6="","",IF(BK$3="Maior",iferror(VLOOKUP($R59,Capa!$A:$Z,BK$5,0),0),IF(ISERROR(1/VLOOKUP($R59,Capa!$A:$Z,BK$5,0)),0,1/VLOOKUP($R59,Capa!$A:$Z,BK$5,0))))</f>
        <v/>
      </c>
      <c r="BL60" s="124" t="str">
        <f>IF(BL$6="","",IF(BL$3="Maior",iferror(VLOOKUP($R59,Capa!$A:$Z,BL$5,0),0),IF(ISERROR(1/VLOOKUP($R59,Capa!$A:$Z,BL$5,0)),0,1/VLOOKUP($R59,Capa!$A:$Z,BL$5,0))))</f>
        <v/>
      </c>
      <c r="BM60" s="124" t="str">
        <f>IF(BM$6="","",IF(BM$3="Maior",iferror(VLOOKUP($R59,Capa!$A:$Z,BM$5,0),0),IF(ISERROR(1/VLOOKUP($R59,Capa!$A:$Z,BM$5,0)),0,1/VLOOKUP($R59,Capa!$A:$Z,BM$5,0))))</f>
        <v/>
      </c>
      <c r="BN60" s="124" t="str">
        <f>IF(BN$6="","",IF(BN$3="Maior",iferror(VLOOKUP($R59,Capa!$A:$Z,BN$5,0),0),IF(ISERROR(1/VLOOKUP($R59,Capa!$A:$Z,BN$5,0)),0,1/VLOOKUP($R59,Capa!$A:$Z,BN$5,0))))</f>
        <v/>
      </c>
      <c r="BO60" s="124" t="str">
        <f>IF(BO$6="","",IF(BO$3="Maior",iferror(VLOOKUP($R59,Capa!$A:$Z,BO$5,0),0),IF(ISERROR(1/VLOOKUP($R59,Capa!$A:$Z,BO$5,0)),0,1/VLOOKUP($R59,Capa!$A:$Z,BO$5,0))))</f>
        <v/>
      </c>
      <c r="BP60" s="124" t="str">
        <f>IF(BP$6="","",IF(BP$3="Maior",iferror(VLOOKUP($R59,Capa!$A:$Z,BP$5,0),0),IF(ISERROR(1/VLOOKUP($R59,Capa!$A:$Z,BP$5,0)),0,1/VLOOKUP($R59,Capa!$A:$Z,BP$5,0))))</f>
        <v/>
      </c>
      <c r="BQ60" s="124" t="str">
        <f>IF(BQ$6="","",IF(BQ$3="Maior",iferror(VLOOKUP($R59,Capa!$A:$Z,BQ$5,0),0),IF(ISERROR(1/VLOOKUP($R59,Capa!$A:$Z,BQ$5,0)),0,1/VLOOKUP($R59,Capa!$A:$Z,BQ$5,0))))</f>
        <v/>
      </c>
      <c r="BR60" s="125" t="str">
        <f>IF(BR$6="","",IF(BR$3="Maior",iferror(VLOOKUP($R59,Capa!$A:$Z,BR$5,0),0),IF(ISERROR(1/VLOOKUP($R59,Capa!$A:$Z,BR$5,0)),0,1/VLOOKUP($R59,Capa!$A:$Z,BR$5,0))))</f>
        <v/>
      </c>
      <c r="BS60" s="88"/>
    </row>
    <row r="61">
      <c r="G61" s="9"/>
      <c r="H61" s="7">
        <v>55.0</v>
      </c>
      <c r="I61" s="129" t="str">
        <f t="shared" si="7"/>
        <v>TRXB11</v>
      </c>
      <c r="J61" s="112" t="str">
        <f>VLOOKUP(I61,Capa!A:G,7,0)</f>
        <v>Logisticos</v>
      </c>
      <c r="K61" s="113">
        <f t="shared" si="8"/>
        <v>1.032419959</v>
      </c>
      <c r="L61" s="113">
        <f t="shared" si="9"/>
        <v>0.07516741805</v>
      </c>
      <c r="M61" s="113" t="str">
        <f t="shared" si="10"/>
        <v/>
      </c>
      <c r="N61" s="113" t="str">
        <f t="shared" si="11"/>
        <v/>
      </c>
      <c r="O61" s="114">
        <f t="shared" si="12"/>
        <v>2053026.62</v>
      </c>
      <c r="P61" s="9"/>
      <c r="Q61" s="9"/>
      <c r="R61" s="115" t="s">
        <v>134</v>
      </c>
      <c r="S61" s="116">
        <f t="shared" si="13"/>
        <v>1300.016734</v>
      </c>
      <c r="T61" s="117">
        <f>MID(VLOOKUP($R61,'Dados ClubeFII'!$A:$AU,23,0),3,100)/1</f>
        <v>6888.66</v>
      </c>
      <c r="U61" s="118">
        <f t="shared" si="14"/>
        <v>166.0166</v>
      </c>
      <c r="V61" s="118">
        <f t="shared" si="15"/>
        <v>134.000134</v>
      </c>
      <c r="W61" s="118" t="str">
        <f t="shared" ref="W61:AS61" si="70">IF(AV61="","", RANK(AV61,AV$7:AV$405,0))</f>
        <v/>
      </c>
      <c r="X61" s="118" t="str">
        <f t="shared" si="70"/>
        <v/>
      </c>
      <c r="Y61" s="118" t="str">
        <f t="shared" si="70"/>
        <v/>
      </c>
      <c r="Z61" s="118" t="str">
        <f t="shared" si="70"/>
        <v/>
      </c>
      <c r="AA61" s="118" t="str">
        <f t="shared" si="70"/>
        <v/>
      </c>
      <c r="AB61" s="118" t="str">
        <f t="shared" si="70"/>
        <v/>
      </c>
      <c r="AC61" s="118" t="str">
        <f t="shared" si="70"/>
        <v/>
      </c>
      <c r="AD61" s="118" t="str">
        <f t="shared" si="70"/>
        <v/>
      </c>
      <c r="AE61" s="118" t="str">
        <f t="shared" si="70"/>
        <v/>
      </c>
      <c r="AF61" s="118" t="str">
        <f t="shared" si="70"/>
        <v/>
      </c>
      <c r="AG61" s="118" t="str">
        <f t="shared" si="70"/>
        <v/>
      </c>
      <c r="AH61" s="118" t="str">
        <f t="shared" si="70"/>
        <v/>
      </c>
      <c r="AI61" s="118" t="str">
        <f t="shared" si="70"/>
        <v/>
      </c>
      <c r="AJ61" s="118" t="str">
        <f t="shared" si="70"/>
        <v/>
      </c>
      <c r="AK61" s="118" t="str">
        <f t="shared" si="70"/>
        <v/>
      </c>
      <c r="AL61" s="118" t="str">
        <f t="shared" si="70"/>
        <v/>
      </c>
      <c r="AM61" s="118" t="str">
        <f t="shared" si="70"/>
        <v/>
      </c>
      <c r="AN61" s="118" t="str">
        <f t="shared" si="70"/>
        <v/>
      </c>
      <c r="AO61" s="118" t="str">
        <f t="shared" si="70"/>
        <v/>
      </c>
      <c r="AP61" s="118" t="str">
        <f t="shared" si="70"/>
        <v/>
      </c>
      <c r="AQ61" s="118" t="str">
        <f t="shared" si="70"/>
        <v/>
      </c>
      <c r="AR61" s="118" t="str">
        <f t="shared" si="70"/>
        <v/>
      </c>
      <c r="AS61" s="118" t="str">
        <f t="shared" si="70"/>
        <v/>
      </c>
      <c r="AT61" s="123">
        <f>IF(AT$6="","",IF(AT$3="Maior",iferror(VLOOKUP($R61,Capa!$A:$Z,AT$5,0),0),IF(ISERROR(1/VLOOKUP($R61,Capa!$A:$Z,AT$5,0)),0,1/VLOOKUP($R61,Capa!$A:$Z,AT$5,0))))</f>
        <v>1.02360996</v>
      </c>
      <c r="AU61" s="124">
        <f>IF(AU$6="","",IF(AU$3="Maior",iferror(VLOOKUP($R61,Capa!$A:$Z,AU$5,0),0),IF(ISERROR(1/VLOOKUP($R61,Capa!$A:$Z,AU$5,0)),0,1/VLOOKUP($R61,Capa!$A:$Z,AU$5,0))))</f>
        <v>0.0910419916</v>
      </c>
      <c r="AV61" s="124" t="str">
        <f>IF(AV$6="","",IF(AV$3="Maior",iferror(VLOOKUP($R60,Capa!$A:$Z,AV$5,0),0),IF(ISERROR(1/VLOOKUP($R60,Capa!$A:$Z,AV$5,0)),0,1/VLOOKUP($R60,Capa!$A:$Z,AV$5,0))))</f>
        <v/>
      </c>
      <c r="AW61" s="124" t="str">
        <f>IF(AW$6="","",IF(AW$3="Maior",iferror(VLOOKUP($R60,Capa!$A:$Z,AW$5,0),0),IF(ISERROR(1/VLOOKUP($R60,Capa!$A:$Z,AW$5,0)),0,1/VLOOKUP($R60,Capa!$A:$Z,AW$5,0))))</f>
        <v/>
      </c>
      <c r="AX61" s="124" t="str">
        <f>IF(AX$6="","",IF(AX$3="Maior",iferror(VLOOKUP($R60,Capa!$A:$Z,AX$5,0),0),IF(ISERROR(1/VLOOKUP($R60,Capa!$A:$Z,AX$5,0)),0,1/VLOOKUP($R60,Capa!$A:$Z,AX$5,0))))</f>
        <v/>
      </c>
      <c r="AY61" s="124" t="str">
        <f>IF(AY$6="","",IF(AY$3="Maior",iferror(VLOOKUP($R60,Capa!$A:$Z,AY$5,0),0),IF(ISERROR(1/VLOOKUP($R60,Capa!$A:$Z,AY$5,0)),0,1/VLOOKUP($R60,Capa!$A:$Z,AY$5,0))))</f>
        <v/>
      </c>
      <c r="AZ61" s="124" t="str">
        <f>IF(AZ$6="","",IF(AZ$3="Maior",iferror(VLOOKUP($R60,Capa!$A:$Z,AZ$5,0),0),IF(ISERROR(1/VLOOKUP($R60,Capa!$A:$Z,AZ$5,0)),0,1/VLOOKUP($R60,Capa!$A:$Z,AZ$5,0))))</f>
        <v/>
      </c>
      <c r="BA61" s="124" t="str">
        <f>IF(BA$6="","",IF(BA$3="Maior",iferror(VLOOKUP($R60,Capa!$A:$Z,BA$5,0),0),IF(ISERROR(1/VLOOKUP($R60,Capa!$A:$Z,BA$5,0)),0,1/VLOOKUP($R60,Capa!$A:$Z,BA$5,0))))</f>
        <v/>
      </c>
      <c r="BB61" s="124" t="str">
        <f>IF(BB$6="","",IF(BB$3="Maior",iferror(VLOOKUP($R60,Capa!$A:$Z,BB$5,0),0),IF(ISERROR(1/VLOOKUP($R60,Capa!$A:$Z,BB$5,0)),0,1/VLOOKUP($R60,Capa!$A:$Z,BB$5,0))))</f>
        <v/>
      </c>
      <c r="BC61" s="124" t="str">
        <f>IF(BC$6="","",IF(BC$3="Maior",iferror(VLOOKUP($R60,Capa!$A:$Z,BC$5,0),0),IF(ISERROR(1/VLOOKUP($R60,Capa!$A:$Z,BC$5,0)),0,1/VLOOKUP($R60,Capa!$A:$Z,BC$5,0))))</f>
        <v/>
      </c>
      <c r="BD61" s="124" t="str">
        <f>IF(BD$6="","",IF(BD$3="Maior",iferror(VLOOKUP($R60,Capa!$A:$Z,BD$5,0),0),IF(ISERROR(1/VLOOKUP($R60,Capa!$A:$Z,BD$5,0)),0,1/VLOOKUP($R60,Capa!$A:$Z,BD$5,0))))</f>
        <v/>
      </c>
      <c r="BE61" s="124" t="str">
        <f>IF(BE$6="","",IF(BE$3="Maior",iferror(VLOOKUP($R60,Capa!$A:$Z,BE$5,0),0),IF(ISERROR(1/VLOOKUP($R60,Capa!$A:$Z,BE$5,0)),0,1/VLOOKUP($R60,Capa!$A:$Z,BE$5,0))))</f>
        <v/>
      </c>
      <c r="BF61" s="124" t="str">
        <f>IF(BF$6="","",IF(BF$3="Maior",iferror(VLOOKUP($R60,Capa!$A:$Z,BF$5,0),0),IF(ISERROR(1/VLOOKUP($R60,Capa!$A:$Z,BF$5,0)),0,1/VLOOKUP($R60,Capa!$A:$Z,BF$5,0))))</f>
        <v/>
      </c>
      <c r="BG61" s="124" t="str">
        <f>IF(BG$6="","",IF(BG$3="Maior",iferror(VLOOKUP($R60,Capa!$A:$Z,BG$5,0),0),IF(ISERROR(1/VLOOKUP($R60,Capa!$A:$Z,BG$5,0)),0,1/VLOOKUP($R60,Capa!$A:$Z,BG$5,0))))</f>
        <v/>
      </c>
      <c r="BH61" s="124" t="str">
        <f>IF(BH$6="","",IF(BH$3="Maior",iferror(VLOOKUP($R60,Capa!$A:$Z,BH$5,0),0),IF(ISERROR(1/VLOOKUP($R60,Capa!$A:$Z,BH$5,0)),0,1/VLOOKUP($R60,Capa!$A:$Z,BH$5,0))))</f>
        <v/>
      </c>
      <c r="BI61" s="124" t="str">
        <f>IF(BI$6="","",IF(BI$3="Maior",iferror(VLOOKUP($R60,Capa!$A:$Z,BI$5,0),0),IF(ISERROR(1/VLOOKUP($R60,Capa!$A:$Z,BI$5,0)),0,1/VLOOKUP($R60,Capa!$A:$Z,BI$5,0))))</f>
        <v/>
      </c>
      <c r="BJ61" s="124" t="str">
        <f>IF(BJ$6="","",IF(BJ$3="Maior",iferror(VLOOKUP($R60,Capa!$A:$Z,BJ$5,0),0),IF(ISERROR(1/VLOOKUP($R60,Capa!$A:$Z,BJ$5,0)),0,1/VLOOKUP($R60,Capa!$A:$Z,BJ$5,0))))</f>
        <v/>
      </c>
      <c r="BK61" s="124" t="str">
        <f>IF(BK$6="","",IF(BK$3="Maior",iferror(VLOOKUP($R60,Capa!$A:$Z,BK$5,0),0),IF(ISERROR(1/VLOOKUP($R60,Capa!$A:$Z,BK$5,0)),0,1/VLOOKUP($R60,Capa!$A:$Z,BK$5,0))))</f>
        <v/>
      </c>
      <c r="BL61" s="124" t="str">
        <f>IF(BL$6="","",IF(BL$3="Maior",iferror(VLOOKUP($R60,Capa!$A:$Z,BL$5,0),0),IF(ISERROR(1/VLOOKUP($R60,Capa!$A:$Z,BL$5,0)),0,1/VLOOKUP($R60,Capa!$A:$Z,BL$5,0))))</f>
        <v/>
      </c>
      <c r="BM61" s="124" t="str">
        <f>IF(BM$6="","",IF(BM$3="Maior",iferror(VLOOKUP($R60,Capa!$A:$Z,BM$5,0),0),IF(ISERROR(1/VLOOKUP($R60,Capa!$A:$Z,BM$5,0)),0,1/VLOOKUP($R60,Capa!$A:$Z,BM$5,0))))</f>
        <v/>
      </c>
      <c r="BN61" s="124" t="str">
        <f>IF(BN$6="","",IF(BN$3="Maior",iferror(VLOOKUP($R60,Capa!$A:$Z,BN$5,0),0),IF(ISERROR(1/VLOOKUP($R60,Capa!$A:$Z,BN$5,0)),0,1/VLOOKUP($R60,Capa!$A:$Z,BN$5,0))))</f>
        <v/>
      </c>
      <c r="BO61" s="124" t="str">
        <f>IF(BO$6="","",IF(BO$3="Maior",iferror(VLOOKUP($R60,Capa!$A:$Z,BO$5,0),0),IF(ISERROR(1/VLOOKUP($R60,Capa!$A:$Z,BO$5,0)),0,1/VLOOKUP($R60,Capa!$A:$Z,BO$5,0))))</f>
        <v/>
      </c>
      <c r="BP61" s="124" t="str">
        <f>IF(BP$6="","",IF(BP$3="Maior",iferror(VLOOKUP($R60,Capa!$A:$Z,BP$5,0),0),IF(ISERROR(1/VLOOKUP($R60,Capa!$A:$Z,BP$5,0)),0,1/VLOOKUP($R60,Capa!$A:$Z,BP$5,0))))</f>
        <v/>
      </c>
      <c r="BQ61" s="124" t="str">
        <f>IF(BQ$6="","",IF(BQ$3="Maior",iferror(VLOOKUP($R60,Capa!$A:$Z,BQ$5,0),0),IF(ISERROR(1/VLOOKUP($R60,Capa!$A:$Z,BQ$5,0)),0,1/VLOOKUP($R60,Capa!$A:$Z,BQ$5,0))))</f>
        <v/>
      </c>
      <c r="BR61" s="125" t="str">
        <f>IF(BR$6="","",IF(BR$3="Maior",iferror(VLOOKUP($R60,Capa!$A:$Z,BR$5,0),0),IF(ISERROR(1/VLOOKUP($R60,Capa!$A:$Z,BR$5,0)),0,1/VLOOKUP($R60,Capa!$A:$Z,BR$5,0))))</f>
        <v/>
      </c>
      <c r="BS61" s="88"/>
    </row>
    <row r="62">
      <c r="G62" s="9"/>
      <c r="H62" s="7">
        <v>56.0</v>
      </c>
      <c r="I62" s="111" t="str">
        <f t="shared" si="7"/>
        <v>VXXV11</v>
      </c>
      <c r="J62" s="112" t="str">
        <f>VLOOKUP(I62,Capa!A:G,7,0)</f>
        <v>Incorporação</v>
      </c>
      <c r="K62" s="113">
        <f t="shared" si="8"/>
        <v>1.056464543</v>
      </c>
      <c r="L62" s="113">
        <f t="shared" si="9"/>
        <v>0</v>
      </c>
      <c r="M62" s="113" t="str">
        <f t="shared" si="10"/>
        <v/>
      </c>
      <c r="N62" s="113" t="str">
        <f t="shared" si="11"/>
        <v/>
      </c>
      <c r="O62" s="114">
        <f t="shared" si="12"/>
        <v>2508251</v>
      </c>
      <c r="P62" s="9"/>
      <c r="Q62" s="9"/>
      <c r="R62" s="127" t="s">
        <v>79</v>
      </c>
      <c r="S62" s="116">
        <f t="shared" si="13"/>
        <v>1158.009068</v>
      </c>
      <c r="T62" s="117">
        <f>MID(VLOOKUP($R62,'Dados ClubeFII'!$A:$AU,23,0),3,100)/1</f>
        <v>266079.23</v>
      </c>
      <c r="U62" s="118">
        <f t="shared" si="14"/>
        <v>90.009</v>
      </c>
      <c r="V62" s="118">
        <f t="shared" si="15"/>
        <v>68.000068</v>
      </c>
      <c r="W62" s="118" t="str">
        <f t="shared" ref="W62:AS62" si="71">IF(AV62="","", RANK(AV62,AV$7:AV$405,0))</f>
        <v/>
      </c>
      <c r="X62" s="118" t="str">
        <f t="shared" si="71"/>
        <v/>
      </c>
      <c r="Y62" s="118" t="str">
        <f t="shared" si="71"/>
        <v/>
      </c>
      <c r="Z62" s="118" t="str">
        <f t="shared" si="71"/>
        <v/>
      </c>
      <c r="AA62" s="118" t="str">
        <f t="shared" si="71"/>
        <v/>
      </c>
      <c r="AB62" s="118" t="str">
        <f t="shared" si="71"/>
        <v/>
      </c>
      <c r="AC62" s="118" t="str">
        <f t="shared" si="71"/>
        <v/>
      </c>
      <c r="AD62" s="118" t="str">
        <f t="shared" si="71"/>
        <v/>
      </c>
      <c r="AE62" s="118" t="str">
        <f t="shared" si="71"/>
        <v/>
      </c>
      <c r="AF62" s="118" t="str">
        <f t="shared" si="71"/>
        <v/>
      </c>
      <c r="AG62" s="118" t="str">
        <f t="shared" si="71"/>
        <v/>
      </c>
      <c r="AH62" s="118" t="str">
        <f t="shared" si="71"/>
        <v/>
      </c>
      <c r="AI62" s="118" t="str">
        <f t="shared" si="71"/>
        <v/>
      </c>
      <c r="AJ62" s="118" t="str">
        <f t="shared" si="71"/>
        <v/>
      </c>
      <c r="AK62" s="118" t="str">
        <f t="shared" si="71"/>
        <v/>
      </c>
      <c r="AL62" s="118" t="str">
        <f t="shared" si="71"/>
        <v/>
      </c>
      <c r="AM62" s="118" t="str">
        <f t="shared" si="71"/>
        <v/>
      </c>
      <c r="AN62" s="118" t="str">
        <f t="shared" si="71"/>
        <v/>
      </c>
      <c r="AO62" s="118" t="str">
        <f t="shared" si="71"/>
        <v/>
      </c>
      <c r="AP62" s="118" t="str">
        <f t="shared" si="71"/>
        <v/>
      </c>
      <c r="AQ62" s="118" t="str">
        <f t="shared" si="71"/>
        <v/>
      </c>
      <c r="AR62" s="118" t="str">
        <f t="shared" si="71"/>
        <v/>
      </c>
      <c r="AS62" s="118" t="str">
        <f t="shared" si="71"/>
        <v/>
      </c>
      <c r="AT62" s="123">
        <f>IF(AT$6="","",IF(AT$3="Maior",iferror(VLOOKUP($R62,Capa!$A:$Z,AT$5,0),0),IF(ISERROR(1/VLOOKUP($R62,Capa!$A:$Z,AT$5,0)),0,1/VLOOKUP($R62,Capa!$A:$Z,AT$5,0))))</f>
        <v>1.210981221</v>
      </c>
      <c r="AU62" s="124">
        <f>IF(AU$6="","",IF(AU$3="Maior",iferror(VLOOKUP($R62,Capa!$A:$Z,AU$5,0),0),IF(ISERROR(1/VLOOKUP($R62,Capa!$A:$Z,AU$5,0)),0,1/VLOOKUP($R62,Capa!$A:$Z,AU$5,0))))</f>
        <v>0.1255948652</v>
      </c>
      <c r="AV62" s="124" t="str">
        <f>IF(AV$6="","",IF(AV$3="Maior",iferror(VLOOKUP($R61,Capa!$A:$Z,AV$5,0),0),IF(ISERROR(1/VLOOKUP($R61,Capa!$A:$Z,AV$5,0)),0,1/VLOOKUP($R61,Capa!$A:$Z,AV$5,0))))</f>
        <v/>
      </c>
      <c r="AW62" s="124" t="str">
        <f>IF(AW$6="","",IF(AW$3="Maior",iferror(VLOOKUP($R61,Capa!$A:$Z,AW$5,0),0),IF(ISERROR(1/VLOOKUP($R61,Capa!$A:$Z,AW$5,0)),0,1/VLOOKUP($R61,Capa!$A:$Z,AW$5,0))))</f>
        <v/>
      </c>
      <c r="AX62" s="124" t="str">
        <f>IF(AX$6="","",IF(AX$3="Maior",iferror(VLOOKUP($R61,Capa!$A:$Z,AX$5,0),0),IF(ISERROR(1/VLOOKUP($R61,Capa!$A:$Z,AX$5,0)),0,1/VLOOKUP($R61,Capa!$A:$Z,AX$5,0))))</f>
        <v/>
      </c>
      <c r="AY62" s="124" t="str">
        <f>IF(AY$6="","",IF(AY$3="Maior",iferror(VLOOKUP($R61,Capa!$A:$Z,AY$5,0),0),IF(ISERROR(1/VLOOKUP($R61,Capa!$A:$Z,AY$5,0)),0,1/VLOOKUP($R61,Capa!$A:$Z,AY$5,0))))</f>
        <v/>
      </c>
      <c r="AZ62" s="124" t="str">
        <f>IF(AZ$6="","",IF(AZ$3="Maior",iferror(VLOOKUP($R61,Capa!$A:$Z,AZ$5,0),0),IF(ISERROR(1/VLOOKUP($R61,Capa!$A:$Z,AZ$5,0)),0,1/VLOOKUP($R61,Capa!$A:$Z,AZ$5,0))))</f>
        <v/>
      </c>
      <c r="BA62" s="124" t="str">
        <f>IF(BA$6="","",IF(BA$3="Maior",iferror(VLOOKUP($R61,Capa!$A:$Z,BA$5,0),0),IF(ISERROR(1/VLOOKUP($R61,Capa!$A:$Z,BA$5,0)),0,1/VLOOKUP($R61,Capa!$A:$Z,BA$5,0))))</f>
        <v/>
      </c>
      <c r="BB62" s="124" t="str">
        <f>IF(BB$6="","",IF(BB$3="Maior",iferror(VLOOKUP($R61,Capa!$A:$Z,BB$5,0),0),IF(ISERROR(1/VLOOKUP($R61,Capa!$A:$Z,BB$5,0)),0,1/VLOOKUP($R61,Capa!$A:$Z,BB$5,0))))</f>
        <v/>
      </c>
      <c r="BC62" s="124" t="str">
        <f>IF(BC$6="","",IF(BC$3="Maior",iferror(VLOOKUP($R61,Capa!$A:$Z,BC$5,0),0),IF(ISERROR(1/VLOOKUP($R61,Capa!$A:$Z,BC$5,0)),0,1/VLOOKUP($R61,Capa!$A:$Z,BC$5,0))))</f>
        <v/>
      </c>
      <c r="BD62" s="124" t="str">
        <f>IF(BD$6="","",IF(BD$3="Maior",iferror(VLOOKUP($R61,Capa!$A:$Z,BD$5,0),0),IF(ISERROR(1/VLOOKUP($R61,Capa!$A:$Z,BD$5,0)),0,1/VLOOKUP($R61,Capa!$A:$Z,BD$5,0))))</f>
        <v/>
      </c>
      <c r="BE62" s="124" t="str">
        <f>IF(BE$6="","",IF(BE$3="Maior",iferror(VLOOKUP($R61,Capa!$A:$Z,BE$5,0),0),IF(ISERROR(1/VLOOKUP($R61,Capa!$A:$Z,BE$5,0)),0,1/VLOOKUP($R61,Capa!$A:$Z,BE$5,0))))</f>
        <v/>
      </c>
      <c r="BF62" s="124" t="str">
        <f>IF(BF$6="","",IF(BF$3="Maior",iferror(VLOOKUP($R61,Capa!$A:$Z,BF$5,0),0),IF(ISERROR(1/VLOOKUP($R61,Capa!$A:$Z,BF$5,0)),0,1/VLOOKUP($R61,Capa!$A:$Z,BF$5,0))))</f>
        <v/>
      </c>
      <c r="BG62" s="124" t="str">
        <f>IF(BG$6="","",IF(BG$3="Maior",iferror(VLOOKUP($R61,Capa!$A:$Z,BG$5,0),0),IF(ISERROR(1/VLOOKUP($R61,Capa!$A:$Z,BG$5,0)),0,1/VLOOKUP($R61,Capa!$A:$Z,BG$5,0))))</f>
        <v/>
      </c>
      <c r="BH62" s="124" t="str">
        <f>IF(BH$6="","",IF(BH$3="Maior",iferror(VLOOKUP($R61,Capa!$A:$Z,BH$5,0),0),IF(ISERROR(1/VLOOKUP($R61,Capa!$A:$Z,BH$5,0)),0,1/VLOOKUP($R61,Capa!$A:$Z,BH$5,0))))</f>
        <v/>
      </c>
      <c r="BI62" s="124" t="str">
        <f>IF(BI$6="","",IF(BI$3="Maior",iferror(VLOOKUP($R61,Capa!$A:$Z,BI$5,0),0),IF(ISERROR(1/VLOOKUP($R61,Capa!$A:$Z,BI$5,0)),0,1/VLOOKUP($R61,Capa!$A:$Z,BI$5,0))))</f>
        <v/>
      </c>
      <c r="BJ62" s="124" t="str">
        <f>IF(BJ$6="","",IF(BJ$3="Maior",iferror(VLOOKUP($R61,Capa!$A:$Z,BJ$5,0),0),IF(ISERROR(1/VLOOKUP($R61,Capa!$A:$Z,BJ$5,0)),0,1/VLOOKUP($R61,Capa!$A:$Z,BJ$5,0))))</f>
        <v/>
      </c>
      <c r="BK62" s="124" t="str">
        <f>IF(BK$6="","",IF(BK$3="Maior",iferror(VLOOKUP($R61,Capa!$A:$Z,BK$5,0),0),IF(ISERROR(1/VLOOKUP($R61,Capa!$A:$Z,BK$5,0)),0,1/VLOOKUP($R61,Capa!$A:$Z,BK$5,0))))</f>
        <v/>
      </c>
      <c r="BL62" s="124" t="str">
        <f>IF(BL$6="","",IF(BL$3="Maior",iferror(VLOOKUP($R61,Capa!$A:$Z,BL$5,0),0),IF(ISERROR(1/VLOOKUP($R61,Capa!$A:$Z,BL$5,0)),0,1/VLOOKUP($R61,Capa!$A:$Z,BL$5,0))))</f>
        <v/>
      </c>
      <c r="BM62" s="124" t="str">
        <f>IF(BM$6="","",IF(BM$3="Maior",iferror(VLOOKUP($R61,Capa!$A:$Z,BM$5,0),0),IF(ISERROR(1/VLOOKUP($R61,Capa!$A:$Z,BM$5,0)),0,1/VLOOKUP($R61,Capa!$A:$Z,BM$5,0))))</f>
        <v/>
      </c>
      <c r="BN62" s="124" t="str">
        <f>IF(BN$6="","",IF(BN$3="Maior",iferror(VLOOKUP($R61,Capa!$A:$Z,BN$5,0),0),IF(ISERROR(1/VLOOKUP($R61,Capa!$A:$Z,BN$5,0)),0,1/VLOOKUP($R61,Capa!$A:$Z,BN$5,0))))</f>
        <v/>
      </c>
      <c r="BO62" s="124" t="str">
        <f>IF(BO$6="","",IF(BO$3="Maior",iferror(VLOOKUP($R61,Capa!$A:$Z,BO$5,0),0),IF(ISERROR(1/VLOOKUP($R61,Capa!$A:$Z,BO$5,0)),0,1/VLOOKUP($R61,Capa!$A:$Z,BO$5,0))))</f>
        <v/>
      </c>
      <c r="BP62" s="124" t="str">
        <f>IF(BP$6="","",IF(BP$3="Maior",iferror(VLOOKUP($R61,Capa!$A:$Z,BP$5,0),0),IF(ISERROR(1/VLOOKUP($R61,Capa!$A:$Z,BP$5,0)),0,1/VLOOKUP($R61,Capa!$A:$Z,BP$5,0))))</f>
        <v/>
      </c>
      <c r="BQ62" s="124" t="str">
        <f>IF(BQ$6="","",IF(BQ$3="Maior",iferror(VLOOKUP($R61,Capa!$A:$Z,BQ$5,0),0),IF(ISERROR(1/VLOOKUP($R61,Capa!$A:$Z,BQ$5,0)),0,1/VLOOKUP($R61,Capa!$A:$Z,BQ$5,0))))</f>
        <v/>
      </c>
      <c r="BR62" s="125" t="str">
        <f>IF(BR$6="","",IF(BR$3="Maior",iferror(VLOOKUP($R61,Capa!$A:$Z,BR$5,0),0),IF(ISERROR(1/VLOOKUP($R61,Capa!$A:$Z,BR$5,0)),0,1/VLOOKUP($R61,Capa!$A:$Z,BR$5,0))))</f>
        <v/>
      </c>
      <c r="BS62" s="88"/>
    </row>
    <row r="63">
      <c r="G63" s="9"/>
      <c r="H63" s="7">
        <v>57.0</v>
      </c>
      <c r="I63" s="111" t="str">
        <f t="shared" si="7"/>
        <v>TORD11</v>
      </c>
      <c r="J63" s="112" t="str">
        <f>VLOOKUP(I63,Capa!A:G,7,0)</f>
        <v>Híbrido</v>
      </c>
      <c r="K63" s="113">
        <f t="shared" si="8"/>
        <v>0.3622990654</v>
      </c>
      <c r="L63" s="113">
        <f t="shared" si="9"/>
        <v>0.1505863551</v>
      </c>
      <c r="M63" s="113" t="str">
        <f t="shared" si="10"/>
        <v/>
      </c>
      <c r="N63" s="113" t="str">
        <f t="shared" si="11"/>
        <v/>
      </c>
      <c r="O63" s="114">
        <f t="shared" si="12"/>
        <v>582581.92</v>
      </c>
      <c r="P63" s="9"/>
      <c r="Q63" s="9"/>
      <c r="R63" s="115" t="s">
        <v>72</v>
      </c>
      <c r="S63" s="116">
        <f t="shared" si="13"/>
        <v>1137.013007</v>
      </c>
      <c r="T63" s="117">
        <f>MID(VLOOKUP($R63,'Dados ClubeFII'!$A:$AU,23,0),3,100)/1</f>
        <v>74834.32</v>
      </c>
      <c r="U63" s="118">
        <f t="shared" si="14"/>
        <v>130.013</v>
      </c>
      <c r="V63" s="118">
        <f t="shared" si="15"/>
        <v>7.000007</v>
      </c>
      <c r="W63" s="118" t="str">
        <f t="shared" ref="W63:AS63" si="72">IF(AV63="","", RANK(AV63,AV$7:AV$405,0))</f>
        <v/>
      </c>
      <c r="X63" s="118" t="str">
        <f t="shared" si="72"/>
        <v/>
      </c>
      <c r="Y63" s="118" t="str">
        <f t="shared" si="72"/>
        <v/>
      </c>
      <c r="Z63" s="118" t="str">
        <f t="shared" si="72"/>
        <v/>
      </c>
      <c r="AA63" s="118" t="str">
        <f t="shared" si="72"/>
        <v/>
      </c>
      <c r="AB63" s="118" t="str">
        <f t="shared" si="72"/>
        <v/>
      </c>
      <c r="AC63" s="118" t="str">
        <f t="shared" si="72"/>
        <v/>
      </c>
      <c r="AD63" s="118" t="str">
        <f t="shared" si="72"/>
        <v/>
      </c>
      <c r="AE63" s="118" t="str">
        <f t="shared" si="72"/>
        <v/>
      </c>
      <c r="AF63" s="118" t="str">
        <f t="shared" si="72"/>
        <v/>
      </c>
      <c r="AG63" s="118" t="str">
        <f t="shared" si="72"/>
        <v/>
      </c>
      <c r="AH63" s="118" t="str">
        <f t="shared" si="72"/>
        <v/>
      </c>
      <c r="AI63" s="118" t="str">
        <f t="shared" si="72"/>
        <v/>
      </c>
      <c r="AJ63" s="118" t="str">
        <f t="shared" si="72"/>
        <v/>
      </c>
      <c r="AK63" s="118" t="str">
        <f t="shared" si="72"/>
        <v/>
      </c>
      <c r="AL63" s="118" t="str">
        <f t="shared" si="72"/>
        <v/>
      </c>
      <c r="AM63" s="118" t="str">
        <f t="shared" si="72"/>
        <v/>
      </c>
      <c r="AN63" s="118" t="str">
        <f t="shared" si="72"/>
        <v/>
      </c>
      <c r="AO63" s="118" t="str">
        <f t="shared" si="72"/>
        <v/>
      </c>
      <c r="AP63" s="118" t="str">
        <f t="shared" si="72"/>
        <v/>
      </c>
      <c r="AQ63" s="118" t="str">
        <f t="shared" si="72"/>
        <v/>
      </c>
      <c r="AR63" s="118" t="str">
        <f t="shared" si="72"/>
        <v/>
      </c>
      <c r="AS63" s="118" t="str">
        <f t="shared" si="72"/>
        <v/>
      </c>
      <c r="AT63" s="123">
        <f>IF(AT$6="","",IF(AT$3="Maior",iferror(VLOOKUP($R63,Capa!$A:$Z,AT$5,0),0),IF(ISERROR(1/VLOOKUP($R63,Capa!$A:$Z,AT$5,0)),0,1/VLOOKUP($R63,Capa!$A:$Z,AT$5,0))))</f>
        <v>1.127753734</v>
      </c>
      <c r="AU63" s="124">
        <f>IF(AU$6="","",IF(AU$3="Maior",iferror(VLOOKUP($R63,Capa!$A:$Z,AU$5,0),0),IF(ISERROR(1/VLOOKUP($R63,Capa!$A:$Z,AU$5,0)),0,1/VLOOKUP($R63,Capa!$A:$Z,AU$5,0))))</f>
        <v>0.166864283</v>
      </c>
      <c r="AV63" s="124" t="str">
        <f>IF(AV$6="","",IF(AV$3="Maior",iferror(VLOOKUP($R62,Capa!$A:$Z,AV$5,0),0),IF(ISERROR(1/VLOOKUP($R62,Capa!$A:$Z,AV$5,0)),0,1/VLOOKUP($R62,Capa!$A:$Z,AV$5,0))))</f>
        <v/>
      </c>
      <c r="AW63" s="124" t="str">
        <f>IF(AW$6="","",IF(AW$3="Maior",iferror(VLOOKUP($R62,Capa!$A:$Z,AW$5,0),0),IF(ISERROR(1/VLOOKUP($R62,Capa!$A:$Z,AW$5,0)),0,1/VLOOKUP($R62,Capa!$A:$Z,AW$5,0))))</f>
        <v/>
      </c>
      <c r="AX63" s="124" t="str">
        <f>IF(AX$6="","",IF(AX$3="Maior",iferror(VLOOKUP($R62,Capa!$A:$Z,AX$5,0),0),IF(ISERROR(1/VLOOKUP($R62,Capa!$A:$Z,AX$5,0)),0,1/VLOOKUP($R62,Capa!$A:$Z,AX$5,0))))</f>
        <v/>
      </c>
      <c r="AY63" s="124" t="str">
        <f>IF(AY$6="","",IF(AY$3="Maior",iferror(VLOOKUP($R62,Capa!$A:$Z,AY$5,0),0),IF(ISERROR(1/VLOOKUP($R62,Capa!$A:$Z,AY$5,0)),0,1/VLOOKUP($R62,Capa!$A:$Z,AY$5,0))))</f>
        <v/>
      </c>
      <c r="AZ63" s="124" t="str">
        <f>IF(AZ$6="","",IF(AZ$3="Maior",iferror(VLOOKUP($R62,Capa!$A:$Z,AZ$5,0),0),IF(ISERROR(1/VLOOKUP($R62,Capa!$A:$Z,AZ$5,0)),0,1/VLOOKUP($R62,Capa!$A:$Z,AZ$5,0))))</f>
        <v/>
      </c>
      <c r="BA63" s="124" t="str">
        <f>IF(BA$6="","",IF(BA$3="Maior",iferror(VLOOKUP($R62,Capa!$A:$Z,BA$5,0),0),IF(ISERROR(1/VLOOKUP($R62,Capa!$A:$Z,BA$5,0)),0,1/VLOOKUP($R62,Capa!$A:$Z,BA$5,0))))</f>
        <v/>
      </c>
      <c r="BB63" s="124" t="str">
        <f>IF(BB$6="","",IF(BB$3="Maior",iferror(VLOOKUP($R62,Capa!$A:$Z,BB$5,0),0),IF(ISERROR(1/VLOOKUP($R62,Capa!$A:$Z,BB$5,0)),0,1/VLOOKUP($R62,Capa!$A:$Z,BB$5,0))))</f>
        <v/>
      </c>
      <c r="BC63" s="124" t="str">
        <f>IF(BC$6="","",IF(BC$3="Maior",iferror(VLOOKUP($R62,Capa!$A:$Z,BC$5,0),0),IF(ISERROR(1/VLOOKUP($R62,Capa!$A:$Z,BC$5,0)),0,1/VLOOKUP($R62,Capa!$A:$Z,BC$5,0))))</f>
        <v/>
      </c>
      <c r="BD63" s="124" t="str">
        <f>IF(BD$6="","",IF(BD$3="Maior",iferror(VLOOKUP($R62,Capa!$A:$Z,BD$5,0),0),IF(ISERROR(1/VLOOKUP($R62,Capa!$A:$Z,BD$5,0)),0,1/VLOOKUP($R62,Capa!$A:$Z,BD$5,0))))</f>
        <v/>
      </c>
      <c r="BE63" s="124" t="str">
        <f>IF(BE$6="","",IF(BE$3="Maior",iferror(VLOOKUP($R62,Capa!$A:$Z,BE$5,0),0),IF(ISERROR(1/VLOOKUP($R62,Capa!$A:$Z,BE$5,0)),0,1/VLOOKUP($R62,Capa!$A:$Z,BE$5,0))))</f>
        <v/>
      </c>
      <c r="BF63" s="124" t="str">
        <f>IF(BF$6="","",IF(BF$3="Maior",iferror(VLOOKUP($R62,Capa!$A:$Z,BF$5,0),0),IF(ISERROR(1/VLOOKUP($R62,Capa!$A:$Z,BF$5,0)),0,1/VLOOKUP($R62,Capa!$A:$Z,BF$5,0))))</f>
        <v/>
      </c>
      <c r="BG63" s="124" t="str">
        <f>IF(BG$6="","",IF(BG$3="Maior",iferror(VLOOKUP($R62,Capa!$A:$Z,BG$5,0),0),IF(ISERROR(1/VLOOKUP($R62,Capa!$A:$Z,BG$5,0)),0,1/VLOOKUP($R62,Capa!$A:$Z,BG$5,0))))</f>
        <v/>
      </c>
      <c r="BH63" s="124" t="str">
        <f>IF(BH$6="","",IF(BH$3="Maior",iferror(VLOOKUP($R62,Capa!$A:$Z,BH$5,0),0),IF(ISERROR(1/VLOOKUP($R62,Capa!$A:$Z,BH$5,0)),0,1/VLOOKUP($R62,Capa!$A:$Z,BH$5,0))))</f>
        <v/>
      </c>
      <c r="BI63" s="124" t="str">
        <f>IF(BI$6="","",IF(BI$3="Maior",iferror(VLOOKUP($R62,Capa!$A:$Z,BI$5,0),0),IF(ISERROR(1/VLOOKUP($R62,Capa!$A:$Z,BI$5,0)),0,1/VLOOKUP($R62,Capa!$A:$Z,BI$5,0))))</f>
        <v/>
      </c>
      <c r="BJ63" s="124" t="str">
        <f>IF(BJ$6="","",IF(BJ$3="Maior",iferror(VLOOKUP($R62,Capa!$A:$Z,BJ$5,0),0),IF(ISERROR(1/VLOOKUP($R62,Capa!$A:$Z,BJ$5,0)),0,1/VLOOKUP($R62,Capa!$A:$Z,BJ$5,0))))</f>
        <v/>
      </c>
      <c r="BK63" s="124" t="str">
        <f>IF(BK$6="","",IF(BK$3="Maior",iferror(VLOOKUP($R62,Capa!$A:$Z,BK$5,0),0),IF(ISERROR(1/VLOOKUP($R62,Capa!$A:$Z,BK$5,0)),0,1/VLOOKUP($R62,Capa!$A:$Z,BK$5,0))))</f>
        <v/>
      </c>
      <c r="BL63" s="124" t="str">
        <f>IF(BL$6="","",IF(BL$3="Maior",iferror(VLOOKUP($R62,Capa!$A:$Z,BL$5,0),0),IF(ISERROR(1/VLOOKUP($R62,Capa!$A:$Z,BL$5,0)),0,1/VLOOKUP($R62,Capa!$A:$Z,BL$5,0))))</f>
        <v/>
      </c>
      <c r="BM63" s="124" t="str">
        <f>IF(BM$6="","",IF(BM$3="Maior",iferror(VLOOKUP($R62,Capa!$A:$Z,BM$5,0),0),IF(ISERROR(1/VLOOKUP($R62,Capa!$A:$Z,BM$5,0)),0,1/VLOOKUP($R62,Capa!$A:$Z,BM$5,0))))</f>
        <v/>
      </c>
      <c r="BN63" s="124" t="str">
        <f>IF(BN$6="","",IF(BN$3="Maior",iferror(VLOOKUP($R62,Capa!$A:$Z,BN$5,0),0),IF(ISERROR(1/VLOOKUP($R62,Capa!$A:$Z,BN$5,0)),0,1/VLOOKUP($R62,Capa!$A:$Z,BN$5,0))))</f>
        <v/>
      </c>
      <c r="BO63" s="124" t="str">
        <f>IF(BO$6="","",IF(BO$3="Maior",iferror(VLOOKUP($R62,Capa!$A:$Z,BO$5,0),0),IF(ISERROR(1/VLOOKUP($R62,Capa!$A:$Z,BO$5,0)),0,1/VLOOKUP($R62,Capa!$A:$Z,BO$5,0))))</f>
        <v/>
      </c>
      <c r="BP63" s="124" t="str">
        <f>IF(BP$6="","",IF(BP$3="Maior",iferror(VLOOKUP($R62,Capa!$A:$Z,BP$5,0),0),IF(ISERROR(1/VLOOKUP($R62,Capa!$A:$Z,BP$5,0)),0,1/VLOOKUP($R62,Capa!$A:$Z,BP$5,0))))</f>
        <v/>
      </c>
      <c r="BQ63" s="124" t="str">
        <f>IF(BQ$6="","",IF(BQ$3="Maior",iferror(VLOOKUP($R62,Capa!$A:$Z,BQ$5,0),0),IF(ISERROR(1/VLOOKUP($R62,Capa!$A:$Z,BQ$5,0)),0,1/VLOOKUP($R62,Capa!$A:$Z,BQ$5,0))))</f>
        <v/>
      </c>
      <c r="BR63" s="125" t="str">
        <f>IF(BR$6="","",IF(BR$3="Maior",iferror(VLOOKUP($R62,Capa!$A:$Z,BR$5,0),0),IF(ISERROR(1/VLOOKUP($R62,Capa!$A:$Z,BR$5,0)),0,1/VLOOKUP($R62,Capa!$A:$Z,BR$5,0))))</f>
        <v/>
      </c>
      <c r="BS63" s="88"/>
    </row>
    <row r="64">
      <c r="G64" s="9"/>
      <c r="H64" s="7">
        <v>58.0</v>
      </c>
      <c r="I64" s="129" t="str">
        <f t="shared" si="7"/>
        <v>FPAB11</v>
      </c>
      <c r="J64" s="112" t="str">
        <f>VLOOKUP(I64,Capa!A:G,7,0)</f>
        <v>Lajes Comerciais</v>
      </c>
      <c r="K64" s="113">
        <f t="shared" si="8"/>
        <v>0.3575818208</v>
      </c>
      <c r="L64" s="113">
        <f t="shared" si="9"/>
        <v>0.1394569101</v>
      </c>
      <c r="M64" s="113" t="str">
        <f t="shared" si="10"/>
        <v/>
      </c>
      <c r="N64" s="113" t="str">
        <f t="shared" si="11"/>
        <v/>
      </c>
      <c r="O64" s="114">
        <f t="shared" si="12"/>
        <v>14166.78</v>
      </c>
      <c r="P64" s="9"/>
      <c r="Q64" s="9"/>
      <c r="R64" s="115" t="s">
        <v>118</v>
      </c>
      <c r="S64" s="116">
        <f t="shared" si="13"/>
        <v>222.017547</v>
      </c>
      <c r="T64" s="117">
        <f>MID(VLOOKUP($R64,'Dados ClubeFII'!$A:$AU,23,0),3,100)/1</f>
        <v>4194440.42</v>
      </c>
      <c r="U64" s="118">
        <f t="shared" si="14"/>
        <v>175.0175</v>
      </c>
      <c r="V64" s="118">
        <f t="shared" si="15"/>
        <v>47.000047</v>
      </c>
      <c r="W64" s="118" t="str">
        <f t="shared" ref="W64:AS64" si="73">IF(AV64="","", RANK(AV64,AV$7:AV$405,0))</f>
        <v/>
      </c>
      <c r="X64" s="118" t="str">
        <f t="shared" si="73"/>
        <v/>
      </c>
      <c r="Y64" s="118" t="str">
        <f t="shared" si="73"/>
        <v/>
      </c>
      <c r="Z64" s="118" t="str">
        <f t="shared" si="73"/>
        <v/>
      </c>
      <c r="AA64" s="118" t="str">
        <f t="shared" si="73"/>
        <v/>
      </c>
      <c r="AB64" s="118" t="str">
        <f t="shared" si="73"/>
        <v/>
      </c>
      <c r="AC64" s="118" t="str">
        <f t="shared" si="73"/>
        <v/>
      </c>
      <c r="AD64" s="118" t="str">
        <f t="shared" si="73"/>
        <v/>
      </c>
      <c r="AE64" s="118" t="str">
        <f t="shared" si="73"/>
        <v/>
      </c>
      <c r="AF64" s="118" t="str">
        <f t="shared" si="73"/>
        <v/>
      </c>
      <c r="AG64" s="118" t="str">
        <f t="shared" si="73"/>
        <v/>
      </c>
      <c r="AH64" s="118" t="str">
        <f t="shared" si="73"/>
        <v/>
      </c>
      <c r="AI64" s="118" t="str">
        <f t="shared" si="73"/>
        <v/>
      </c>
      <c r="AJ64" s="118" t="str">
        <f t="shared" si="73"/>
        <v/>
      </c>
      <c r="AK64" s="118" t="str">
        <f t="shared" si="73"/>
        <v/>
      </c>
      <c r="AL64" s="118" t="str">
        <f t="shared" si="73"/>
        <v/>
      </c>
      <c r="AM64" s="118" t="str">
        <f t="shared" si="73"/>
        <v/>
      </c>
      <c r="AN64" s="118" t="str">
        <f t="shared" si="73"/>
        <v/>
      </c>
      <c r="AO64" s="118" t="str">
        <f t="shared" si="73"/>
        <v/>
      </c>
      <c r="AP64" s="118" t="str">
        <f t="shared" si="73"/>
        <v/>
      </c>
      <c r="AQ64" s="118" t="str">
        <f t="shared" si="73"/>
        <v/>
      </c>
      <c r="AR64" s="118" t="str">
        <f t="shared" si="73"/>
        <v/>
      </c>
      <c r="AS64" s="118" t="str">
        <f t="shared" si="73"/>
        <v/>
      </c>
      <c r="AT64" s="123">
        <f>IF(AT$6="","",IF(AT$3="Maior",iferror(VLOOKUP($R64,Capa!$A:$Z,AT$5,0),0),IF(ISERROR(1/VLOOKUP($R64,Capa!$A:$Z,AT$5,0)),0,1/VLOOKUP($R64,Capa!$A:$Z,AT$5,0))))</f>
        <v>0.9920197044</v>
      </c>
      <c r="AU64" s="124">
        <f>IF(AU$6="","",IF(AU$3="Maior",iferror(VLOOKUP($R64,Capa!$A:$Z,AU$5,0),0),IF(ISERROR(1/VLOOKUP($R64,Capa!$A:$Z,AU$5,0)),0,1/VLOOKUP($R64,Capa!$A:$Z,AU$5,0))))</f>
        <v>0.1397149667</v>
      </c>
      <c r="AV64" s="124" t="str">
        <f>IF(AV$6="","",IF(AV$3="Maior",iferror(VLOOKUP($R63,Capa!$A:$Z,AV$5,0),0),IF(ISERROR(1/VLOOKUP($R63,Capa!$A:$Z,AV$5,0)),0,1/VLOOKUP($R63,Capa!$A:$Z,AV$5,0))))</f>
        <v/>
      </c>
      <c r="AW64" s="124" t="str">
        <f>IF(AW$6="","",IF(AW$3="Maior",iferror(VLOOKUP($R63,Capa!$A:$Z,AW$5,0),0),IF(ISERROR(1/VLOOKUP($R63,Capa!$A:$Z,AW$5,0)),0,1/VLOOKUP($R63,Capa!$A:$Z,AW$5,0))))</f>
        <v/>
      </c>
      <c r="AX64" s="124" t="str">
        <f>IF(AX$6="","",IF(AX$3="Maior",iferror(VLOOKUP($R63,Capa!$A:$Z,AX$5,0),0),IF(ISERROR(1/VLOOKUP($R63,Capa!$A:$Z,AX$5,0)),0,1/VLOOKUP($R63,Capa!$A:$Z,AX$5,0))))</f>
        <v/>
      </c>
      <c r="AY64" s="124" t="str">
        <f>IF(AY$6="","",IF(AY$3="Maior",iferror(VLOOKUP($R63,Capa!$A:$Z,AY$5,0),0),IF(ISERROR(1/VLOOKUP($R63,Capa!$A:$Z,AY$5,0)),0,1/VLOOKUP($R63,Capa!$A:$Z,AY$5,0))))</f>
        <v/>
      </c>
      <c r="AZ64" s="124" t="str">
        <f>IF(AZ$6="","",IF(AZ$3="Maior",iferror(VLOOKUP($R63,Capa!$A:$Z,AZ$5,0),0),IF(ISERROR(1/VLOOKUP($R63,Capa!$A:$Z,AZ$5,0)),0,1/VLOOKUP($R63,Capa!$A:$Z,AZ$5,0))))</f>
        <v/>
      </c>
      <c r="BA64" s="124" t="str">
        <f>IF(BA$6="","",IF(BA$3="Maior",iferror(VLOOKUP($R63,Capa!$A:$Z,BA$5,0),0),IF(ISERROR(1/VLOOKUP($R63,Capa!$A:$Z,BA$5,0)),0,1/VLOOKUP($R63,Capa!$A:$Z,BA$5,0))))</f>
        <v/>
      </c>
      <c r="BB64" s="124" t="str">
        <f>IF(BB$6="","",IF(BB$3="Maior",iferror(VLOOKUP($R63,Capa!$A:$Z,BB$5,0),0),IF(ISERROR(1/VLOOKUP($R63,Capa!$A:$Z,BB$5,0)),0,1/VLOOKUP($R63,Capa!$A:$Z,BB$5,0))))</f>
        <v/>
      </c>
      <c r="BC64" s="124" t="str">
        <f>IF(BC$6="","",IF(BC$3="Maior",iferror(VLOOKUP($R63,Capa!$A:$Z,BC$5,0),0),IF(ISERROR(1/VLOOKUP($R63,Capa!$A:$Z,BC$5,0)),0,1/VLOOKUP($R63,Capa!$A:$Z,BC$5,0))))</f>
        <v/>
      </c>
      <c r="BD64" s="124" t="str">
        <f>IF(BD$6="","",IF(BD$3="Maior",iferror(VLOOKUP($R63,Capa!$A:$Z,BD$5,0),0),IF(ISERROR(1/VLOOKUP($R63,Capa!$A:$Z,BD$5,0)),0,1/VLOOKUP($R63,Capa!$A:$Z,BD$5,0))))</f>
        <v/>
      </c>
      <c r="BE64" s="124" t="str">
        <f>IF(BE$6="","",IF(BE$3="Maior",iferror(VLOOKUP($R63,Capa!$A:$Z,BE$5,0),0),IF(ISERROR(1/VLOOKUP($R63,Capa!$A:$Z,BE$5,0)),0,1/VLOOKUP($R63,Capa!$A:$Z,BE$5,0))))</f>
        <v/>
      </c>
      <c r="BF64" s="124" t="str">
        <f>IF(BF$6="","",IF(BF$3="Maior",iferror(VLOOKUP($R63,Capa!$A:$Z,BF$5,0),0),IF(ISERROR(1/VLOOKUP($R63,Capa!$A:$Z,BF$5,0)),0,1/VLOOKUP($R63,Capa!$A:$Z,BF$5,0))))</f>
        <v/>
      </c>
      <c r="BG64" s="124" t="str">
        <f>IF(BG$6="","",IF(BG$3="Maior",iferror(VLOOKUP($R63,Capa!$A:$Z,BG$5,0),0),IF(ISERROR(1/VLOOKUP($R63,Capa!$A:$Z,BG$5,0)),0,1/VLOOKUP($R63,Capa!$A:$Z,BG$5,0))))</f>
        <v/>
      </c>
      <c r="BH64" s="124" t="str">
        <f>IF(BH$6="","",IF(BH$3="Maior",iferror(VLOOKUP($R63,Capa!$A:$Z,BH$5,0),0),IF(ISERROR(1/VLOOKUP($R63,Capa!$A:$Z,BH$5,0)),0,1/VLOOKUP($R63,Capa!$A:$Z,BH$5,0))))</f>
        <v/>
      </c>
      <c r="BI64" s="124" t="str">
        <f>IF(BI$6="","",IF(BI$3="Maior",iferror(VLOOKUP($R63,Capa!$A:$Z,BI$5,0),0),IF(ISERROR(1/VLOOKUP($R63,Capa!$A:$Z,BI$5,0)),0,1/VLOOKUP($R63,Capa!$A:$Z,BI$5,0))))</f>
        <v/>
      </c>
      <c r="BJ64" s="124" t="str">
        <f>IF(BJ$6="","",IF(BJ$3="Maior",iferror(VLOOKUP($R63,Capa!$A:$Z,BJ$5,0),0),IF(ISERROR(1/VLOOKUP($R63,Capa!$A:$Z,BJ$5,0)),0,1/VLOOKUP($R63,Capa!$A:$Z,BJ$5,0))))</f>
        <v/>
      </c>
      <c r="BK64" s="124" t="str">
        <f>IF(BK$6="","",IF(BK$3="Maior",iferror(VLOOKUP($R63,Capa!$A:$Z,BK$5,0),0),IF(ISERROR(1/VLOOKUP($R63,Capa!$A:$Z,BK$5,0)),0,1/VLOOKUP($R63,Capa!$A:$Z,BK$5,0))))</f>
        <v/>
      </c>
      <c r="BL64" s="124" t="str">
        <f>IF(BL$6="","",IF(BL$3="Maior",iferror(VLOOKUP($R63,Capa!$A:$Z,BL$5,0),0),IF(ISERROR(1/VLOOKUP($R63,Capa!$A:$Z,BL$5,0)),0,1/VLOOKUP($R63,Capa!$A:$Z,BL$5,0))))</f>
        <v/>
      </c>
      <c r="BM64" s="124" t="str">
        <f>IF(BM$6="","",IF(BM$3="Maior",iferror(VLOOKUP($R63,Capa!$A:$Z,BM$5,0),0),IF(ISERROR(1/VLOOKUP($R63,Capa!$A:$Z,BM$5,0)),0,1/VLOOKUP($R63,Capa!$A:$Z,BM$5,0))))</f>
        <v/>
      </c>
      <c r="BN64" s="124" t="str">
        <f>IF(BN$6="","",IF(BN$3="Maior",iferror(VLOOKUP($R63,Capa!$A:$Z,BN$5,0),0),IF(ISERROR(1/VLOOKUP($R63,Capa!$A:$Z,BN$5,0)),0,1/VLOOKUP($R63,Capa!$A:$Z,BN$5,0))))</f>
        <v/>
      </c>
      <c r="BO64" s="124" t="str">
        <f>IF(BO$6="","",IF(BO$3="Maior",iferror(VLOOKUP($R63,Capa!$A:$Z,BO$5,0),0),IF(ISERROR(1/VLOOKUP($R63,Capa!$A:$Z,BO$5,0)),0,1/VLOOKUP($R63,Capa!$A:$Z,BO$5,0))))</f>
        <v/>
      </c>
      <c r="BP64" s="124" t="str">
        <f>IF(BP$6="","",IF(BP$3="Maior",iferror(VLOOKUP($R63,Capa!$A:$Z,BP$5,0),0),IF(ISERROR(1/VLOOKUP($R63,Capa!$A:$Z,BP$5,0)),0,1/VLOOKUP($R63,Capa!$A:$Z,BP$5,0))))</f>
        <v/>
      </c>
      <c r="BQ64" s="124" t="str">
        <f>IF(BQ$6="","",IF(BQ$3="Maior",iferror(VLOOKUP($R63,Capa!$A:$Z,BQ$5,0),0),IF(ISERROR(1/VLOOKUP($R63,Capa!$A:$Z,BQ$5,0)),0,1/VLOOKUP($R63,Capa!$A:$Z,BQ$5,0))))</f>
        <v/>
      </c>
      <c r="BR64" s="125" t="str">
        <f>IF(BR$6="","",IF(BR$3="Maior",iferror(VLOOKUP($R63,Capa!$A:$Z,BR$5,0),0),IF(ISERROR(1/VLOOKUP($R63,Capa!$A:$Z,BR$5,0)),0,1/VLOOKUP($R63,Capa!$A:$Z,BR$5,0))))</f>
        <v/>
      </c>
      <c r="BS64" s="88"/>
    </row>
    <row r="65">
      <c r="G65" s="9"/>
      <c r="H65" s="7">
        <v>59.0</v>
      </c>
      <c r="I65" s="111" t="str">
        <f t="shared" si="7"/>
        <v>FPNG11</v>
      </c>
      <c r="J65" s="112" t="str">
        <f>VLOOKUP(I65,Capa!A:G,7,0)</f>
        <v>Lajes Comerciais</v>
      </c>
      <c r="K65" s="113">
        <f t="shared" si="8"/>
        <v>0.4056285936</v>
      </c>
      <c r="L65" s="113">
        <f t="shared" si="9"/>
        <v>0.1332169697</v>
      </c>
      <c r="M65" s="113" t="str">
        <f t="shared" si="10"/>
        <v/>
      </c>
      <c r="N65" s="113" t="str">
        <f t="shared" si="11"/>
        <v/>
      </c>
      <c r="O65" s="114">
        <f t="shared" si="12"/>
        <v>0</v>
      </c>
      <c r="P65" s="9"/>
      <c r="Q65" s="9"/>
      <c r="R65" s="115" t="s">
        <v>85</v>
      </c>
      <c r="S65" s="116">
        <f t="shared" si="13"/>
        <v>1194.002273</v>
      </c>
      <c r="T65" s="117">
        <f>MID(VLOOKUP($R65,'Dados ClubeFII'!$A:$AU,23,0),3,100)/1</f>
        <v>70828.65</v>
      </c>
      <c r="U65" s="118">
        <f t="shared" si="14"/>
        <v>21.0021</v>
      </c>
      <c r="V65" s="118">
        <f t="shared" si="15"/>
        <v>173.000173</v>
      </c>
      <c r="W65" s="118" t="str">
        <f t="shared" ref="W65:AS65" si="74">IF(AV65="","", RANK(AV65,AV$7:AV$405,0))</f>
        <v/>
      </c>
      <c r="X65" s="118" t="str">
        <f t="shared" si="74"/>
        <v/>
      </c>
      <c r="Y65" s="118" t="str">
        <f t="shared" si="74"/>
        <v/>
      </c>
      <c r="Z65" s="118" t="str">
        <f t="shared" si="74"/>
        <v/>
      </c>
      <c r="AA65" s="118" t="str">
        <f t="shared" si="74"/>
        <v/>
      </c>
      <c r="AB65" s="118" t="str">
        <f t="shared" si="74"/>
        <v/>
      </c>
      <c r="AC65" s="118" t="str">
        <f t="shared" si="74"/>
        <v/>
      </c>
      <c r="AD65" s="118" t="str">
        <f t="shared" si="74"/>
        <v/>
      </c>
      <c r="AE65" s="118" t="str">
        <f t="shared" si="74"/>
        <v/>
      </c>
      <c r="AF65" s="118" t="str">
        <f t="shared" si="74"/>
        <v/>
      </c>
      <c r="AG65" s="118" t="str">
        <f t="shared" si="74"/>
        <v/>
      </c>
      <c r="AH65" s="118" t="str">
        <f t="shared" si="74"/>
        <v/>
      </c>
      <c r="AI65" s="118" t="str">
        <f t="shared" si="74"/>
        <v/>
      </c>
      <c r="AJ65" s="118" t="str">
        <f t="shared" si="74"/>
        <v/>
      </c>
      <c r="AK65" s="118" t="str">
        <f t="shared" si="74"/>
        <v/>
      </c>
      <c r="AL65" s="118" t="str">
        <f t="shared" si="74"/>
        <v/>
      </c>
      <c r="AM65" s="118" t="str">
        <f t="shared" si="74"/>
        <v/>
      </c>
      <c r="AN65" s="118" t="str">
        <f t="shared" si="74"/>
        <v/>
      </c>
      <c r="AO65" s="118" t="str">
        <f t="shared" si="74"/>
        <v/>
      </c>
      <c r="AP65" s="118" t="str">
        <f t="shared" si="74"/>
        <v/>
      </c>
      <c r="AQ65" s="118" t="str">
        <f t="shared" si="74"/>
        <v/>
      </c>
      <c r="AR65" s="118" t="str">
        <f t="shared" si="74"/>
        <v/>
      </c>
      <c r="AS65" s="118" t="str">
        <f t="shared" si="74"/>
        <v/>
      </c>
      <c r="AT65" s="123">
        <f>IF(AT$6="","",IF(AT$3="Maior",iferror(VLOOKUP($R65,Capa!$A:$Z,AT$5,0),0),IF(ISERROR(1/VLOOKUP($R65,Capa!$A:$Z,AT$5,0)),0,1/VLOOKUP($R65,Capa!$A:$Z,AT$5,0))))</f>
        <v>1.830382106</v>
      </c>
      <c r="AU65" s="124">
        <f>IF(AU$6="","",IF(AU$3="Maior",iferror(VLOOKUP($R65,Capa!$A:$Z,AU$5,0),0),IF(ISERROR(1/VLOOKUP($R65,Capa!$A:$Z,AU$5,0)),0,1/VLOOKUP($R65,Capa!$A:$Z,AU$5,0))))</f>
        <v>0.0370188391</v>
      </c>
      <c r="AV65" s="124" t="str">
        <f>IF(AV$6="","",IF(AV$3="Maior",iferror(VLOOKUP(#REF!,Capa!$A:$Z,AV$5,0),0),IF(ISERROR(1/VLOOKUP(#REF!,Capa!$A:$Z,AV$5,0)),0,1/VLOOKUP(#REF!,Capa!$A:$Z,AV$5,0))))</f>
        <v/>
      </c>
      <c r="AW65" s="124" t="str">
        <f>IF(AW$6="","",IF(AW$3="Maior",iferror(VLOOKUP(#REF!,Capa!$A:$Z,AW$5,0),0),IF(ISERROR(1/VLOOKUP(#REF!,Capa!$A:$Z,AW$5,0)),0,1/VLOOKUP(#REF!,Capa!$A:$Z,AW$5,0))))</f>
        <v/>
      </c>
      <c r="AX65" s="124" t="str">
        <f>IF(AX$6="","",IF(AX$3="Maior",iferror(VLOOKUP(#REF!,Capa!$A:$Z,AX$5,0),0),IF(ISERROR(1/VLOOKUP(#REF!,Capa!$A:$Z,AX$5,0)),0,1/VLOOKUP(#REF!,Capa!$A:$Z,AX$5,0))))</f>
        <v/>
      </c>
      <c r="AY65" s="124" t="str">
        <f>IF(AY$6="","",IF(AY$3="Maior",iferror(VLOOKUP(#REF!,Capa!$A:$Z,AY$5,0),0),IF(ISERROR(1/VLOOKUP(#REF!,Capa!$A:$Z,AY$5,0)),0,1/VLOOKUP(#REF!,Capa!$A:$Z,AY$5,0))))</f>
        <v/>
      </c>
      <c r="AZ65" s="124" t="str">
        <f>IF(AZ$6="","",IF(AZ$3="Maior",iferror(VLOOKUP(#REF!,Capa!$A:$Z,AZ$5,0),0),IF(ISERROR(1/VLOOKUP(#REF!,Capa!$A:$Z,AZ$5,0)),0,1/VLOOKUP(#REF!,Capa!$A:$Z,AZ$5,0))))</f>
        <v/>
      </c>
      <c r="BA65" s="124" t="str">
        <f>IF(BA$6="","",IF(BA$3="Maior",iferror(VLOOKUP(#REF!,Capa!$A:$Z,BA$5,0),0),IF(ISERROR(1/VLOOKUP(#REF!,Capa!$A:$Z,BA$5,0)),0,1/VLOOKUP(#REF!,Capa!$A:$Z,BA$5,0))))</f>
        <v/>
      </c>
      <c r="BB65" s="124" t="str">
        <f>IF(BB$6="","",IF(BB$3="Maior",iferror(VLOOKUP(#REF!,Capa!$A:$Z,BB$5,0),0),IF(ISERROR(1/VLOOKUP(#REF!,Capa!$A:$Z,BB$5,0)),0,1/VLOOKUP(#REF!,Capa!$A:$Z,BB$5,0))))</f>
        <v/>
      </c>
      <c r="BC65" s="124" t="str">
        <f>IF(BC$6="","",IF(BC$3="Maior",iferror(VLOOKUP(#REF!,Capa!$A:$Z,BC$5,0),0),IF(ISERROR(1/VLOOKUP(#REF!,Capa!$A:$Z,BC$5,0)),0,1/VLOOKUP(#REF!,Capa!$A:$Z,BC$5,0))))</f>
        <v/>
      </c>
      <c r="BD65" s="124" t="str">
        <f>IF(BD$6="","",IF(BD$3="Maior",iferror(VLOOKUP(#REF!,Capa!$A:$Z,BD$5,0),0),IF(ISERROR(1/VLOOKUP(#REF!,Capa!$A:$Z,BD$5,0)),0,1/VLOOKUP(#REF!,Capa!$A:$Z,BD$5,0))))</f>
        <v/>
      </c>
      <c r="BE65" s="124" t="str">
        <f>IF(BE$6="","",IF(BE$3="Maior",iferror(VLOOKUP(#REF!,Capa!$A:$Z,BE$5,0),0),IF(ISERROR(1/VLOOKUP(#REF!,Capa!$A:$Z,BE$5,0)),0,1/VLOOKUP(#REF!,Capa!$A:$Z,BE$5,0))))</f>
        <v/>
      </c>
      <c r="BF65" s="124" t="str">
        <f>IF(BF$6="","",IF(BF$3="Maior",iferror(VLOOKUP(#REF!,Capa!$A:$Z,BF$5,0),0),IF(ISERROR(1/VLOOKUP(#REF!,Capa!$A:$Z,BF$5,0)),0,1/VLOOKUP(#REF!,Capa!$A:$Z,BF$5,0))))</f>
        <v/>
      </c>
      <c r="BG65" s="124" t="str">
        <f>IF(BG$6="","",IF(BG$3="Maior",iferror(VLOOKUP(#REF!,Capa!$A:$Z,BG$5,0),0),IF(ISERROR(1/VLOOKUP(#REF!,Capa!$A:$Z,BG$5,0)),0,1/VLOOKUP(#REF!,Capa!$A:$Z,BG$5,0))))</f>
        <v/>
      </c>
      <c r="BH65" s="124" t="str">
        <f>IF(BH$6="","",IF(BH$3="Maior",iferror(VLOOKUP(#REF!,Capa!$A:$Z,BH$5,0),0),IF(ISERROR(1/VLOOKUP(#REF!,Capa!$A:$Z,BH$5,0)),0,1/VLOOKUP(#REF!,Capa!$A:$Z,BH$5,0))))</f>
        <v/>
      </c>
      <c r="BI65" s="124" t="str">
        <f>IF(BI$6="","",IF(BI$3="Maior",iferror(VLOOKUP(#REF!,Capa!$A:$Z,BI$5,0),0),IF(ISERROR(1/VLOOKUP(#REF!,Capa!$A:$Z,BI$5,0)),0,1/VLOOKUP(#REF!,Capa!$A:$Z,BI$5,0))))</f>
        <v/>
      </c>
      <c r="BJ65" s="124" t="str">
        <f>IF(BJ$6="","",IF(BJ$3="Maior",iferror(VLOOKUP(#REF!,Capa!$A:$Z,BJ$5,0),0),IF(ISERROR(1/VLOOKUP(#REF!,Capa!$A:$Z,BJ$5,0)),0,1/VLOOKUP(#REF!,Capa!$A:$Z,BJ$5,0))))</f>
        <v/>
      </c>
      <c r="BK65" s="124" t="str">
        <f>IF(BK$6="","",IF(BK$3="Maior",iferror(VLOOKUP(#REF!,Capa!$A:$Z,BK$5,0),0),IF(ISERROR(1/VLOOKUP(#REF!,Capa!$A:$Z,BK$5,0)),0,1/VLOOKUP(#REF!,Capa!$A:$Z,BK$5,0))))</f>
        <v/>
      </c>
      <c r="BL65" s="124" t="str">
        <f>IF(BL$6="","",IF(BL$3="Maior",iferror(VLOOKUP(#REF!,Capa!$A:$Z,BL$5,0),0),IF(ISERROR(1/VLOOKUP(#REF!,Capa!$A:$Z,BL$5,0)),0,1/VLOOKUP(#REF!,Capa!$A:$Z,BL$5,0))))</f>
        <v/>
      </c>
      <c r="BM65" s="124" t="str">
        <f>IF(BM$6="","",IF(BM$3="Maior",iferror(VLOOKUP(#REF!,Capa!$A:$Z,BM$5,0),0),IF(ISERROR(1/VLOOKUP(#REF!,Capa!$A:$Z,BM$5,0)),0,1/VLOOKUP(#REF!,Capa!$A:$Z,BM$5,0))))</f>
        <v/>
      </c>
      <c r="BN65" s="124" t="str">
        <f>IF(BN$6="","",IF(BN$3="Maior",iferror(VLOOKUP(#REF!,Capa!$A:$Z,BN$5,0),0),IF(ISERROR(1/VLOOKUP(#REF!,Capa!$A:$Z,BN$5,0)),0,1/VLOOKUP(#REF!,Capa!$A:$Z,BN$5,0))))</f>
        <v/>
      </c>
      <c r="BO65" s="124" t="str">
        <f>IF(BO$6="","",IF(BO$3="Maior",iferror(VLOOKUP(#REF!,Capa!$A:$Z,BO$5,0),0),IF(ISERROR(1/VLOOKUP(#REF!,Capa!$A:$Z,BO$5,0)),0,1/VLOOKUP(#REF!,Capa!$A:$Z,BO$5,0))))</f>
        <v/>
      </c>
      <c r="BP65" s="124" t="str">
        <f>IF(BP$6="","",IF(BP$3="Maior",iferror(VLOOKUP(#REF!,Capa!$A:$Z,BP$5,0),0),IF(ISERROR(1/VLOOKUP(#REF!,Capa!$A:$Z,BP$5,0)),0,1/VLOOKUP(#REF!,Capa!$A:$Z,BP$5,0))))</f>
        <v/>
      </c>
      <c r="BQ65" s="124" t="str">
        <f>IF(BQ$6="","",IF(BQ$3="Maior",iferror(VLOOKUP(#REF!,Capa!$A:$Z,BQ$5,0),0),IF(ISERROR(1/VLOOKUP(#REF!,Capa!$A:$Z,BQ$5,0)),0,1/VLOOKUP(#REF!,Capa!$A:$Z,BQ$5,0))))</f>
        <v/>
      </c>
      <c r="BR65" s="125" t="str">
        <f>IF(BR$6="","",IF(BR$3="Maior",iferror(VLOOKUP(#REF!,Capa!$A:$Z,BR$5,0),0),IF(ISERROR(1/VLOOKUP(#REF!,Capa!$A:$Z,BR$5,0)),0,1/VLOOKUP(#REF!,Capa!$A:$Z,BR$5,0))))</f>
        <v/>
      </c>
      <c r="BS65" s="88"/>
    </row>
    <row r="66">
      <c r="G66" s="9"/>
      <c r="H66" s="7">
        <v>60.0</v>
      </c>
      <c r="I66" s="129" t="str">
        <f t="shared" si="7"/>
        <v>REIT11</v>
      </c>
      <c r="J66" s="112" t="str">
        <f>VLOOKUP(I66,Capa!A:G,7,0)</f>
        <v>Recebíveis Imobiliários</v>
      </c>
      <c r="K66" s="113">
        <f t="shared" si="8"/>
        <v>0.6299685016</v>
      </c>
      <c r="L66" s="113">
        <f t="shared" si="9"/>
        <v>0.1468726564</v>
      </c>
      <c r="M66" s="113" t="str">
        <f t="shared" si="10"/>
        <v/>
      </c>
      <c r="N66" s="113" t="str">
        <f t="shared" si="11"/>
        <v/>
      </c>
      <c r="O66" s="114">
        <f t="shared" si="12"/>
        <v>936.25</v>
      </c>
      <c r="P66" s="9"/>
      <c r="Q66" s="9"/>
      <c r="R66" s="115" t="s">
        <v>87</v>
      </c>
      <c r="S66" s="116">
        <f t="shared" si="13"/>
        <v>1119.000515</v>
      </c>
      <c r="T66" s="117">
        <f>MID(VLOOKUP($R66,'Dados ClubeFII'!$A:$AU,23,0),3,100)/1</f>
        <v>420585.05</v>
      </c>
      <c r="U66" s="118">
        <f t="shared" si="14"/>
        <v>4.0004</v>
      </c>
      <c r="V66" s="118">
        <f t="shared" si="15"/>
        <v>115.000115</v>
      </c>
      <c r="W66" s="118" t="str">
        <f t="shared" ref="W66:AS66" si="75">IF(AV66="","", RANK(AV66,AV$7:AV$405,0))</f>
        <v/>
      </c>
      <c r="X66" s="118" t="str">
        <f t="shared" si="75"/>
        <v/>
      </c>
      <c r="Y66" s="118" t="str">
        <f t="shared" si="75"/>
        <v/>
      </c>
      <c r="Z66" s="118" t="str">
        <f t="shared" si="75"/>
        <v/>
      </c>
      <c r="AA66" s="118" t="str">
        <f t="shared" si="75"/>
        <v/>
      </c>
      <c r="AB66" s="118" t="str">
        <f t="shared" si="75"/>
        <v/>
      </c>
      <c r="AC66" s="118" t="str">
        <f t="shared" si="75"/>
        <v/>
      </c>
      <c r="AD66" s="118" t="str">
        <f t="shared" si="75"/>
        <v/>
      </c>
      <c r="AE66" s="118" t="str">
        <f t="shared" si="75"/>
        <v/>
      </c>
      <c r="AF66" s="118" t="str">
        <f t="shared" si="75"/>
        <v/>
      </c>
      <c r="AG66" s="118" t="str">
        <f t="shared" si="75"/>
        <v/>
      </c>
      <c r="AH66" s="118" t="str">
        <f t="shared" si="75"/>
        <v/>
      </c>
      <c r="AI66" s="118" t="str">
        <f t="shared" si="75"/>
        <v/>
      </c>
      <c r="AJ66" s="118" t="str">
        <f t="shared" si="75"/>
        <v/>
      </c>
      <c r="AK66" s="118" t="str">
        <f t="shared" si="75"/>
        <v/>
      </c>
      <c r="AL66" s="118" t="str">
        <f t="shared" si="75"/>
        <v/>
      </c>
      <c r="AM66" s="118" t="str">
        <f t="shared" si="75"/>
        <v/>
      </c>
      <c r="AN66" s="118" t="str">
        <f t="shared" si="75"/>
        <v/>
      </c>
      <c r="AO66" s="118" t="str">
        <f t="shared" si="75"/>
        <v/>
      </c>
      <c r="AP66" s="118" t="str">
        <f t="shared" si="75"/>
        <v/>
      </c>
      <c r="AQ66" s="118" t="str">
        <f t="shared" si="75"/>
        <v/>
      </c>
      <c r="AR66" s="118" t="str">
        <f t="shared" si="75"/>
        <v/>
      </c>
      <c r="AS66" s="118" t="str">
        <f t="shared" si="75"/>
        <v/>
      </c>
      <c r="AT66" s="123">
        <f>IF(AT$6="","",IF(AT$3="Maior",iferror(VLOOKUP($R66,Capa!$A:$Z,AT$5,0),0),IF(ISERROR(1/VLOOKUP($R66,Capa!$A:$Z,AT$5,0)),0,1/VLOOKUP($R66,Capa!$A:$Z,AT$5,0))))</f>
        <v>3.21608557</v>
      </c>
      <c r="AU66" s="124">
        <f>IF(AU$6="","",IF(AU$3="Maior",iferror(VLOOKUP($R66,Capa!$A:$Z,AU$5,0),0),IF(ISERROR(1/VLOOKUP($R66,Capa!$A:$Z,AU$5,0)),0,1/VLOOKUP($R66,Capa!$A:$Z,AU$5,0))))</f>
        <v>0.1014987208</v>
      </c>
      <c r="AV66" s="124" t="str">
        <f>IF(AV$6="","",IF(AV$3="Maior",iferror(VLOOKUP($R65,Capa!$A:$Z,AV$5,0),0),IF(ISERROR(1/VLOOKUP($R65,Capa!$A:$Z,AV$5,0)),0,1/VLOOKUP($R65,Capa!$A:$Z,AV$5,0))))</f>
        <v/>
      </c>
      <c r="AW66" s="124" t="str">
        <f>IF(AW$6="","",IF(AW$3="Maior",iferror(VLOOKUP($R65,Capa!$A:$Z,AW$5,0),0),IF(ISERROR(1/VLOOKUP($R65,Capa!$A:$Z,AW$5,0)),0,1/VLOOKUP($R65,Capa!$A:$Z,AW$5,0))))</f>
        <v/>
      </c>
      <c r="AX66" s="124" t="str">
        <f>IF(AX$6="","",IF(AX$3="Maior",iferror(VLOOKUP($R65,Capa!$A:$Z,AX$5,0),0),IF(ISERROR(1/VLOOKUP($R65,Capa!$A:$Z,AX$5,0)),0,1/VLOOKUP($R65,Capa!$A:$Z,AX$5,0))))</f>
        <v/>
      </c>
      <c r="AY66" s="124" t="str">
        <f>IF(AY$6="","",IF(AY$3="Maior",iferror(VLOOKUP($R65,Capa!$A:$Z,AY$5,0),0),IF(ISERROR(1/VLOOKUP($R65,Capa!$A:$Z,AY$5,0)),0,1/VLOOKUP($R65,Capa!$A:$Z,AY$5,0))))</f>
        <v/>
      </c>
      <c r="AZ66" s="124" t="str">
        <f>IF(AZ$6="","",IF(AZ$3="Maior",iferror(VLOOKUP($R65,Capa!$A:$Z,AZ$5,0),0),IF(ISERROR(1/VLOOKUP($R65,Capa!$A:$Z,AZ$5,0)),0,1/VLOOKUP($R65,Capa!$A:$Z,AZ$5,0))))</f>
        <v/>
      </c>
      <c r="BA66" s="124" t="str">
        <f>IF(BA$6="","",IF(BA$3="Maior",iferror(VLOOKUP($R65,Capa!$A:$Z,BA$5,0),0),IF(ISERROR(1/VLOOKUP($R65,Capa!$A:$Z,BA$5,0)),0,1/VLOOKUP($R65,Capa!$A:$Z,BA$5,0))))</f>
        <v/>
      </c>
      <c r="BB66" s="124" t="str">
        <f>IF(BB$6="","",IF(BB$3="Maior",iferror(VLOOKUP($R65,Capa!$A:$Z,BB$5,0),0),IF(ISERROR(1/VLOOKUP($R65,Capa!$A:$Z,BB$5,0)),0,1/VLOOKUP($R65,Capa!$A:$Z,BB$5,0))))</f>
        <v/>
      </c>
      <c r="BC66" s="124" t="str">
        <f>IF(BC$6="","",IF(BC$3="Maior",iferror(VLOOKUP($R65,Capa!$A:$Z,BC$5,0),0),IF(ISERROR(1/VLOOKUP($R65,Capa!$A:$Z,BC$5,0)),0,1/VLOOKUP($R65,Capa!$A:$Z,BC$5,0))))</f>
        <v/>
      </c>
      <c r="BD66" s="124" t="str">
        <f>IF(BD$6="","",IF(BD$3="Maior",iferror(VLOOKUP($R65,Capa!$A:$Z,BD$5,0),0),IF(ISERROR(1/VLOOKUP($R65,Capa!$A:$Z,BD$5,0)),0,1/VLOOKUP($R65,Capa!$A:$Z,BD$5,0))))</f>
        <v/>
      </c>
      <c r="BE66" s="124" t="str">
        <f>IF(BE$6="","",IF(BE$3="Maior",iferror(VLOOKUP($R65,Capa!$A:$Z,BE$5,0),0),IF(ISERROR(1/VLOOKUP($R65,Capa!$A:$Z,BE$5,0)),0,1/VLOOKUP($R65,Capa!$A:$Z,BE$5,0))))</f>
        <v/>
      </c>
      <c r="BF66" s="124" t="str">
        <f>IF(BF$6="","",IF(BF$3="Maior",iferror(VLOOKUP($R65,Capa!$A:$Z,BF$5,0),0),IF(ISERROR(1/VLOOKUP($R65,Capa!$A:$Z,BF$5,0)),0,1/VLOOKUP($R65,Capa!$A:$Z,BF$5,0))))</f>
        <v/>
      </c>
      <c r="BG66" s="124" t="str">
        <f>IF(BG$6="","",IF(BG$3="Maior",iferror(VLOOKUP($R65,Capa!$A:$Z,BG$5,0),0),IF(ISERROR(1/VLOOKUP($R65,Capa!$A:$Z,BG$5,0)),0,1/VLOOKUP($R65,Capa!$A:$Z,BG$5,0))))</f>
        <v/>
      </c>
      <c r="BH66" s="124" t="str">
        <f>IF(BH$6="","",IF(BH$3="Maior",iferror(VLOOKUP($R65,Capa!$A:$Z,BH$5,0),0),IF(ISERROR(1/VLOOKUP($R65,Capa!$A:$Z,BH$5,0)),0,1/VLOOKUP($R65,Capa!$A:$Z,BH$5,0))))</f>
        <v/>
      </c>
      <c r="BI66" s="124" t="str">
        <f>IF(BI$6="","",IF(BI$3="Maior",iferror(VLOOKUP($R65,Capa!$A:$Z,BI$5,0),0),IF(ISERROR(1/VLOOKUP($R65,Capa!$A:$Z,BI$5,0)),0,1/VLOOKUP($R65,Capa!$A:$Z,BI$5,0))))</f>
        <v/>
      </c>
      <c r="BJ66" s="124" t="str">
        <f>IF(BJ$6="","",IF(BJ$3="Maior",iferror(VLOOKUP($R65,Capa!$A:$Z,BJ$5,0),0),IF(ISERROR(1/VLOOKUP($R65,Capa!$A:$Z,BJ$5,0)),0,1/VLOOKUP($R65,Capa!$A:$Z,BJ$5,0))))</f>
        <v/>
      </c>
      <c r="BK66" s="124" t="str">
        <f>IF(BK$6="","",IF(BK$3="Maior",iferror(VLOOKUP($R65,Capa!$A:$Z,BK$5,0),0),IF(ISERROR(1/VLOOKUP($R65,Capa!$A:$Z,BK$5,0)),0,1/VLOOKUP($R65,Capa!$A:$Z,BK$5,0))))</f>
        <v/>
      </c>
      <c r="BL66" s="124" t="str">
        <f>IF(BL$6="","",IF(BL$3="Maior",iferror(VLOOKUP($R65,Capa!$A:$Z,BL$5,0),0),IF(ISERROR(1/VLOOKUP($R65,Capa!$A:$Z,BL$5,0)),0,1/VLOOKUP($R65,Capa!$A:$Z,BL$5,0))))</f>
        <v/>
      </c>
      <c r="BM66" s="124" t="str">
        <f>IF(BM$6="","",IF(BM$3="Maior",iferror(VLOOKUP($R65,Capa!$A:$Z,BM$5,0),0),IF(ISERROR(1/VLOOKUP($R65,Capa!$A:$Z,BM$5,0)),0,1/VLOOKUP($R65,Capa!$A:$Z,BM$5,0))))</f>
        <v/>
      </c>
      <c r="BN66" s="124" t="str">
        <f>IF(BN$6="","",IF(BN$3="Maior",iferror(VLOOKUP($R65,Capa!$A:$Z,BN$5,0),0),IF(ISERROR(1/VLOOKUP($R65,Capa!$A:$Z,BN$5,0)),0,1/VLOOKUP($R65,Capa!$A:$Z,BN$5,0))))</f>
        <v/>
      </c>
      <c r="BO66" s="124" t="str">
        <f>IF(BO$6="","",IF(BO$3="Maior",iferror(VLOOKUP($R65,Capa!$A:$Z,BO$5,0),0),IF(ISERROR(1/VLOOKUP($R65,Capa!$A:$Z,BO$5,0)),0,1/VLOOKUP($R65,Capa!$A:$Z,BO$5,0))))</f>
        <v/>
      </c>
      <c r="BP66" s="124" t="str">
        <f>IF(BP$6="","",IF(BP$3="Maior",iferror(VLOOKUP($R65,Capa!$A:$Z,BP$5,0),0),IF(ISERROR(1/VLOOKUP($R65,Capa!$A:$Z,BP$5,0)),0,1/VLOOKUP($R65,Capa!$A:$Z,BP$5,0))))</f>
        <v/>
      </c>
      <c r="BQ66" s="124" t="str">
        <f>IF(BQ$6="","",IF(BQ$3="Maior",iferror(VLOOKUP($R65,Capa!$A:$Z,BQ$5,0),0),IF(ISERROR(1/VLOOKUP($R65,Capa!$A:$Z,BQ$5,0)),0,1/VLOOKUP($R65,Capa!$A:$Z,BQ$5,0))))</f>
        <v/>
      </c>
      <c r="BR66" s="125" t="str">
        <f>IF(BR$6="","",IF(BR$3="Maior",iferror(VLOOKUP($R65,Capa!$A:$Z,BR$5,0),0),IF(ISERROR(1/VLOOKUP($R65,Capa!$A:$Z,BR$5,0)),0,1/VLOOKUP($R65,Capa!$A:$Z,BR$5,0))))</f>
        <v/>
      </c>
      <c r="BS66" s="88"/>
    </row>
    <row r="67">
      <c r="G67" s="9"/>
      <c r="H67" s="7">
        <v>61.0</v>
      </c>
      <c r="I67" s="111" t="str">
        <f t="shared" si="7"/>
        <v>AIEC11</v>
      </c>
      <c r="J67" s="112" t="str">
        <f>VLOOKUP(I67,Capa!A:G,7,0)</f>
        <v>Lajes Comerciais</v>
      </c>
      <c r="K67" s="113">
        <f t="shared" si="8"/>
        <v>0.6461464509</v>
      </c>
      <c r="L67" s="113">
        <f t="shared" si="9"/>
        <v>0.1482220798</v>
      </c>
      <c r="M67" s="113" t="str">
        <f t="shared" si="10"/>
        <v/>
      </c>
      <c r="N67" s="113" t="str">
        <f t="shared" si="11"/>
        <v/>
      </c>
      <c r="O67" s="114">
        <f t="shared" si="12"/>
        <v>382880.34</v>
      </c>
      <c r="P67" s="9"/>
      <c r="Q67" s="9"/>
      <c r="R67" s="115" t="s">
        <v>71</v>
      </c>
      <c r="S67" s="116">
        <f t="shared" si="13"/>
        <v>1138.006474</v>
      </c>
      <c r="T67" s="117">
        <f>MID(VLOOKUP($R67,'Dados ClubeFII'!$A:$AU,23,0),3,100)/1</f>
        <v>723215.95</v>
      </c>
      <c r="U67" s="118">
        <f t="shared" si="14"/>
        <v>64.0064</v>
      </c>
      <c r="V67" s="118">
        <f t="shared" si="15"/>
        <v>74.000074</v>
      </c>
      <c r="W67" s="118" t="str">
        <f t="shared" ref="W67:AS67" si="76">IF(AV67="","", RANK(AV67,AV$7:AV$405,0))</f>
        <v/>
      </c>
      <c r="X67" s="118" t="str">
        <f t="shared" si="76"/>
        <v/>
      </c>
      <c r="Y67" s="118" t="str">
        <f t="shared" si="76"/>
        <v/>
      </c>
      <c r="Z67" s="118" t="str">
        <f t="shared" si="76"/>
        <v/>
      </c>
      <c r="AA67" s="118" t="str">
        <f t="shared" si="76"/>
        <v/>
      </c>
      <c r="AB67" s="118" t="str">
        <f t="shared" si="76"/>
        <v/>
      </c>
      <c r="AC67" s="118" t="str">
        <f t="shared" si="76"/>
        <v/>
      </c>
      <c r="AD67" s="118" t="str">
        <f t="shared" si="76"/>
        <v/>
      </c>
      <c r="AE67" s="118" t="str">
        <f t="shared" si="76"/>
        <v/>
      </c>
      <c r="AF67" s="118" t="str">
        <f t="shared" si="76"/>
        <v/>
      </c>
      <c r="AG67" s="118" t="str">
        <f t="shared" si="76"/>
        <v/>
      </c>
      <c r="AH67" s="118" t="str">
        <f t="shared" si="76"/>
        <v/>
      </c>
      <c r="AI67" s="118" t="str">
        <f t="shared" si="76"/>
        <v/>
      </c>
      <c r="AJ67" s="118" t="str">
        <f t="shared" si="76"/>
        <v/>
      </c>
      <c r="AK67" s="118" t="str">
        <f t="shared" si="76"/>
        <v/>
      </c>
      <c r="AL67" s="118" t="str">
        <f t="shared" si="76"/>
        <v/>
      </c>
      <c r="AM67" s="118" t="str">
        <f t="shared" si="76"/>
        <v/>
      </c>
      <c r="AN67" s="118" t="str">
        <f t="shared" si="76"/>
        <v/>
      </c>
      <c r="AO67" s="118" t="str">
        <f t="shared" si="76"/>
        <v/>
      </c>
      <c r="AP67" s="118" t="str">
        <f t="shared" si="76"/>
        <v/>
      </c>
      <c r="AQ67" s="118" t="str">
        <f t="shared" si="76"/>
        <v/>
      </c>
      <c r="AR67" s="118" t="str">
        <f t="shared" si="76"/>
        <v/>
      </c>
      <c r="AS67" s="118" t="str">
        <f t="shared" si="76"/>
        <v/>
      </c>
      <c r="AT67" s="123">
        <f>IF(AT$6="","",IF(AT$3="Maior",iferror(VLOOKUP($R67,Capa!$A:$Z,AT$5,0),0),IF(ISERROR(1/VLOOKUP($R67,Capa!$A:$Z,AT$5,0)),0,1/VLOOKUP($R67,Capa!$A:$Z,AT$5,0))))</f>
        <v>1.31568905</v>
      </c>
      <c r="AU67" s="124">
        <f>IF(AU$6="","",IF(AU$3="Maior",iferror(VLOOKUP($R67,Capa!$A:$Z,AU$5,0),0),IF(ISERROR(1/VLOOKUP($R67,Capa!$A:$Z,AU$5,0)),0,1/VLOOKUP($R67,Capa!$A:$Z,AU$5,0))))</f>
        <v>0.1224976609</v>
      </c>
      <c r="AV67" s="124" t="str">
        <f>IF(AV$6="","",IF(AV$3="Maior",iferror(VLOOKUP($R66,Capa!$A:$Z,AV$5,0),0),IF(ISERROR(1/VLOOKUP($R66,Capa!$A:$Z,AV$5,0)),0,1/VLOOKUP($R66,Capa!$A:$Z,AV$5,0))))</f>
        <v/>
      </c>
      <c r="AW67" s="124" t="str">
        <f>IF(AW$6="","",IF(AW$3="Maior",iferror(VLOOKUP($R66,Capa!$A:$Z,AW$5,0),0),IF(ISERROR(1/VLOOKUP($R66,Capa!$A:$Z,AW$5,0)),0,1/VLOOKUP($R66,Capa!$A:$Z,AW$5,0))))</f>
        <v/>
      </c>
      <c r="AX67" s="124" t="str">
        <f>IF(AX$6="","",IF(AX$3="Maior",iferror(VLOOKUP($R66,Capa!$A:$Z,AX$5,0),0),IF(ISERROR(1/VLOOKUP($R66,Capa!$A:$Z,AX$5,0)),0,1/VLOOKUP($R66,Capa!$A:$Z,AX$5,0))))</f>
        <v/>
      </c>
      <c r="AY67" s="124" t="str">
        <f>IF(AY$6="","",IF(AY$3="Maior",iferror(VLOOKUP($R66,Capa!$A:$Z,AY$5,0),0),IF(ISERROR(1/VLOOKUP($R66,Capa!$A:$Z,AY$5,0)),0,1/VLOOKUP($R66,Capa!$A:$Z,AY$5,0))))</f>
        <v/>
      </c>
      <c r="AZ67" s="124" t="str">
        <f>IF(AZ$6="","",IF(AZ$3="Maior",iferror(VLOOKUP($R66,Capa!$A:$Z,AZ$5,0),0),IF(ISERROR(1/VLOOKUP($R66,Capa!$A:$Z,AZ$5,0)),0,1/VLOOKUP($R66,Capa!$A:$Z,AZ$5,0))))</f>
        <v/>
      </c>
      <c r="BA67" s="124" t="str">
        <f>IF(BA$6="","",IF(BA$3="Maior",iferror(VLOOKUP($R66,Capa!$A:$Z,BA$5,0),0),IF(ISERROR(1/VLOOKUP($R66,Capa!$A:$Z,BA$5,0)),0,1/VLOOKUP($R66,Capa!$A:$Z,BA$5,0))))</f>
        <v/>
      </c>
      <c r="BB67" s="124" t="str">
        <f>IF(BB$6="","",IF(BB$3="Maior",iferror(VLOOKUP($R66,Capa!$A:$Z,BB$5,0),0),IF(ISERROR(1/VLOOKUP($R66,Capa!$A:$Z,BB$5,0)),0,1/VLOOKUP($R66,Capa!$A:$Z,BB$5,0))))</f>
        <v/>
      </c>
      <c r="BC67" s="124" t="str">
        <f>IF(BC$6="","",IF(BC$3="Maior",iferror(VLOOKUP($R66,Capa!$A:$Z,BC$5,0),0),IF(ISERROR(1/VLOOKUP($R66,Capa!$A:$Z,BC$5,0)),0,1/VLOOKUP($R66,Capa!$A:$Z,BC$5,0))))</f>
        <v/>
      </c>
      <c r="BD67" s="124" t="str">
        <f>IF(BD$6="","",IF(BD$3="Maior",iferror(VLOOKUP($R66,Capa!$A:$Z,BD$5,0),0),IF(ISERROR(1/VLOOKUP($R66,Capa!$A:$Z,BD$5,0)),0,1/VLOOKUP($R66,Capa!$A:$Z,BD$5,0))))</f>
        <v/>
      </c>
      <c r="BE67" s="124" t="str">
        <f>IF(BE$6="","",IF(BE$3="Maior",iferror(VLOOKUP($R66,Capa!$A:$Z,BE$5,0),0),IF(ISERROR(1/VLOOKUP($R66,Capa!$A:$Z,BE$5,0)),0,1/VLOOKUP($R66,Capa!$A:$Z,BE$5,0))))</f>
        <v/>
      </c>
      <c r="BF67" s="124" t="str">
        <f>IF(BF$6="","",IF(BF$3="Maior",iferror(VLOOKUP($R66,Capa!$A:$Z,BF$5,0),0),IF(ISERROR(1/VLOOKUP($R66,Capa!$A:$Z,BF$5,0)),0,1/VLOOKUP($R66,Capa!$A:$Z,BF$5,0))))</f>
        <v/>
      </c>
      <c r="BG67" s="124" t="str">
        <f>IF(BG$6="","",IF(BG$3="Maior",iferror(VLOOKUP($R66,Capa!$A:$Z,BG$5,0),0),IF(ISERROR(1/VLOOKUP($R66,Capa!$A:$Z,BG$5,0)),0,1/VLOOKUP($R66,Capa!$A:$Z,BG$5,0))))</f>
        <v/>
      </c>
      <c r="BH67" s="124" t="str">
        <f>IF(BH$6="","",IF(BH$3="Maior",iferror(VLOOKUP($R66,Capa!$A:$Z,BH$5,0),0),IF(ISERROR(1/VLOOKUP($R66,Capa!$A:$Z,BH$5,0)),0,1/VLOOKUP($R66,Capa!$A:$Z,BH$5,0))))</f>
        <v/>
      </c>
      <c r="BI67" s="124" t="str">
        <f>IF(BI$6="","",IF(BI$3="Maior",iferror(VLOOKUP($R66,Capa!$A:$Z,BI$5,0),0),IF(ISERROR(1/VLOOKUP($R66,Capa!$A:$Z,BI$5,0)),0,1/VLOOKUP($R66,Capa!$A:$Z,BI$5,0))))</f>
        <v/>
      </c>
      <c r="BJ67" s="124" t="str">
        <f>IF(BJ$6="","",IF(BJ$3="Maior",iferror(VLOOKUP($R66,Capa!$A:$Z,BJ$5,0),0),IF(ISERROR(1/VLOOKUP($R66,Capa!$A:$Z,BJ$5,0)),0,1/VLOOKUP($R66,Capa!$A:$Z,BJ$5,0))))</f>
        <v/>
      </c>
      <c r="BK67" s="124" t="str">
        <f>IF(BK$6="","",IF(BK$3="Maior",iferror(VLOOKUP($R66,Capa!$A:$Z,BK$5,0),0),IF(ISERROR(1/VLOOKUP($R66,Capa!$A:$Z,BK$5,0)),0,1/VLOOKUP($R66,Capa!$A:$Z,BK$5,0))))</f>
        <v/>
      </c>
      <c r="BL67" s="124" t="str">
        <f>IF(BL$6="","",IF(BL$3="Maior",iferror(VLOOKUP($R66,Capa!$A:$Z,BL$5,0),0),IF(ISERROR(1/VLOOKUP($R66,Capa!$A:$Z,BL$5,0)),0,1/VLOOKUP($R66,Capa!$A:$Z,BL$5,0))))</f>
        <v/>
      </c>
      <c r="BM67" s="124" t="str">
        <f>IF(BM$6="","",IF(BM$3="Maior",iferror(VLOOKUP($R66,Capa!$A:$Z,BM$5,0),0),IF(ISERROR(1/VLOOKUP($R66,Capa!$A:$Z,BM$5,0)),0,1/VLOOKUP($R66,Capa!$A:$Z,BM$5,0))))</f>
        <v/>
      </c>
      <c r="BN67" s="124" t="str">
        <f>IF(BN$6="","",IF(BN$3="Maior",iferror(VLOOKUP($R66,Capa!$A:$Z,BN$5,0),0),IF(ISERROR(1/VLOOKUP($R66,Capa!$A:$Z,BN$5,0)),0,1/VLOOKUP($R66,Capa!$A:$Z,BN$5,0))))</f>
        <v/>
      </c>
      <c r="BO67" s="124" t="str">
        <f>IF(BO$6="","",IF(BO$3="Maior",iferror(VLOOKUP($R66,Capa!$A:$Z,BO$5,0),0),IF(ISERROR(1/VLOOKUP($R66,Capa!$A:$Z,BO$5,0)),0,1/VLOOKUP($R66,Capa!$A:$Z,BO$5,0))))</f>
        <v/>
      </c>
      <c r="BP67" s="124" t="str">
        <f>IF(BP$6="","",IF(BP$3="Maior",iferror(VLOOKUP($R66,Capa!$A:$Z,BP$5,0),0),IF(ISERROR(1/VLOOKUP($R66,Capa!$A:$Z,BP$5,0)),0,1/VLOOKUP($R66,Capa!$A:$Z,BP$5,0))))</f>
        <v/>
      </c>
      <c r="BQ67" s="124" t="str">
        <f>IF(BQ$6="","",IF(BQ$3="Maior",iferror(VLOOKUP($R66,Capa!$A:$Z,BQ$5,0),0),IF(ISERROR(1/VLOOKUP($R66,Capa!$A:$Z,BQ$5,0)),0,1/VLOOKUP($R66,Capa!$A:$Z,BQ$5,0))))</f>
        <v/>
      </c>
      <c r="BR67" s="125" t="str">
        <f>IF(BR$6="","",IF(BR$3="Maior",iferror(VLOOKUP($R66,Capa!$A:$Z,BR$5,0),0),IF(ISERROR(1/VLOOKUP($R66,Capa!$A:$Z,BR$5,0)),0,1/VLOOKUP($R66,Capa!$A:$Z,BR$5,0))))</f>
        <v/>
      </c>
      <c r="BS67" s="88"/>
    </row>
    <row r="68">
      <c r="G68" s="9"/>
      <c r="H68" s="7">
        <v>62.0</v>
      </c>
      <c r="I68" s="111" t="str">
        <f t="shared" si="7"/>
        <v>MGHT11</v>
      </c>
      <c r="J68" s="112" t="str">
        <f>VLOOKUP(I68,Capa!A:G,7,0)</f>
        <v>Hoteis</v>
      </c>
      <c r="K68" s="113">
        <f t="shared" si="8"/>
        <v>0.7417606838</v>
      </c>
      <c r="L68" s="113">
        <f t="shared" si="9"/>
        <v>0.1613859316</v>
      </c>
      <c r="M68" s="113" t="str">
        <f t="shared" si="10"/>
        <v/>
      </c>
      <c r="N68" s="113" t="str">
        <f t="shared" si="11"/>
        <v/>
      </c>
      <c r="O68" s="114">
        <f t="shared" si="12"/>
        <v>67817.46</v>
      </c>
      <c r="P68" s="9"/>
      <c r="Q68" s="9"/>
      <c r="R68" s="127" t="s">
        <v>104</v>
      </c>
      <c r="S68" s="116">
        <f t="shared" si="13"/>
        <v>335.018056</v>
      </c>
      <c r="T68" s="117">
        <f>MID(VLOOKUP($R68,'Dados ClubeFII'!$A:$AU,23,0),3,100)/1</f>
        <v>2053026.62</v>
      </c>
      <c r="U68" s="118">
        <f t="shared" si="14"/>
        <v>179.0179</v>
      </c>
      <c r="V68" s="118">
        <f t="shared" si="15"/>
        <v>156.000156</v>
      </c>
      <c r="W68" s="118" t="str">
        <f t="shared" ref="W68:AS68" si="77">IF(AV68="","", RANK(AV68,AV$7:AV$405,0))</f>
        <v/>
      </c>
      <c r="X68" s="118" t="str">
        <f t="shared" si="77"/>
        <v/>
      </c>
      <c r="Y68" s="118" t="str">
        <f t="shared" si="77"/>
        <v/>
      </c>
      <c r="Z68" s="118" t="str">
        <f t="shared" si="77"/>
        <v/>
      </c>
      <c r="AA68" s="118" t="str">
        <f t="shared" si="77"/>
        <v/>
      </c>
      <c r="AB68" s="118" t="str">
        <f t="shared" si="77"/>
        <v/>
      </c>
      <c r="AC68" s="118" t="str">
        <f t="shared" si="77"/>
        <v/>
      </c>
      <c r="AD68" s="118" t="str">
        <f t="shared" si="77"/>
        <v/>
      </c>
      <c r="AE68" s="118" t="str">
        <f t="shared" si="77"/>
        <v/>
      </c>
      <c r="AF68" s="118" t="str">
        <f t="shared" si="77"/>
        <v/>
      </c>
      <c r="AG68" s="118" t="str">
        <f t="shared" si="77"/>
        <v/>
      </c>
      <c r="AH68" s="118" t="str">
        <f t="shared" si="77"/>
        <v/>
      </c>
      <c r="AI68" s="118" t="str">
        <f t="shared" si="77"/>
        <v/>
      </c>
      <c r="AJ68" s="118" t="str">
        <f t="shared" si="77"/>
        <v/>
      </c>
      <c r="AK68" s="118" t="str">
        <f t="shared" si="77"/>
        <v/>
      </c>
      <c r="AL68" s="118" t="str">
        <f t="shared" si="77"/>
        <v/>
      </c>
      <c r="AM68" s="118" t="str">
        <f t="shared" si="77"/>
        <v/>
      </c>
      <c r="AN68" s="118" t="str">
        <f t="shared" si="77"/>
        <v/>
      </c>
      <c r="AO68" s="118" t="str">
        <f t="shared" si="77"/>
        <v/>
      </c>
      <c r="AP68" s="118" t="str">
        <f t="shared" si="77"/>
        <v/>
      </c>
      <c r="AQ68" s="118" t="str">
        <f t="shared" si="77"/>
        <v/>
      </c>
      <c r="AR68" s="118" t="str">
        <f t="shared" si="77"/>
        <v/>
      </c>
      <c r="AS68" s="118" t="str">
        <f t="shared" si="77"/>
        <v/>
      </c>
      <c r="AT68" s="123">
        <f>IF(AT$6="","",IF(AT$3="Maior",iferror(VLOOKUP($R68,Capa!$A:$Z,AT$5,0),0),IF(ISERROR(1/VLOOKUP($R68,Capa!$A:$Z,AT$5,0)),0,1/VLOOKUP($R68,Capa!$A:$Z,AT$5,0))))</f>
        <v>0.9685980899</v>
      </c>
      <c r="AU68" s="124">
        <f>IF(AU$6="","",IF(AU$3="Maior",iferror(VLOOKUP($R68,Capa!$A:$Z,AU$5,0),0),IF(ISERROR(1/VLOOKUP($R68,Capa!$A:$Z,AU$5,0)),0,1/VLOOKUP($R68,Capa!$A:$Z,AU$5,0))))</f>
        <v>0.07516741805</v>
      </c>
      <c r="AV68" s="124" t="str">
        <f>IF(AV$6="","",IF(AV$3="Maior",iferror(VLOOKUP($R67,Capa!$A:$Z,AV$5,0),0),IF(ISERROR(1/VLOOKUP($R67,Capa!$A:$Z,AV$5,0)),0,1/VLOOKUP($R67,Capa!$A:$Z,AV$5,0))))</f>
        <v/>
      </c>
      <c r="AW68" s="124" t="str">
        <f>IF(AW$6="","",IF(AW$3="Maior",iferror(VLOOKUP($R67,Capa!$A:$Z,AW$5,0),0),IF(ISERROR(1/VLOOKUP($R67,Capa!$A:$Z,AW$5,0)),0,1/VLOOKUP($R67,Capa!$A:$Z,AW$5,0))))</f>
        <v/>
      </c>
      <c r="AX68" s="124" t="str">
        <f>IF(AX$6="","",IF(AX$3="Maior",iferror(VLOOKUP($R67,Capa!$A:$Z,AX$5,0),0),IF(ISERROR(1/VLOOKUP($R67,Capa!$A:$Z,AX$5,0)),0,1/VLOOKUP($R67,Capa!$A:$Z,AX$5,0))))</f>
        <v/>
      </c>
      <c r="AY68" s="124" t="str">
        <f>IF(AY$6="","",IF(AY$3="Maior",iferror(VLOOKUP($R67,Capa!$A:$Z,AY$5,0),0),IF(ISERROR(1/VLOOKUP($R67,Capa!$A:$Z,AY$5,0)),0,1/VLOOKUP($R67,Capa!$A:$Z,AY$5,0))))</f>
        <v/>
      </c>
      <c r="AZ68" s="124" t="str">
        <f>IF(AZ$6="","",IF(AZ$3="Maior",iferror(VLOOKUP($R67,Capa!$A:$Z,AZ$5,0),0),IF(ISERROR(1/VLOOKUP($R67,Capa!$A:$Z,AZ$5,0)),0,1/VLOOKUP($R67,Capa!$A:$Z,AZ$5,0))))</f>
        <v/>
      </c>
      <c r="BA68" s="124" t="str">
        <f>IF(BA$6="","",IF(BA$3="Maior",iferror(VLOOKUP($R67,Capa!$A:$Z,BA$5,0),0),IF(ISERROR(1/VLOOKUP($R67,Capa!$A:$Z,BA$5,0)),0,1/VLOOKUP($R67,Capa!$A:$Z,BA$5,0))))</f>
        <v/>
      </c>
      <c r="BB68" s="124" t="str">
        <f>IF(BB$6="","",IF(BB$3="Maior",iferror(VLOOKUP($R67,Capa!$A:$Z,BB$5,0),0),IF(ISERROR(1/VLOOKUP($R67,Capa!$A:$Z,BB$5,0)),0,1/VLOOKUP($R67,Capa!$A:$Z,BB$5,0))))</f>
        <v/>
      </c>
      <c r="BC68" s="124" t="str">
        <f>IF(BC$6="","",IF(BC$3="Maior",iferror(VLOOKUP($R67,Capa!$A:$Z,BC$5,0),0),IF(ISERROR(1/VLOOKUP($R67,Capa!$A:$Z,BC$5,0)),0,1/VLOOKUP($R67,Capa!$A:$Z,BC$5,0))))</f>
        <v/>
      </c>
      <c r="BD68" s="124" t="str">
        <f>IF(BD$6="","",IF(BD$3="Maior",iferror(VLOOKUP($R67,Capa!$A:$Z,BD$5,0),0),IF(ISERROR(1/VLOOKUP($R67,Capa!$A:$Z,BD$5,0)),0,1/VLOOKUP($R67,Capa!$A:$Z,BD$5,0))))</f>
        <v/>
      </c>
      <c r="BE68" s="124" t="str">
        <f>IF(BE$6="","",IF(BE$3="Maior",iferror(VLOOKUP($R67,Capa!$A:$Z,BE$5,0),0),IF(ISERROR(1/VLOOKUP($R67,Capa!$A:$Z,BE$5,0)),0,1/VLOOKUP($R67,Capa!$A:$Z,BE$5,0))))</f>
        <v/>
      </c>
      <c r="BF68" s="124" t="str">
        <f>IF(BF$6="","",IF(BF$3="Maior",iferror(VLOOKUP($R67,Capa!$A:$Z,BF$5,0),0),IF(ISERROR(1/VLOOKUP($R67,Capa!$A:$Z,BF$5,0)),0,1/VLOOKUP($R67,Capa!$A:$Z,BF$5,0))))</f>
        <v/>
      </c>
      <c r="BG68" s="124" t="str">
        <f>IF(BG$6="","",IF(BG$3="Maior",iferror(VLOOKUP($R67,Capa!$A:$Z,BG$5,0),0),IF(ISERROR(1/VLOOKUP($R67,Capa!$A:$Z,BG$5,0)),0,1/VLOOKUP($R67,Capa!$A:$Z,BG$5,0))))</f>
        <v/>
      </c>
      <c r="BH68" s="124" t="str">
        <f>IF(BH$6="","",IF(BH$3="Maior",iferror(VLOOKUP($R67,Capa!$A:$Z,BH$5,0),0),IF(ISERROR(1/VLOOKUP($R67,Capa!$A:$Z,BH$5,0)),0,1/VLOOKUP($R67,Capa!$A:$Z,BH$5,0))))</f>
        <v/>
      </c>
      <c r="BI68" s="124" t="str">
        <f>IF(BI$6="","",IF(BI$3="Maior",iferror(VLOOKUP($R67,Capa!$A:$Z,BI$5,0),0),IF(ISERROR(1/VLOOKUP($R67,Capa!$A:$Z,BI$5,0)),0,1/VLOOKUP($R67,Capa!$A:$Z,BI$5,0))))</f>
        <v/>
      </c>
      <c r="BJ68" s="124" t="str">
        <f>IF(BJ$6="","",IF(BJ$3="Maior",iferror(VLOOKUP($R67,Capa!$A:$Z,BJ$5,0),0),IF(ISERROR(1/VLOOKUP($R67,Capa!$A:$Z,BJ$5,0)),0,1/VLOOKUP($R67,Capa!$A:$Z,BJ$5,0))))</f>
        <v/>
      </c>
      <c r="BK68" s="124" t="str">
        <f>IF(BK$6="","",IF(BK$3="Maior",iferror(VLOOKUP($R67,Capa!$A:$Z,BK$5,0),0),IF(ISERROR(1/VLOOKUP($R67,Capa!$A:$Z,BK$5,0)),0,1/VLOOKUP($R67,Capa!$A:$Z,BK$5,0))))</f>
        <v/>
      </c>
      <c r="BL68" s="124" t="str">
        <f>IF(BL$6="","",IF(BL$3="Maior",iferror(VLOOKUP($R67,Capa!$A:$Z,BL$5,0),0),IF(ISERROR(1/VLOOKUP($R67,Capa!$A:$Z,BL$5,0)),0,1/VLOOKUP($R67,Capa!$A:$Z,BL$5,0))))</f>
        <v/>
      </c>
      <c r="BM68" s="124" t="str">
        <f>IF(BM$6="","",IF(BM$3="Maior",iferror(VLOOKUP($R67,Capa!$A:$Z,BM$5,0),0),IF(ISERROR(1/VLOOKUP($R67,Capa!$A:$Z,BM$5,0)),0,1/VLOOKUP($R67,Capa!$A:$Z,BM$5,0))))</f>
        <v/>
      </c>
      <c r="BN68" s="124" t="str">
        <f>IF(BN$6="","",IF(BN$3="Maior",iferror(VLOOKUP($R67,Capa!$A:$Z,BN$5,0),0),IF(ISERROR(1/VLOOKUP($R67,Capa!$A:$Z,BN$5,0)),0,1/VLOOKUP($R67,Capa!$A:$Z,BN$5,0))))</f>
        <v/>
      </c>
      <c r="BO68" s="124" t="str">
        <f>IF(BO$6="","",IF(BO$3="Maior",iferror(VLOOKUP($R67,Capa!$A:$Z,BO$5,0),0),IF(ISERROR(1/VLOOKUP($R67,Capa!$A:$Z,BO$5,0)),0,1/VLOOKUP($R67,Capa!$A:$Z,BO$5,0))))</f>
        <v/>
      </c>
      <c r="BP68" s="124" t="str">
        <f>IF(BP$6="","",IF(BP$3="Maior",iferror(VLOOKUP($R67,Capa!$A:$Z,BP$5,0),0),IF(ISERROR(1/VLOOKUP($R67,Capa!$A:$Z,BP$5,0)),0,1/VLOOKUP($R67,Capa!$A:$Z,BP$5,0))))</f>
        <v/>
      </c>
      <c r="BQ68" s="124" t="str">
        <f>IF(BQ$6="","",IF(BQ$3="Maior",iferror(VLOOKUP($R67,Capa!$A:$Z,BQ$5,0),0),IF(ISERROR(1/VLOOKUP($R67,Capa!$A:$Z,BQ$5,0)),0,1/VLOOKUP($R67,Capa!$A:$Z,BQ$5,0))))</f>
        <v/>
      </c>
      <c r="BR68" s="125" t="str">
        <f>IF(BR$6="","",IF(BR$3="Maior",iferror(VLOOKUP($R67,Capa!$A:$Z,BR$5,0),0),IF(ISERROR(1/VLOOKUP($R67,Capa!$A:$Z,BR$5,0)),0,1/VLOOKUP($R67,Capa!$A:$Z,BR$5,0))))</f>
        <v/>
      </c>
      <c r="BS68" s="88"/>
    </row>
    <row r="69">
      <c r="G69" s="9"/>
      <c r="H69" s="7">
        <v>63.0</v>
      </c>
      <c r="I69" s="129" t="str">
        <f t="shared" si="7"/>
        <v>XPCM11</v>
      </c>
      <c r="J69" s="112" t="str">
        <f>VLOOKUP(I69,Capa!A:G,7,0)</f>
        <v>Lajes Comerciais</v>
      </c>
      <c r="K69" s="113">
        <f t="shared" si="8"/>
        <v>0.3326436782</v>
      </c>
      <c r="L69" s="113">
        <f t="shared" si="9"/>
        <v>0.1229803245</v>
      </c>
      <c r="M69" s="113" t="str">
        <f t="shared" si="10"/>
        <v/>
      </c>
      <c r="N69" s="113" t="str">
        <f t="shared" si="11"/>
        <v/>
      </c>
      <c r="O69" s="114">
        <f t="shared" si="12"/>
        <v>74223.38</v>
      </c>
      <c r="P69" s="9"/>
      <c r="Q69" s="9"/>
      <c r="R69" s="115" t="s">
        <v>168</v>
      </c>
      <c r="S69" s="116">
        <f t="shared" si="13"/>
        <v>1132.013101</v>
      </c>
      <c r="T69" s="117">
        <f>MID(VLOOKUP($R69,'Dados ClubeFII'!$A:$AU,23,0),3,100)/1</f>
        <v>22343.49</v>
      </c>
      <c r="U69" s="118">
        <f t="shared" si="14"/>
        <v>131.0131</v>
      </c>
      <c r="V69" s="118">
        <f t="shared" si="15"/>
        <v>1.000001</v>
      </c>
      <c r="W69" s="118" t="str">
        <f t="shared" ref="W69:AS69" si="78">IF(AV69="","", RANK(AV69,AV$7:AV$405,0))</f>
        <v/>
      </c>
      <c r="X69" s="118" t="str">
        <f t="shared" si="78"/>
        <v/>
      </c>
      <c r="Y69" s="118" t="str">
        <f t="shared" si="78"/>
        <v/>
      </c>
      <c r="Z69" s="118" t="str">
        <f t="shared" si="78"/>
        <v/>
      </c>
      <c r="AA69" s="118" t="str">
        <f t="shared" si="78"/>
        <v/>
      </c>
      <c r="AB69" s="118" t="str">
        <f t="shared" si="78"/>
        <v/>
      </c>
      <c r="AC69" s="118" t="str">
        <f t="shared" si="78"/>
        <v/>
      </c>
      <c r="AD69" s="118" t="str">
        <f t="shared" si="78"/>
        <v/>
      </c>
      <c r="AE69" s="118" t="str">
        <f t="shared" si="78"/>
        <v/>
      </c>
      <c r="AF69" s="118" t="str">
        <f t="shared" si="78"/>
        <v/>
      </c>
      <c r="AG69" s="118" t="str">
        <f t="shared" si="78"/>
        <v/>
      </c>
      <c r="AH69" s="118" t="str">
        <f t="shared" si="78"/>
        <v/>
      </c>
      <c r="AI69" s="118" t="str">
        <f t="shared" si="78"/>
        <v/>
      </c>
      <c r="AJ69" s="118" t="str">
        <f t="shared" si="78"/>
        <v/>
      </c>
      <c r="AK69" s="118" t="str">
        <f t="shared" si="78"/>
        <v/>
      </c>
      <c r="AL69" s="118" t="str">
        <f t="shared" si="78"/>
        <v/>
      </c>
      <c r="AM69" s="118" t="str">
        <f t="shared" si="78"/>
        <v/>
      </c>
      <c r="AN69" s="118" t="str">
        <f t="shared" si="78"/>
        <v/>
      </c>
      <c r="AO69" s="118" t="str">
        <f t="shared" si="78"/>
        <v/>
      </c>
      <c r="AP69" s="118" t="str">
        <f t="shared" si="78"/>
        <v/>
      </c>
      <c r="AQ69" s="118" t="str">
        <f t="shared" si="78"/>
        <v/>
      </c>
      <c r="AR69" s="118" t="str">
        <f t="shared" si="78"/>
        <v/>
      </c>
      <c r="AS69" s="118" t="str">
        <f t="shared" si="78"/>
        <v/>
      </c>
      <c r="AT69" s="123">
        <f>IF(AT$6="","",IF(AT$3="Maior",iferror(VLOOKUP($R69,Capa!$A:$Z,AT$5,0),0),IF(ISERROR(1/VLOOKUP($R69,Capa!$A:$Z,AT$5,0)),0,1/VLOOKUP($R69,Capa!$A:$Z,AT$5,0))))</f>
        <v>1.124210526</v>
      </c>
      <c r="AU69" s="124">
        <f>IF(AU$6="","",IF(AU$3="Maior",iferror(VLOOKUP($R69,Capa!$A:$Z,AU$5,0),0),IF(ISERROR(1/VLOOKUP($R69,Capa!$A:$Z,AU$5,0)),0,1/VLOOKUP($R69,Capa!$A:$Z,AU$5,0))))</f>
        <v>0.2220037453</v>
      </c>
      <c r="AV69" s="124" t="str">
        <f>IF(AV$6="","",IF(AV$3="Maior",iferror(VLOOKUP(#REF!,Capa!$A:$Z,AV$5,0),0),IF(ISERROR(1/VLOOKUP(#REF!,Capa!$A:$Z,AV$5,0)),0,1/VLOOKUP(#REF!,Capa!$A:$Z,AV$5,0))))</f>
        <v/>
      </c>
      <c r="AW69" s="124" t="str">
        <f>IF(AW$6="","",IF(AW$3="Maior",iferror(VLOOKUP(#REF!,Capa!$A:$Z,AW$5,0),0),IF(ISERROR(1/VLOOKUP(#REF!,Capa!$A:$Z,AW$5,0)),0,1/VLOOKUP(#REF!,Capa!$A:$Z,AW$5,0))))</f>
        <v/>
      </c>
      <c r="AX69" s="124" t="str">
        <f>IF(AX$6="","",IF(AX$3="Maior",iferror(VLOOKUP(#REF!,Capa!$A:$Z,AX$5,0),0),IF(ISERROR(1/VLOOKUP(#REF!,Capa!$A:$Z,AX$5,0)),0,1/VLOOKUP(#REF!,Capa!$A:$Z,AX$5,0))))</f>
        <v/>
      </c>
      <c r="AY69" s="124" t="str">
        <f>IF(AY$6="","",IF(AY$3="Maior",iferror(VLOOKUP(#REF!,Capa!$A:$Z,AY$5,0),0),IF(ISERROR(1/VLOOKUP(#REF!,Capa!$A:$Z,AY$5,0)),0,1/VLOOKUP(#REF!,Capa!$A:$Z,AY$5,0))))</f>
        <v/>
      </c>
      <c r="AZ69" s="124" t="str">
        <f>IF(AZ$6="","",IF(AZ$3="Maior",iferror(VLOOKUP(#REF!,Capa!$A:$Z,AZ$5,0),0),IF(ISERROR(1/VLOOKUP(#REF!,Capa!$A:$Z,AZ$5,0)),0,1/VLOOKUP(#REF!,Capa!$A:$Z,AZ$5,0))))</f>
        <v/>
      </c>
      <c r="BA69" s="124" t="str">
        <f>IF(BA$6="","",IF(BA$3="Maior",iferror(VLOOKUP(#REF!,Capa!$A:$Z,BA$5,0),0),IF(ISERROR(1/VLOOKUP(#REF!,Capa!$A:$Z,BA$5,0)),0,1/VLOOKUP(#REF!,Capa!$A:$Z,BA$5,0))))</f>
        <v/>
      </c>
      <c r="BB69" s="124" t="str">
        <f>IF(BB$6="","",IF(BB$3="Maior",iferror(VLOOKUP(#REF!,Capa!$A:$Z,BB$5,0),0),IF(ISERROR(1/VLOOKUP(#REF!,Capa!$A:$Z,BB$5,0)),0,1/VLOOKUP(#REF!,Capa!$A:$Z,BB$5,0))))</f>
        <v/>
      </c>
      <c r="BC69" s="124" t="str">
        <f>IF(BC$6="","",IF(BC$3="Maior",iferror(VLOOKUP(#REF!,Capa!$A:$Z,BC$5,0),0),IF(ISERROR(1/VLOOKUP(#REF!,Capa!$A:$Z,BC$5,0)),0,1/VLOOKUP(#REF!,Capa!$A:$Z,BC$5,0))))</f>
        <v/>
      </c>
      <c r="BD69" s="124" t="str">
        <f>IF(BD$6="","",IF(BD$3="Maior",iferror(VLOOKUP(#REF!,Capa!$A:$Z,BD$5,0),0),IF(ISERROR(1/VLOOKUP(#REF!,Capa!$A:$Z,BD$5,0)),0,1/VLOOKUP(#REF!,Capa!$A:$Z,BD$5,0))))</f>
        <v/>
      </c>
      <c r="BE69" s="124" t="str">
        <f>IF(BE$6="","",IF(BE$3="Maior",iferror(VLOOKUP(#REF!,Capa!$A:$Z,BE$5,0),0),IF(ISERROR(1/VLOOKUP(#REF!,Capa!$A:$Z,BE$5,0)),0,1/VLOOKUP(#REF!,Capa!$A:$Z,BE$5,0))))</f>
        <v/>
      </c>
      <c r="BF69" s="124" t="str">
        <f>IF(BF$6="","",IF(BF$3="Maior",iferror(VLOOKUP(#REF!,Capa!$A:$Z,BF$5,0),0),IF(ISERROR(1/VLOOKUP(#REF!,Capa!$A:$Z,BF$5,0)),0,1/VLOOKUP(#REF!,Capa!$A:$Z,BF$5,0))))</f>
        <v/>
      </c>
      <c r="BG69" s="124" t="str">
        <f>IF(BG$6="","",IF(BG$3="Maior",iferror(VLOOKUP(#REF!,Capa!$A:$Z,BG$5,0),0),IF(ISERROR(1/VLOOKUP(#REF!,Capa!$A:$Z,BG$5,0)),0,1/VLOOKUP(#REF!,Capa!$A:$Z,BG$5,0))))</f>
        <v/>
      </c>
      <c r="BH69" s="124" t="str">
        <f>IF(BH$6="","",IF(BH$3="Maior",iferror(VLOOKUP(#REF!,Capa!$A:$Z,BH$5,0),0),IF(ISERROR(1/VLOOKUP(#REF!,Capa!$A:$Z,BH$5,0)),0,1/VLOOKUP(#REF!,Capa!$A:$Z,BH$5,0))))</f>
        <v/>
      </c>
      <c r="BI69" s="124" t="str">
        <f>IF(BI$6="","",IF(BI$3="Maior",iferror(VLOOKUP(#REF!,Capa!$A:$Z,BI$5,0),0),IF(ISERROR(1/VLOOKUP(#REF!,Capa!$A:$Z,BI$5,0)),0,1/VLOOKUP(#REF!,Capa!$A:$Z,BI$5,0))))</f>
        <v/>
      </c>
      <c r="BJ69" s="124" t="str">
        <f>IF(BJ$6="","",IF(BJ$3="Maior",iferror(VLOOKUP(#REF!,Capa!$A:$Z,BJ$5,0),0),IF(ISERROR(1/VLOOKUP(#REF!,Capa!$A:$Z,BJ$5,0)),0,1/VLOOKUP(#REF!,Capa!$A:$Z,BJ$5,0))))</f>
        <v/>
      </c>
      <c r="BK69" s="124" t="str">
        <f>IF(BK$6="","",IF(BK$3="Maior",iferror(VLOOKUP(#REF!,Capa!$A:$Z,BK$5,0),0),IF(ISERROR(1/VLOOKUP(#REF!,Capa!$A:$Z,BK$5,0)),0,1/VLOOKUP(#REF!,Capa!$A:$Z,BK$5,0))))</f>
        <v/>
      </c>
      <c r="BL69" s="124" t="str">
        <f>IF(BL$6="","",IF(BL$3="Maior",iferror(VLOOKUP(#REF!,Capa!$A:$Z,BL$5,0),0),IF(ISERROR(1/VLOOKUP(#REF!,Capa!$A:$Z,BL$5,0)),0,1/VLOOKUP(#REF!,Capa!$A:$Z,BL$5,0))))</f>
        <v/>
      </c>
      <c r="BM69" s="124" t="str">
        <f>IF(BM$6="","",IF(BM$3="Maior",iferror(VLOOKUP(#REF!,Capa!$A:$Z,BM$5,0),0),IF(ISERROR(1/VLOOKUP(#REF!,Capa!$A:$Z,BM$5,0)),0,1/VLOOKUP(#REF!,Capa!$A:$Z,BM$5,0))))</f>
        <v/>
      </c>
      <c r="BN69" s="124" t="str">
        <f>IF(BN$6="","",IF(BN$3="Maior",iferror(VLOOKUP(#REF!,Capa!$A:$Z,BN$5,0),0),IF(ISERROR(1/VLOOKUP(#REF!,Capa!$A:$Z,BN$5,0)),0,1/VLOOKUP(#REF!,Capa!$A:$Z,BN$5,0))))</f>
        <v/>
      </c>
      <c r="BO69" s="124" t="str">
        <f>IF(BO$6="","",IF(BO$3="Maior",iferror(VLOOKUP(#REF!,Capa!$A:$Z,BO$5,0),0),IF(ISERROR(1/VLOOKUP(#REF!,Capa!$A:$Z,BO$5,0)),0,1/VLOOKUP(#REF!,Capa!$A:$Z,BO$5,0))))</f>
        <v/>
      </c>
      <c r="BP69" s="124" t="str">
        <f>IF(BP$6="","",IF(BP$3="Maior",iferror(VLOOKUP(#REF!,Capa!$A:$Z,BP$5,0),0),IF(ISERROR(1/VLOOKUP(#REF!,Capa!$A:$Z,BP$5,0)),0,1/VLOOKUP(#REF!,Capa!$A:$Z,BP$5,0))))</f>
        <v/>
      </c>
      <c r="BQ69" s="124" t="str">
        <f>IF(BQ$6="","",IF(BQ$3="Maior",iferror(VLOOKUP(#REF!,Capa!$A:$Z,BQ$5,0),0),IF(ISERROR(1/VLOOKUP(#REF!,Capa!$A:$Z,BQ$5,0)),0,1/VLOOKUP(#REF!,Capa!$A:$Z,BQ$5,0))))</f>
        <v/>
      </c>
      <c r="BR69" s="125" t="str">
        <f>IF(BR$6="","",IF(BR$3="Maior",iferror(VLOOKUP(#REF!,Capa!$A:$Z,BR$5,0),0),IF(ISERROR(1/VLOOKUP(#REF!,Capa!$A:$Z,BR$5,0)),0,1/VLOOKUP(#REF!,Capa!$A:$Z,BR$5,0))))</f>
        <v/>
      </c>
      <c r="BS69" s="88"/>
    </row>
    <row r="70">
      <c r="G70" s="9"/>
      <c r="H70" s="7">
        <v>64.0</v>
      </c>
      <c r="I70" s="111" t="str">
        <f t="shared" si="7"/>
        <v>VSLH11</v>
      </c>
      <c r="J70" s="112" t="str">
        <f>VLOOKUP(I70,Capa!A:G,7,0)</f>
        <v>Recebíveis Imobiliários</v>
      </c>
      <c r="K70" s="113">
        <f t="shared" si="8"/>
        <v>0.6883204134</v>
      </c>
      <c r="L70" s="113">
        <f t="shared" si="9"/>
        <v>0.1472643411</v>
      </c>
      <c r="M70" s="113" t="str">
        <f t="shared" si="10"/>
        <v/>
      </c>
      <c r="N70" s="113" t="str">
        <f t="shared" si="11"/>
        <v/>
      </c>
      <c r="O70" s="114">
        <f t="shared" si="12"/>
        <v>915725.76</v>
      </c>
      <c r="P70" s="9"/>
      <c r="Q70" s="9"/>
      <c r="R70" s="115" t="s">
        <v>73</v>
      </c>
      <c r="S70" s="116">
        <f t="shared" si="13"/>
        <v>1110.004169</v>
      </c>
      <c r="T70" s="117">
        <f>MID(VLOOKUP($R70,'Dados ClubeFII'!$A:$AU,23,0),3,100)/1</f>
        <v>47163</v>
      </c>
      <c r="U70" s="118">
        <f t="shared" si="14"/>
        <v>41.0041</v>
      </c>
      <c r="V70" s="118">
        <f t="shared" si="15"/>
        <v>69.000069</v>
      </c>
      <c r="W70" s="118" t="str">
        <f t="shared" ref="W70:AS70" si="79">IF(AV70="","", RANK(AV70,AV$7:AV$405,0))</f>
        <v/>
      </c>
      <c r="X70" s="118" t="str">
        <f t="shared" si="79"/>
        <v/>
      </c>
      <c r="Y70" s="118" t="str">
        <f t="shared" si="79"/>
        <v/>
      </c>
      <c r="Z70" s="118" t="str">
        <f t="shared" si="79"/>
        <v/>
      </c>
      <c r="AA70" s="118" t="str">
        <f t="shared" si="79"/>
        <v/>
      </c>
      <c r="AB70" s="118" t="str">
        <f t="shared" si="79"/>
        <v/>
      </c>
      <c r="AC70" s="118" t="str">
        <f t="shared" si="79"/>
        <v/>
      </c>
      <c r="AD70" s="118" t="str">
        <f t="shared" si="79"/>
        <v/>
      </c>
      <c r="AE70" s="118" t="str">
        <f t="shared" si="79"/>
        <v/>
      </c>
      <c r="AF70" s="118" t="str">
        <f t="shared" si="79"/>
        <v/>
      </c>
      <c r="AG70" s="118" t="str">
        <f t="shared" si="79"/>
        <v/>
      </c>
      <c r="AH70" s="118" t="str">
        <f t="shared" si="79"/>
        <v/>
      </c>
      <c r="AI70" s="118" t="str">
        <f t="shared" si="79"/>
        <v/>
      </c>
      <c r="AJ70" s="118" t="str">
        <f t="shared" si="79"/>
        <v/>
      </c>
      <c r="AK70" s="118" t="str">
        <f t="shared" si="79"/>
        <v/>
      </c>
      <c r="AL70" s="118" t="str">
        <f t="shared" si="79"/>
        <v/>
      </c>
      <c r="AM70" s="118" t="str">
        <f t="shared" si="79"/>
        <v/>
      </c>
      <c r="AN70" s="118" t="str">
        <f t="shared" si="79"/>
        <v/>
      </c>
      <c r="AO70" s="118" t="str">
        <f t="shared" si="79"/>
        <v/>
      </c>
      <c r="AP70" s="118" t="str">
        <f t="shared" si="79"/>
        <v/>
      </c>
      <c r="AQ70" s="118" t="str">
        <f t="shared" si="79"/>
        <v/>
      </c>
      <c r="AR70" s="118" t="str">
        <f t="shared" si="79"/>
        <v/>
      </c>
      <c r="AS70" s="118" t="str">
        <f t="shared" si="79"/>
        <v/>
      </c>
      <c r="AT70" s="123">
        <f>IF(AT$6="","",IF(AT$3="Maior",iferror(VLOOKUP($R70,Capa!$A:$Z,AT$5,0),0),IF(ISERROR(1/VLOOKUP($R70,Capa!$A:$Z,AT$5,0)),0,1/VLOOKUP($R70,Capa!$A:$Z,AT$5,0))))</f>
        <v>1.492537313</v>
      </c>
      <c r="AU70" s="124">
        <f>IF(AU$6="","",IF(AU$3="Maior",iferror(VLOOKUP($R70,Capa!$A:$Z,AU$5,0),0),IF(ISERROR(1/VLOOKUP($R70,Capa!$A:$Z,AU$5,0)),0,1/VLOOKUP($R70,Capa!$A:$Z,AU$5,0))))</f>
        <v>0.1251</v>
      </c>
      <c r="AV70" s="124" t="str">
        <f>IF(AV$6="","",IF(AV$3="Maior",iferror(VLOOKUP($R69,Capa!$A:$Z,AV$5,0),0),IF(ISERROR(1/VLOOKUP($R69,Capa!$A:$Z,AV$5,0)),0,1/VLOOKUP($R69,Capa!$A:$Z,AV$5,0))))</f>
        <v/>
      </c>
      <c r="AW70" s="124" t="str">
        <f>IF(AW$6="","",IF(AW$3="Maior",iferror(VLOOKUP($R69,Capa!$A:$Z,AW$5,0),0),IF(ISERROR(1/VLOOKUP($R69,Capa!$A:$Z,AW$5,0)),0,1/VLOOKUP($R69,Capa!$A:$Z,AW$5,0))))</f>
        <v/>
      </c>
      <c r="AX70" s="124" t="str">
        <f>IF(AX$6="","",IF(AX$3="Maior",iferror(VLOOKUP($R69,Capa!$A:$Z,AX$5,0),0),IF(ISERROR(1/VLOOKUP($R69,Capa!$A:$Z,AX$5,0)),0,1/VLOOKUP($R69,Capa!$A:$Z,AX$5,0))))</f>
        <v/>
      </c>
      <c r="AY70" s="124" t="str">
        <f>IF(AY$6="","",IF(AY$3="Maior",iferror(VLOOKUP($R69,Capa!$A:$Z,AY$5,0),0),IF(ISERROR(1/VLOOKUP($R69,Capa!$A:$Z,AY$5,0)),0,1/VLOOKUP($R69,Capa!$A:$Z,AY$5,0))))</f>
        <v/>
      </c>
      <c r="AZ70" s="124" t="str">
        <f>IF(AZ$6="","",IF(AZ$3="Maior",iferror(VLOOKUP($R69,Capa!$A:$Z,AZ$5,0),0),IF(ISERROR(1/VLOOKUP($R69,Capa!$A:$Z,AZ$5,0)),0,1/VLOOKUP($R69,Capa!$A:$Z,AZ$5,0))))</f>
        <v/>
      </c>
      <c r="BA70" s="124" t="str">
        <f>IF(BA$6="","",IF(BA$3="Maior",iferror(VLOOKUP($R69,Capa!$A:$Z,BA$5,0),0),IF(ISERROR(1/VLOOKUP($R69,Capa!$A:$Z,BA$5,0)),0,1/VLOOKUP($R69,Capa!$A:$Z,BA$5,0))))</f>
        <v/>
      </c>
      <c r="BB70" s="124" t="str">
        <f>IF(BB$6="","",IF(BB$3="Maior",iferror(VLOOKUP($R69,Capa!$A:$Z,BB$5,0),0),IF(ISERROR(1/VLOOKUP($R69,Capa!$A:$Z,BB$5,0)),0,1/VLOOKUP($R69,Capa!$A:$Z,BB$5,0))))</f>
        <v/>
      </c>
      <c r="BC70" s="124" t="str">
        <f>IF(BC$6="","",IF(BC$3="Maior",iferror(VLOOKUP($R69,Capa!$A:$Z,BC$5,0),0),IF(ISERROR(1/VLOOKUP($R69,Capa!$A:$Z,BC$5,0)),0,1/VLOOKUP($R69,Capa!$A:$Z,BC$5,0))))</f>
        <v/>
      </c>
      <c r="BD70" s="124" t="str">
        <f>IF(BD$6="","",IF(BD$3="Maior",iferror(VLOOKUP($R69,Capa!$A:$Z,BD$5,0),0),IF(ISERROR(1/VLOOKUP($R69,Capa!$A:$Z,BD$5,0)),0,1/VLOOKUP($R69,Capa!$A:$Z,BD$5,0))))</f>
        <v/>
      </c>
      <c r="BE70" s="124" t="str">
        <f>IF(BE$6="","",IF(BE$3="Maior",iferror(VLOOKUP($R69,Capa!$A:$Z,BE$5,0),0),IF(ISERROR(1/VLOOKUP($R69,Capa!$A:$Z,BE$5,0)),0,1/VLOOKUP($R69,Capa!$A:$Z,BE$5,0))))</f>
        <v/>
      </c>
      <c r="BF70" s="124" t="str">
        <f>IF(BF$6="","",IF(BF$3="Maior",iferror(VLOOKUP($R69,Capa!$A:$Z,BF$5,0),0),IF(ISERROR(1/VLOOKUP($R69,Capa!$A:$Z,BF$5,0)),0,1/VLOOKUP($R69,Capa!$A:$Z,BF$5,0))))</f>
        <v/>
      </c>
      <c r="BG70" s="124" t="str">
        <f>IF(BG$6="","",IF(BG$3="Maior",iferror(VLOOKUP($R69,Capa!$A:$Z,BG$5,0),0),IF(ISERROR(1/VLOOKUP($R69,Capa!$A:$Z,BG$5,0)),0,1/VLOOKUP($R69,Capa!$A:$Z,BG$5,0))))</f>
        <v/>
      </c>
      <c r="BH70" s="124" t="str">
        <f>IF(BH$6="","",IF(BH$3="Maior",iferror(VLOOKUP($R69,Capa!$A:$Z,BH$5,0),0),IF(ISERROR(1/VLOOKUP($R69,Capa!$A:$Z,BH$5,0)),0,1/VLOOKUP($R69,Capa!$A:$Z,BH$5,0))))</f>
        <v/>
      </c>
      <c r="BI70" s="124" t="str">
        <f>IF(BI$6="","",IF(BI$3="Maior",iferror(VLOOKUP($R69,Capa!$A:$Z,BI$5,0),0),IF(ISERROR(1/VLOOKUP($R69,Capa!$A:$Z,BI$5,0)),0,1/VLOOKUP($R69,Capa!$A:$Z,BI$5,0))))</f>
        <v/>
      </c>
      <c r="BJ70" s="124" t="str">
        <f>IF(BJ$6="","",IF(BJ$3="Maior",iferror(VLOOKUP($R69,Capa!$A:$Z,BJ$5,0),0),IF(ISERROR(1/VLOOKUP($R69,Capa!$A:$Z,BJ$5,0)),0,1/VLOOKUP($R69,Capa!$A:$Z,BJ$5,0))))</f>
        <v/>
      </c>
      <c r="BK70" s="124" t="str">
        <f>IF(BK$6="","",IF(BK$3="Maior",iferror(VLOOKUP($R69,Capa!$A:$Z,BK$5,0),0),IF(ISERROR(1/VLOOKUP($R69,Capa!$A:$Z,BK$5,0)),0,1/VLOOKUP($R69,Capa!$A:$Z,BK$5,0))))</f>
        <v/>
      </c>
      <c r="BL70" s="124" t="str">
        <f>IF(BL$6="","",IF(BL$3="Maior",iferror(VLOOKUP($R69,Capa!$A:$Z,BL$5,0),0),IF(ISERROR(1/VLOOKUP($R69,Capa!$A:$Z,BL$5,0)),0,1/VLOOKUP($R69,Capa!$A:$Z,BL$5,0))))</f>
        <v/>
      </c>
      <c r="BM70" s="124" t="str">
        <f>IF(BM$6="","",IF(BM$3="Maior",iferror(VLOOKUP($R69,Capa!$A:$Z,BM$5,0),0),IF(ISERROR(1/VLOOKUP($R69,Capa!$A:$Z,BM$5,0)),0,1/VLOOKUP($R69,Capa!$A:$Z,BM$5,0))))</f>
        <v/>
      </c>
      <c r="BN70" s="124" t="str">
        <f>IF(BN$6="","",IF(BN$3="Maior",iferror(VLOOKUP($R69,Capa!$A:$Z,BN$5,0),0),IF(ISERROR(1/VLOOKUP($R69,Capa!$A:$Z,BN$5,0)),0,1/VLOOKUP($R69,Capa!$A:$Z,BN$5,0))))</f>
        <v/>
      </c>
      <c r="BO70" s="124" t="str">
        <f>IF(BO$6="","",IF(BO$3="Maior",iferror(VLOOKUP($R69,Capa!$A:$Z,BO$5,0),0),IF(ISERROR(1/VLOOKUP($R69,Capa!$A:$Z,BO$5,0)),0,1/VLOOKUP($R69,Capa!$A:$Z,BO$5,0))))</f>
        <v/>
      </c>
      <c r="BP70" s="124" t="str">
        <f>IF(BP$6="","",IF(BP$3="Maior",iferror(VLOOKUP($R69,Capa!$A:$Z,BP$5,0),0),IF(ISERROR(1/VLOOKUP($R69,Capa!$A:$Z,BP$5,0)),0,1/VLOOKUP($R69,Capa!$A:$Z,BP$5,0))))</f>
        <v/>
      </c>
      <c r="BQ70" s="124" t="str">
        <f>IF(BQ$6="","",IF(BQ$3="Maior",iferror(VLOOKUP($R69,Capa!$A:$Z,BQ$5,0),0),IF(ISERROR(1/VLOOKUP($R69,Capa!$A:$Z,BQ$5,0)),0,1/VLOOKUP($R69,Capa!$A:$Z,BQ$5,0))))</f>
        <v/>
      </c>
      <c r="BR70" s="125" t="str">
        <f>IF(BR$6="","",IF(BR$3="Maior",iferror(VLOOKUP($R69,Capa!$A:$Z,BR$5,0),0),IF(ISERROR(1/VLOOKUP($R69,Capa!$A:$Z,BR$5,0)),0,1/VLOOKUP($R69,Capa!$A:$Z,BR$5,0))))</f>
        <v/>
      </c>
      <c r="BS70" s="88"/>
    </row>
    <row r="71">
      <c r="G71" s="9"/>
      <c r="H71" s="7">
        <v>65.0</v>
      </c>
      <c r="I71" s="111" t="str">
        <f t="shared" si="7"/>
        <v>OURE11</v>
      </c>
      <c r="J71" s="112" t="str">
        <f>VLOOKUP(I71,Capa!A:G,7,0)</f>
        <v>Híbrido</v>
      </c>
      <c r="K71" s="113">
        <f t="shared" si="8"/>
        <v>0.793442623</v>
      </c>
      <c r="L71" s="113">
        <f t="shared" si="9"/>
        <v>0.169102459</v>
      </c>
      <c r="M71" s="113" t="str">
        <f t="shared" si="10"/>
        <v/>
      </c>
      <c r="N71" s="113" t="str">
        <f t="shared" si="11"/>
        <v/>
      </c>
      <c r="O71" s="114">
        <f t="shared" si="12"/>
        <v>123197.37</v>
      </c>
      <c r="P71" s="9"/>
      <c r="Q71" s="9"/>
      <c r="R71" s="115" t="s">
        <v>100</v>
      </c>
      <c r="S71" s="116">
        <f t="shared" si="13"/>
        <v>285.016818</v>
      </c>
      <c r="T71" s="117">
        <f>MID(VLOOKUP($R71,'Dados ClubeFII'!$A:$AU,23,0),3,100)/1</f>
        <v>2728302.31</v>
      </c>
      <c r="U71" s="118">
        <f t="shared" si="14"/>
        <v>167.0167</v>
      </c>
      <c r="V71" s="118">
        <f t="shared" si="15"/>
        <v>118.000118</v>
      </c>
      <c r="W71" s="118" t="str">
        <f t="shared" ref="W71:AS71" si="80">IF(AV71="","", RANK(AV71,AV$7:AV$405,0))</f>
        <v/>
      </c>
      <c r="X71" s="118" t="str">
        <f t="shared" si="80"/>
        <v/>
      </c>
      <c r="Y71" s="118" t="str">
        <f t="shared" si="80"/>
        <v/>
      </c>
      <c r="Z71" s="118" t="str">
        <f t="shared" si="80"/>
        <v/>
      </c>
      <c r="AA71" s="118" t="str">
        <f t="shared" si="80"/>
        <v/>
      </c>
      <c r="AB71" s="118" t="str">
        <f t="shared" si="80"/>
        <v/>
      </c>
      <c r="AC71" s="118" t="str">
        <f t="shared" si="80"/>
        <v/>
      </c>
      <c r="AD71" s="118" t="str">
        <f t="shared" si="80"/>
        <v/>
      </c>
      <c r="AE71" s="118" t="str">
        <f t="shared" si="80"/>
        <v/>
      </c>
      <c r="AF71" s="118" t="str">
        <f t="shared" si="80"/>
        <v/>
      </c>
      <c r="AG71" s="118" t="str">
        <f t="shared" si="80"/>
        <v/>
      </c>
      <c r="AH71" s="118" t="str">
        <f t="shared" si="80"/>
        <v/>
      </c>
      <c r="AI71" s="118" t="str">
        <f t="shared" si="80"/>
        <v/>
      </c>
      <c r="AJ71" s="118" t="str">
        <f t="shared" si="80"/>
        <v/>
      </c>
      <c r="AK71" s="118" t="str">
        <f t="shared" si="80"/>
        <v/>
      </c>
      <c r="AL71" s="118" t="str">
        <f t="shared" si="80"/>
        <v/>
      </c>
      <c r="AM71" s="118" t="str">
        <f t="shared" si="80"/>
        <v/>
      </c>
      <c r="AN71" s="118" t="str">
        <f t="shared" si="80"/>
        <v/>
      </c>
      <c r="AO71" s="118" t="str">
        <f t="shared" si="80"/>
        <v/>
      </c>
      <c r="AP71" s="118" t="str">
        <f t="shared" si="80"/>
        <v/>
      </c>
      <c r="AQ71" s="118" t="str">
        <f t="shared" si="80"/>
        <v/>
      </c>
      <c r="AR71" s="118" t="str">
        <f t="shared" si="80"/>
        <v/>
      </c>
      <c r="AS71" s="118" t="str">
        <f t="shared" si="80"/>
        <v/>
      </c>
      <c r="AT71" s="123">
        <f>IF(AT$6="","",IF(AT$3="Maior",iferror(VLOOKUP($R71,Capa!$A:$Z,AT$5,0),0),IF(ISERROR(1/VLOOKUP($R71,Capa!$A:$Z,AT$5,0)),0,1/VLOOKUP($R71,Capa!$A:$Z,AT$5,0))))</f>
        <v>1.018727326</v>
      </c>
      <c r="AU71" s="124">
        <f>IF(AU$6="","",IF(AU$3="Maior",iferror(VLOOKUP($R71,Capa!$A:$Z,AU$5,0),0),IF(ISERROR(1/VLOOKUP($R71,Capa!$A:$Z,AU$5,0)),0,1/VLOOKUP($R71,Capa!$A:$Z,AU$5,0))))</f>
        <v>0.1000267661</v>
      </c>
      <c r="AV71" s="124" t="str">
        <f>IF(AV$6="","",IF(AV$3="Maior",iferror(VLOOKUP(#REF!,Capa!$A:$Z,AV$5,0),0),IF(ISERROR(1/VLOOKUP(#REF!,Capa!$A:$Z,AV$5,0)),0,1/VLOOKUP(#REF!,Capa!$A:$Z,AV$5,0))))</f>
        <v/>
      </c>
      <c r="AW71" s="124" t="str">
        <f>IF(AW$6="","",IF(AW$3="Maior",iferror(VLOOKUP(#REF!,Capa!$A:$Z,AW$5,0),0),IF(ISERROR(1/VLOOKUP(#REF!,Capa!$A:$Z,AW$5,0)),0,1/VLOOKUP(#REF!,Capa!$A:$Z,AW$5,0))))</f>
        <v/>
      </c>
      <c r="AX71" s="124" t="str">
        <f>IF(AX$6="","",IF(AX$3="Maior",iferror(VLOOKUP(#REF!,Capa!$A:$Z,AX$5,0),0),IF(ISERROR(1/VLOOKUP(#REF!,Capa!$A:$Z,AX$5,0)),0,1/VLOOKUP(#REF!,Capa!$A:$Z,AX$5,0))))</f>
        <v/>
      </c>
      <c r="AY71" s="124" t="str">
        <f>IF(AY$6="","",IF(AY$3="Maior",iferror(VLOOKUP(#REF!,Capa!$A:$Z,AY$5,0),0),IF(ISERROR(1/VLOOKUP(#REF!,Capa!$A:$Z,AY$5,0)),0,1/VLOOKUP(#REF!,Capa!$A:$Z,AY$5,0))))</f>
        <v/>
      </c>
      <c r="AZ71" s="124" t="str">
        <f>IF(AZ$6="","",IF(AZ$3="Maior",iferror(VLOOKUP(#REF!,Capa!$A:$Z,AZ$5,0),0),IF(ISERROR(1/VLOOKUP(#REF!,Capa!$A:$Z,AZ$5,0)),0,1/VLOOKUP(#REF!,Capa!$A:$Z,AZ$5,0))))</f>
        <v/>
      </c>
      <c r="BA71" s="124" t="str">
        <f>IF(BA$6="","",IF(BA$3="Maior",iferror(VLOOKUP(#REF!,Capa!$A:$Z,BA$5,0),0),IF(ISERROR(1/VLOOKUP(#REF!,Capa!$A:$Z,BA$5,0)),0,1/VLOOKUP(#REF!,Capa!$A:$Z,BA$5,0))))</f>
        <v/>
      </c>
      <c r="BB71" s="124" t="str">
        <f>IF(BB$6="","",IF(BB$3="Maior",iferror(VLOOKUP(#REF!,Capa!$A:$Z,BB$5,0),0),IF(ISERROR(1/VLOOKUP(#REF!,Capa!$A:$Z,BB$5,0)),0,1/VLOOKUP(#REF!,Capa!$A:$Z,BB$5,0))))</f>
        <v/>
      </c>
      <c r="BC71" s="124" t="str">
        <f>IF(BC$6="","",IF(BC$3="Maior",iferror(VLOOKUP(#REF!,Capa!$A:$Z,BC$5,0),0),IF(ISERROR(1/VLOOKUP(#REF!,Capa!$A:$Z,BC$5,0)),0,1/VLOOKUP(#REF!,Capa!$A:$Z,BC$5,0))))</f>
        <v/>
      </c>
      <c r="BD71" s="124" t="str">
        <f>IF(BD$6="","",IF(BD$3="Maior",iferror(VLOOKUP(#REF!,Capa!$A:$Z,BD$5,0),0),IF(ISERROR(1/VLOOKUP(#REF!,Capa!$A:$Z,BD$5,0)),0,1/VLOOKUP(#REF!,Capa!$A:$Z,BD$5,0))))</f>
        <v/>
      </c>
      <c r="BE71" s="124" t="str">
        <f>IF(BE$6="","",IF(BE$3="Maior",iferror(VLOOKUP(#REF!,Capa!$A:$Z,BE$5,0),0),IF(ISERROR(1/VLOOKUP(#REF!,Capa!$A:$Z,BE$5,0)),0,1/VLOOKUP(#REF!,Capa!$A:$Z,BE$5,0))))</f>
        <v/>
      </c>
      <c r="BF71" s="124" t="str">
        <f>IF(BF$6="","",IF(BF$3="Maior",iferror(VLOOKUP(#REF!,Capa!$A:$Z,BF$5,0),0),IF(ISERROR(1/VLOOKUP(#REF!,Capa!$A:$Z,BF$5,0)),0,1/VLOOKUP(#REF!,Capa!$A:$Z,BF$5,0))))</f>
        <v/>
      </c>
      <c r="BG71" s="124" t="str">
        <f>IF(BG$6="","",IF(BG$3="Maior",iferror(VLOOKUP(#REF!,Capa!$A:$Z,BG$5,0),0),IF(ISERROR(1/VLOOKUP(#REF!,Capa!$A:$Z,BG$5,0)),0,1/VLOOKUP(#REF!,Capa!$A:$Z,BG$5,0))))</f>
        <v/>
      </c>
      <c r="BH71" s="124" t="str">
        <f>IF(BH$6="","",IF(BH$3="Maior",iferror(VLOOKUP(#REF!,Capa!$A:$Z,BH$5,0),0),IF(ISERROR(1/VLOOKUP(#REF!,Capa!$A:$Z,BH$5,0)),0,1/VLOOKUP(#REF!,Capa!$A:$Z,BH$5,0))))</f>
        <v/>
      </c>
      <c r="BI71" s="124" t="str">
        <f>IF(BI$6="","",IF(BI$3="Maior",iferror(VLOOKUP(#REF!,Capa!$A:$Z,BI$5,0),0),IF(ISERROR(1/VLOOKUP(#REF!,Capa!$A:$Z,BI$5,0)),0,1/VLOOKUP(#REF!,Capa!$A:$Z,BI$5,0))))</f>
        <v/>
      </c>
      <c r="BJ71" s="124" t="str">
        <f>IF(BJ$6="","",IF(BJ$3="Maior",iferror(VLOOKUP(#REF!,Capa!$A:$Z,BJ$5,0),0),IF(ISERROR(1/VLOOKUP(#REF!,Capa!$A:$Z,BJ$5,0)),0,1/VLOOKUP(#REF!,Capa!$A:$Z,BJ$5,0))))</f>
        <v/>
      </c>
      <c r="BK71" s="124" t="str">
        <f>IF(BK$6="","",IF(BK$3="Maior",iferror(VLOOKUP(#REF!,Capa!$A:$Z,BK$5,0),0),IF(ISERROR(1/VLOOKUP(#REF!,Capa!$A:$Z,BK$5,0)),0,1/VLOOKUP(#REF!,Capa!$A:$Z,BK$5,0))))</f>
        <v/>
      </c>
      <c r="BL71" s="124" t="str">
        <f>IF(BL$6="","",IF(BL$3="Maior",iferror(VLOOKUP(#REF!,Capa!$A:$Z,BL$5,0),0),IF(ISERROR(1/VLOOKUP(#REF!,Capa!$A:$Z,BL$5,0)),0,1/VLOOKUP(#REF!,Capa!$A:$Z,BL$5,0))))</f>
        <v/>
      </c>
      <c r="BM71" s="124" t="str">
        <f>IF(BM$6="","",IF(BM$3="Maior",iferror(VLOOKUP(#REF!,Capa!$A:$Z,BM$5,0),0),IF(ISERROR(1/VLOOKUP(#REF!,Capa!$A:$Z,BM$5,0)),0,1/VLOOKUP(#REF!,Capa!$A:$Z,BM$5,0))))</f>
        <v/>
      </c>
      <c r="BN71" s="124" t="str">
        <f>IF(BN$6="","",IF(BN$3="Maior",iferror(VLOOKUP(#REF!,Capa!$A:$Z,BN$5,0),0),IF(ISERROR(1/VLOOKUP(#REF!,Capa!$A:$Z,BN$5,0)),0,1/VLOOKUP(#REF!,Capa!$A:$Z,BN$5,0))))</f>
        <v/>
      </c>
      <c r="BO71" s="124" t="str">
        <f>IF(BO$6="","",IF(BO$3="Maior",iferror(VLOOKUP(#REF!,Capa!$A:$Z,BO$5,0),0),IF(ISERROR(1/VLOOKUP(#REF!,Capa!$A:$Z,BO$5,0)),0,1/VLOOKUP(#REF!,Capa!$A:$Z,BO$5,0))))</f>
        <v/>
      </c>
      <c r="BP71" s="124" t="str">
        <f>IF(BP$6="","",IF(BP$3="Maior",iferror(VLOOKUP(#REF!,Capa!$A:$Z,BP$5,0),0),IF(ISERROR(1/VLOOKUP(#REF!,Capa!$A:$Z,BP$5,0)),0,1/VLOOKUP(#REF!,Capa!$A:$Z,BP$5,0))))</f>
        <v/>
      </c>
      <c r="BQ71" s="124" t="str">
        <f>IF(BQ$6="","",IF(BQ$3="Maior",iferror(VLOOKUP(#REF!,Capa!$A:$Z,BQ$5,0),0),IF(ISERROR(1/VLOOKUP(#REF!,Capa!$A:$Z,BQ$5,0)),0,1/VLOOKUP(#REF!,Capa!$A:$Z,BQ$5,0))))</f>
        <v/>
      </c>
      <c r="BR71" s="125" t="str">
        <f>IF(BR$6="","",IF(BR$3="Maior",iferror(VLOOKUP(#REF!,Capa!$A:$Z,BR$5,0),0),IF(ISERROR(1/VLOOKUP(#REF!,Capa!$A:$Z,BR$5,0)),0,1/VLOOKUP(#REF!,Capa!$A:$Z,BR$5,0))))</f>
        <v/>
      </c>
      <c r="BS71" s="88"/>
    </row>
    <row r="72">
      <c r="G72" s="9"/>
      <c r="H72" s="7">
        <v>66.0</v>
      </c>
      <c r="I72" s="129" t="str">
        <f t="shared" si="7"/>
        <v>MAXR11</v>
      </c>
      <c r="J72" s="112" t="str">
        <f>VLOOKUP(I72,Capa!A:G,7,0)</f>
        <v>Shopping/Varejo</v>
      </c>
      <c r="K72" s="113">
        <f t="shared" si="8"/>
        <v>0.5091863517</v>
      </c>
      <c r="L72" s="113">
        <f t="shared" si="9"/>
        <v>0.1205753281</v>
      </c>
      <c r="M72" s="113" t="str">
        <f t="shared" si="10"/>
        <v/>
      </c>
      <c r="N72" s="113" t="str">
        <f t="shared" si="11"/>
        <v/>
      </c>
      <c r="O72" s="114">
        <f t="shared" si="12"/>
        <v>245446</v>
      </c>
      <c r="P72" s="9"/>
      <c r="Q72" s="9"/>
      <c r="R72" s="115" t="s">
        <v>77</v>
      </c>
      <c r="S72" s="116">
        <f t="shared" si="13"/>
        <v>1226.01369</v>
      </c>
      <c r="T72" s="117">
        <f>MID(VLOOKUP($R72,'Dados ClubeFII'!$A:$AU,23,0),3,100)/1</f>
        <v>378823.61</v>
      </c>
      <c r="U72" s="118">
        <f t="shared" si="14"/>
        <v>136.0136</v>
      </c>
      <c r="V72" s="118">
        <f t="shared" si="15"/>
        <v>90.00009</v>
      </c>
      <c r="W72" s="118" t="str">
        <f t="shared" ref="W72:AS72" si="81">IF(AV72="","", RANK(AV72,AV$7:AV$405,0))</f>
        <v/>
      </c>
      <c r="X72" s="118" t="str">
        <f t="shared" si="81"/>
        <v/>
      </c>
      <c r="Y72" s="118" t="str">
        <f t="shared" si="81"/>
        <v/>
      </c>
      <c r="Z72" s="118" t="str">
        <f t="shared" si="81"/>
        <v/>
      </c>
      <c r="AA72" s="118" t="str">
        <f t="shared" si="81"/>
        <v/>
      </c>
      <c r="AB72" s="118" t="str">
        <f t="shared" si="81"/>
        <v/>
      </c>
      <c r="AC72" s="118" t="str">
        <f t="shared" si="81"/>
        <v/>
      </c>
      <c r="AD72" s="118" t="str">
        <f t="shared" si="81"/>
        <v/>
      </c>
      <c r="AE72" s="118" t="str">
        <f t="shared" si="81"/>
        <v/>
      </c>
      <c r="AF72" s="118" t="str">
        <f t="shared" si="81"/>
        <v/>
      </c>
      <c r="AG72" s="118" t="str">
        <f t="shared" si="81"/>
        <v/>
      </c>
      <c r="AH72" s="118" t="str">
        <f t="shared" si="81"/>
        <v/>
      </c>
      <c r="AI72" s="118" t="str">
        <f t="shared" si="81"/>
        <v/>
      </c>
      <c r="AJ72" s="118" t="str">
        <f t="shared" si="81"/>
        <v/>
      </c>
      <c r="AK72" s="118" t="str">
        <f t="shared" si="81"/>
        <v/>
      </c>
      <c r="AL72" s="118" t="str">
        <f t="shared" si="81"/>
        <v/>
      </c>
      <c r="AM72" s="118" t="str">
        <f t="shared" si="81"/>
        <v/>
      </c>
      <c r="AN72" s="118" t="str">
        <f t="shared" si="81"/>
        <v/>
      </c>
      <c r="AO72" s="118" t="str">
        <f t="shared" si="81"/>
        <v/>
      </c>
      <c r="AP72" s="118" t="str">
        <f t="shared" si="81"/>
        <v/>
      </c>
      <c r="AQ72" s="118" t="str">
        <f t="shared" si="81"/>
        <v/>
      </c>
      <c r="AR72" s="118" t="str">
        <f t="shared" si="81"/>
        <v/>
      </c>
      <c r="AS72" s="118" t="str">
        <f t="shared" si="81"/>
        <v/>
      </c>
      <c r="AT72" s="123">
        <f>IF(AT$6="","",IF(AT$3="Maior",iferror(VLOOKUP($R72,Capa!$A:$Z,AT$5,0),0),IF(ISERROR(1/VLOOKUP($R72,Capa!$A:$Z,AT$5,0)),0,1/VLOOKUP($R72,Capa!$A:$Z,AT$5,0))))</f>
        <v>1.111454949</v>
      </c>
      <c r="AU72" s="124">
        <f>IF(AU$6="","",IF(AU$3="Maior",iferror(VLOOKUP($R72,Capa!$A:$Z,AU$5,0),0),IF(ISERROR(1/VLOOKUP($R72,Capa!$A:$Z,AU$5,0)),0,1/VLOOKUP($R72,Capa!$A:$Z,AU$5,0))))</f>
        <v>0.1117806265</v>
      </c>
      <c r="AV72" s="124" t="str">
        <f>IF(AV$6="","",IF(AV$3="Maior",iferror(VLOOKUP($R71,Capa!$A:$Z,AV$5,0),0),IF(ISERROR(1/VLOOKUP($R71,Capa!$A:$Z,AV$5,0)),0,1/VLOOKUP($R71,Capa!$A:$Z,AV$5,0))))</f>
        <v/>
      </c>
      <c r="AW72" s="124" t="str">
        <f>IF(AW$6="","",IF(AW$3="Maior",iferror(VLOOKUP($R71,Capa!$A:$Z,AW$5,0),0),IF(ISERROR(1/VLOOKUP($R71,Capa!$A:$Z,AW$5,0)),0,1/VLOOKUP($R71,Capa!$A:$Z,AW$5,0))))</f>
        <v/>
      </c>
      <c r="AX72" s="124" t="str">
        <f>IF(AX$6="","",IF(AX$3="Maior",iferror(VLOOKUP($R71,Capa!$A:$Z,AX$5,0),0),IF(ISERROR(1/VLOOKUP($R71,Capa!$A:$Z,AX$5,0)),0,1/VLOOKUP($R71,Capa!$A:$Z,AX$5,0))))</f>
        <v/>
      </c>
      <c r="AY72" s="124" t="str">
        <f>IF(AY$6="","",IF(AY$3="Maior",iferror(VLOOKUP($R71,Capa!$A:$Z,AY$5,0),0),IF(ISERROR(1/VLOOKUP($R71,Capa!$A:$Z,AY$5,0)),0,1/VLOOKUP($R71,Capa!$A:$Z,AY$5,0))))</f>
        <v/>
      </c>
      <c r="AZ72" s="124" t="str">
        <f>IF(AZ$6="","",IF(AZ$3="Maior",iferror(VLOOKUP($R71,Capa!$A:$Z,AZ$5,0),0),IF(ISERROR(1/VLOOKUP($R71,Capa!$A:$Z,AZ$5,0)),0,1/VLOOKUP($R71,Capa!$A:$Z,AZ$5,0))))</f>
        <v/>
      </c>
      <c r="BA72" s="124" t="str">
        <f>IF(BA$6="","",IF(BA$3="Maior",iferror(VLOOKUP($R71,Capa!$A:$Z,BA$5,0),0),IF(ISERROR(1/VLOOKUP($R71,Capa!$A:$Z,BA$5,0)),0,1/VLOOKUP($R71,Capa!$A:$Z,BA$5,0))))</f>
        <v/>
      </c>
      <c r="BB72" s="124" t="str">
        <f>IF(BB$6="","",IF(BB$3="Maior",iferror(VLOOKUP($R71,Capa!$A:$Z,BB$5,0),0),IF(ISERROR(1/VLOOKUP($R71,Capa!$A:$Z,BB$5,0)),0,1/VLOOKUP($R71,Capa!$A:$Z,BB$5,0))))</f>
        <v/>
      </c>
      <c r="BC72" s="124" t="str">
        <f>IF(BC$6="","",IF(BC$3="Maior",iferror(VLOOKUP($R71,Capa!$A:$Z,BC$5,0),0),IF(ISERROR(1/VLOOKUP($R71,Capa!$A:$Z,BC$5,0)),0,1/VLOOKUP($R71,Capa!$A:$Z,BC$5,0))))</f>
        <v/>
      </c>
      <c r="BD72" s="124" t="str">
        <f>IF(BD$6="","",IF(BD$3="Maior",iferror(VLOOKUP($R71,Capa!$A:$Z,BD$5,0),0),IF(ISERROR(1/VLOOKUP($R71,Capa!$A:$Z,BD$5,0)),0,1/VLOOKUP($R71,Capa!$A:$Z,BD$5,0))))</f>
        <v/>
      </c>
      <c r="BE72" s="124" t="str">
        <f>IF(BE$6="","",IF(BE$3="Maior",iferror(VLOOKUP($R71,Capa!$A:$Z,BE$5,0),0),IF(ISERROR(1/VLOOKUP($R71,Capa!$A:$Z,BE$5,0)),0,1/VLOOKUP($R71,Capa!$A:$Z,BE$5,0))))</f>
        <v/>
      </c>
      <c r="BF72" s="124" t="str">
        <f>IF(BF$6="","",IF(BF$3="Maior",iferror(VLOOKUP($R71,Capa!$A:$Z,BF$5,0),0),IF(ISERROR(1/VLOOKUP($R71,Capa!$A:$Z,BF$5,0)),0,1/VLOOKUP($R71,Capa!$A:$Z,BF$5,0))))</f>
        <v/>
      </c>
      <c r="BG72" s="124" t="str">
        <f>IF(BG$6="","",IF(BG$3="Maior",iferror(VLOOKUP($R71,Capa!$A:$Z,BG$5,0),0),IF(ISERROR(1/VLOOKUP($R71,Capa!$A:$Z,BG$5,0)),0,1/VLOOKUP($R71,Capa!$A:$Z,BG$5,0))))</f>
        <v/>
      </c>
      <c r="BH72" s="124" t="str">
        <f>IF(BH$6="","",IF(BH$3="Maior",iferror(VLOOKUP($R71,Capa!$A:$Z,BH$5,0),0),IF(ISERROR(1/VLOOKUP($R71,Capa!$A:$Z,BH$5,0)),0,1/VLOOKUP($R71,Capa!$A:$Z,BH$5,0))))</f>
        <v/>
      </c>
      <c r="BI72" s="124" t="str">
        <f>IF(BI$6="","",IF(BI$3="Maior",iferror(VLOOKUP($R71,Capa!$A:$Z,BI$5,0),0),IF(ISERROR(1/VLOOKUP($R71,Capa!$A:$Z,BI$5,0)),0,1/VLOOKUP($R71,Capa!$A:$Z,BI$5,0))))</f>
        <v/>
      </c>
      <c r="BJ72" s="124" t="str">
        <f>IF(BJ$6="","",IF(BJ$3="Maior",iferror(VLOOKUP($R71,Capa!$A:$Z,BJ$5,0),0),IF(ISERROR(1/VLOOKUP($R71,Capa!$A:$Z,BJ$5,0)),0,1/VLOOKUP($R71,Capa!$A:$Z,BJ$5,0))))</f>
        <v/>
      </c>
      <c r="BK72" s="124" t="str">
        <f>IF(BK$6="","",IF(BK$3="Maior",iferror(VLOOKUP($R71,Capa!$A:$Z,BK$5,0),0),IF(ISERROR(1/VLOOKUP($R71,Capa!$A:$Z,BK$5,0)),0,1/VLOOKUP($R71,Capa!$A:$Z,BK$5,0))))</f>
        <v/>
      </c>
      <c r="BL72" s="124" t="str">
        <f>IF(BL$6="","",IF(BL$3="Maior",iferror(VLOOKUP($R71,Capa!$A:$Z,BL$5,0),0),IF(ISERROR(1/VLOOKUP($R71,Capa!$A:$Z,BL$5,0)),0,1/VLOOKUP($R71,Capa!$A:$Z,BL$5,0))))</f>
        <v/>
      </c>
      <c r="BM72" s="124" t="str">
        <f>IF(BM$6="","",IF(BM$3="Maior",iferror(VLOOKUP($R71,Capa!$A:$Z,BM$5,0),0),IF(ISERROR(1/VLOOKUP($R71,Capa!$A:$Z,BM$5,0)),0,1/VLOOKUP($R71,Capa!$A:$Z,BM$5,0))))</f>
        <v/>
      </c>
      <c r="BN72" s="124" t="str">
        <f>IF(BN$6="","",IF(BN$3="Maior",iferror(VLOOKUP($R71,Capa!$A:$Z,BN$5,0),0),IF(ISERROR(1/VLOOKUP($R71,Capa!$A:$Z,BN$5,0)),0,1/VLOOKUP($R71,Capa!$A:$Z,BN$5,0))))</f>
        <v/>
      </c>
      <c r="BO72" s="124" t="str">
        <f>IF(BO$6="","",IF(BO$3="Maior",iferror(VLOOKUP($R71,Capa!$A:$Z,BO$5,0),0),IF(ISERROR(1/VLOOKUP($R71,Capa!$A:$Z,BO$5,0)),0,1/VLOOKUP($R71,Capa!$A:$Z,BO$5,0))))</f>
        <v/>
      </c>
      <c r="BP72" s="124" t="str">
        <f>IF(BP$6="","",IF(BP$3="Maior",iferror(VLOOKUP($R71,Capa!$A:$Z,BP$5,0),0),IF(ISERROR(1/VLOOKUP($R71,Capa!$A:$Z,BP$5,0)),0,1/VLOOKUP($R71,Capa!$A:$Z,BP$5,0))))</f>
        <v/>
      </c>
      <c r="BQ72" s="124" t="str">
        <f>IF(BQ$6="","",IF(BQ$3="Maior",iferror(VLOOKUP($R71,Capa!$A:$Z,BQ$5,0),0),IF(ISERROR(1/VLOOKUP($R71,Capa!$A:$Z,BQ$5,0)),0,1/VLOOKUP($R71,Capa!$A:$Z,BQ$5,0))))</f>
        <v/>
      </c>
      <c r="BR72" s="125" t="str">
        <f>IF(BR$6="","",IF(BR$3="Maior",iferror(VLOOKUP($R71,Capa!$A:$Z,BR$5,0),0),IF(ISERROR(1/VLOOKUP($R71,Capa!$A:$Z,BR$5,0)),0,1/VLOOKUP($R71,Capa!$A:$Z,BR$5,0))))</f>
        <v/>
      </c>
      <c r="BS72" s="88"/>
    </row>
    <row r="73">
      <c r="G73" s="9"/>
      <c r="H73" s="7">
        <v>67.0</v>
      </c>
      <c r="I73" s="129" t="str">
        <f t="shared" si="7"/>
        <v>RELG11</v>
      </c>
      <c r="J73" s="112" t="str">
        <f>VLOOKUP(I73,Capa!A:G,7,0)</f>
        <v>Logisticos</v>
      </c>
      <c r="K73" s="113">
        <f t="shared" si="8"/>
        <v>0.5298351881</v>
      </c>
      <c r="L73" s="113">
        <f t="shared" si="9"/>
        <v>0.1210399352</v>
      </c>
      <c r="M73" s="113" t="str">
        <f t="shared" si="10"/>
        <v/>
      </c>
      <c r="N73" s="113" t="str">
        <f t="shared" si="11"/>
        <v/>
      </c>
      <c r="O73" s="114">
        <f t="shared" si="12"/>
        <v>82613.67</v>
      </c>
      <c r="P73" s="9"/>
      <c r="Q73" s="9"/>
      <c r="R73" s="115" t="s">
        <v>98</v>
      </c>
      <c r="S73" s="116">
        <f t="shared" si="13"/>
        <v>1220.008833</v>
      </c>
      <c r="T73" s="117">
        <f>MID(VLOOKUP($R73,'Dados ClubeFII'!$A:$AU,23,0),3,100)/1</f>
        <v>57164.93</v>
      </c>
      <c r="U73" s="118">
        <f t="shared" si="14"/>
        <v>87.0087</v>
      </c>
      <c r="V73" s="118">
        <f t="shared" si="15"/>
        <v>133.000133</v>
      </c>
      <c r="W73" s="118" t="str">
        <f t="shared" ref="W73:AS73" si="82">IF(AV73="","", RANK(AV73,AV$7:AV$405,0))</f>
        <v/>
      </c>
      <c r="X73" s="118" t="str">
        <f t="shared" si="82"/>
        <v/>
      </c>
      <c r="Y73" s="118" t="str">
        <f t="shared" si="82"/>
        <v/>
      </c>
      <c r="Z73" s="118" t="str">
        <f t="shared" si="82"/>
        <v/>
      </c>
      <c r="AA73" s="118" t="str">
        <f t="shared" si="82"/>
        <v/>
      </c>
      <c r="AB73" s="118" t="str">
        <f t="shared" si="82"/>
        <v/>
      </c>
      <c r="AC73" s="118" t="str">
        <f t="shared" si="82"/>
        <v/>
      </c>
      <c r="AD73" s="118" t="str">
        <f t="shared" si="82"/>
        <v/>
      </c>
      <c r="AE73" s="118" t="str">
        <f t="shared" si="82"/>
        <v/>
      </c>
      <c r="AF73" s="118" t="str">
        <f t="shared" si="82"/>
        <v/>
      </c>
      <c r="AG73" s="118" t="str">
        <f t="shared" si="82"/>
        <v/>
      </c>
      <c r="AH73" s="118" t="str">
        <f t="shared" si="82"/>
        <v/>
      </c>
      <c r="AI73" s="118" t="str">
        <f t="shared" si="82"/>
        <v/>
      </c>
      <c r="AJ73" s="118" t="str">
        <f t="shared" si="82"/>
        <v/>
      </c>
      <c r="AK73" s="118" t="str">
        <f t="shared" si="82"/>
        <v/>
      </c>
      <c r="AL73" s="118" t="str">
        <f t="shared" si="82"/>
        <v/>
      </c>
      <c r="AM73" s="118" t="str">
        <f t="shared" si="82"/>
        <v/>
      </c>
      <c r="AN73" s="118" t="str">
        <f t="shared" si="82"/>
        <v/>
      </c>
      <c r="AO73" s="118" t="str">
        <f t="shared" si="82"/>
        <v/>
      </c>
      <c r="AP73" s="118" t="str">
        <f t="shared" si="82"/>
        <v/>
      </c>
      <c r="AQ73" s="118" t="str">
        <f t="shared" si="82"/>
        <v/>
      </c>
      <c r="AR73" s="118" t="str">
        <f t="shared" si="82"/>
        <v/>
      </c>
      <c r="AS73" s="118" t="str">
        <f t="shared" si="82"/>
        <v/>
      </c>
      <c r="AT73" s="123">
        <f>IF(AT$6="","",IF(AT$3="Maior",iferror(VLOOKUP($R73,Capa!$A:$Z,AT$5,0),0),IF(ISERROR(1/VLOOKUP($R73,Capa!$A:$Z,AT$5,0)),0,1/VLOOKUP($R73,Capa!$A:$Z,AT$5,0))))</f>
        <v>1.214636648</v>
      </c>
      <c r="AU73" s="124">
        <f>IF(AU$6="","",IF(AU$3="Maior",iferror(VLOOKUP($R73,Capa!$A:$Z,AU$5,0),0),IF(ISERROR(1/VLOOKUP($R73,Capa!$A:$Z,AU$5,0)),0,1/VLOOKUP($R73,Capa!$A:$Z,AU$5,0))))</f>
        <v>0.09107661962</v>
      </c>
      <c r="AV73" s="124" t="str">
        <f>IF(AV$6="","",IF(AV$3="Maior",iferror(VLOOKUP($R72,Capa!$A:$Z,AV$5,0),0),IF(ISERROR(1/VLOOKUP($R72,Capa!$A:$Z,AV$5,0)),0,1/VLOOKUP($R72,Capa!$A:$Z,AV$5,0))))</f>
        <v/>
      </c>
      <c r="AW73" s="124" t="str">
        <f>IF(AW$6="","",IF(AW$3="Maior",iferror(VLOOKUP($R72,Capa!$A:$Z,AW$5,0),0),IF(ISERROR(1/VLOOKUP($R72,Capa!$A:$Z,AW$5,0)),0,1/VLOOKUP($R72,Capa!$A:$Z,AW$5,0))))</f>
        <v/>
      </c>
      <c r="AX73" s="124" t="str">
        <f>IF(AX$6="","",IF(AX$3="Maior",iferror(VLOOKUP($R72,Capa!$A:$Z,AX$5,0),0),IF(ISERROR(1/VLOOKUP($R72,Capa!$A:$Z,AX$5,0)),0,1/VLOOKUP($R72,Capa!$A:$Z,AX$5,0))))</f>
        <v/>
      </c>
      <c r="AY73" s="124" t="str">
        <f>IF(AY$6="","",IF(AY$3="Maior",iferror(VLOOKUP($R72,Capa!$A:$Z,AY$5,0),0),IF(ISERROR(1/VLOOKUP($R72,Capa!$A:$Z,AY$5,0)),0,1/VLOOKUP($R72,Capa!$A:$Z,AY$5,0))))</f>
        <v/>
      </c>
      <c r="AZ73" s="124" t="str">
        <f>IF(AZ$6="","",IF(AZ$3="Maior",iferror(VLOOKUP($R72,Capa!$A:$Z,AZ$5,0),0),IF(ISERROR(1/VLOOKUP($R72,Capa!$A:$Z,AZ$5,0)),0,1/VLOOKUP($R72,Capa!$A:$Z,AZ$5,0))))</f>
        <v/>
      </c>
      <c r="BA73" s="124" t="str">
        <f>IF(BA$6="","",IF(BA$3="Maior",iferror(VLOOKUP($R72,Capa!$A:$Z,BA$5,0),0),IF(ISERROR(1/VLOOKUP($R72,Capa!$A:$Z,BA$5,0)),0,1/VLOOKUP($R72,Capa!$A:$Z,BA$5,0))))</f>
        <v/>
      </c>
      <c r="BB73" s="124" t="str">
        <f>IF(BB$6="","",IF(BB$3="Maior",iferror(VLOOKUP($R72,Capa!$A:$Z,BB$5,0),0),IF(ISERROR(1/VLOOKUP($R72,Capa!$A:$Z,BB$5,0)),0,1/VLOOKUP($R72,Capa!$A:$Z,BB$5,0))))</f>
        <v/>
      </c>
      <c r="BC73" s="124" t="str">
        <f>IF(BC$6="","",IF(BC$3="Maior",iferror(VLOOKUP($R72,Capa!$A:$Z,BC$5,0),0),IF(ISERROR(1/VLOOKUP($R72,Capa!$A:$Z,BC$5,0)),0,1/VLOOKUP($R72,Capa!$A:$Z,BC$5,0))))</f>
        <v/>
      </c>
      <c r="BD73" s="124" t="str">
        <f>IF(BD$6="","",IF(BD$3="Maior",iferror(VLOOKUP($R72,Capa!$A:$Z,BD$5,0),0),IF(ISERROR(1/VLOOKUP($R72,Capa!$A:$Z,BD$5,0)),0,1/VLOOKUP($R72,Capa!$A:$Z,BD$5,0))))</f>
        <v/>
      </c>
      <c r="BE73" s="124" t="str">
        <f>IF(BE$6="","",IF(BE$3="Maior",iferror(VLOOKUP($R72,Capa!$A:$Z,BE$5,0),0),IF(ISERROR(1/VLOOKUP($R72,Capa!$A:$Z,BE$5,0)),0,1/VLOOKUP($R72,Capa!$A:$Z,BE$5,0))))</f>
        <v/>
      </c>
      <c r="BF73" s="124" t="str">
        <f>IF(BF$6="","",IF(BF$3="Maior",iferror(VLOOKUP($R72,Capa!$A:$Z,BF$5,0),0),IF(ISERROR(1/VLOOKUP($R72,Capa!$A:$Z,BF$5,0)),0,1/VLOOKUP($R72,Capa!$A:$Z,BF$5,0))))</f>
        <v/>
      </c>
      <c r="BG73" s="124" t="str">
        <f>IF(BG$6="","",IF(BG$3="Maior",iferror(VLOOKUP($R72,Capa!$A:$Z,BG$5,0),0),IF(ISERROR(1/VLOOKUP($R72,Capa!$A:$Z,BG$5,0)),0,1/VLOOKUP($R72,Capa!$A:$Z,BG$5,0))))</f>
        <v/>
      </c>
      <c r="BH73" s="124" t="str">
        <f>IF(BH$6="","",IF(BH$3="Maior",iferror(VLOOKUP($R72,Capa!$A:$Z,BH$5,0),0),IF(ISERROR(1/VLOOKUP($R72,Capa!$A:$Z,BH$5,0)),0,1/VLOOKUP($R72,Capa!$A:$Z,BH$5,0))))</f>
        <v/>
      </c>
      <c r="BI73" s="124" t="str">
        <f>IF(BI$6="","",IF(BI$3="Maior",iferror(VLOOKUP($R72,Capa!$A:$Z,BI$5,0),0),IF(ISERROR(1/VLOOKUP($R72,Capa!$A:$Z,BI$5,0)),0,1/VLOOKUP($R72,Capa!$A:$Z,BI$5,0))))</f>
        <v/>
      </c>
      <c r="BJ73" s="124" t="str">
        <f>IF(BJ$6="","",IF(BJ$3="Maior",iferror(VLOOKUP($R72,Capa!$A:$Z,BJ$5,0),0),IF(ISERROR(1/VLOOKUP($R72,Capa!$A:$Z,BJ$5,0)),0,1/VLOOKUP($R72,Capa!$A:$Z,BJ$5,0))))</f>
        <v/>
      </c>
      <c r="BK73" s="124" t="str">
        <f>IF(BK$6="","",IF(BK$3="Maior",iferror(VLOOKUP($R72,Capa!$A:$Z,BK$5,0),0),IF(ISERROR(1/VLOOKUP($R72,Capa!$A:$Z,BK$5,0)),0,1/VLOOKUP($R72,Capa!$A:$Z,BK$5,0))))</f>
        <v/>
      </c>
      <c r="BL73" s="124" t="str">
        <f>IF(BL$6="","",IF(BL$3="Maior",iferror(VLOOKUP($R72,Capa!$A:$Z,BL$5,0),0),IF(ISERROR(1/VLOOKUP($R72,Capa!$A:$Z,BL$5,0)),0,1/VLOOKUP($R72,Capa!$A:$Z,BL$5,0))))</f>
        <v/>
      </c>
      <c r="BM73" s="124" t="str">
        <f>IF(BM$6="","",IF(BM$3="Maior",iferror(VLOOKUP($R72,Capa!$A:$Z,BM$5,0),0),IF(ISERROR(1/VLOOKUP($R72,Capa!$A:$Z,BM$5,0)),0,1/VLOOKUP($R72,Capa!$A:$Z,BM$5,0))))</f>
        <v/>
      </c>
      <c r="BN73" s="124" t="str">
        <f>IF(BN$6="","",IF(BN$3="Maior",iferror(VLOOKUP($R72,Capa!$A:$Z,BN$5,0),0),IF(ISERROR(1/VLOOKUP($R72,Capa!$A:$Z,BN$5,0)),0,1/VLOOKUP($R72,Capa!$A:$Z,BN$5,0))))</f>
        <v/>
      </c>
      <c r="BO73" s="124" t="str">
        <f>IF(BO$6="","",IF(BO$3="Maior",iferror(VLOOKUP($R72,Capa!$A:$Z,BO$5,0),0),IF(ISERROR(1/VLOOKUP($R72,Capa!$A:$Z,BO$5,0)),0,1/VLOOKUP($R72,Capa!$A:$Z,BO$5,0))))</f>
        <v/>
      </c>
      <c r="BP73" s="124" t="str">
        <f>IF(BP$6="","",IF(BP$3="Maior",iferror(VLOOKUP($R72,Capa!$A:$Z,BP$5,0),0),IF(ISERROR(1/VLOOKUP($R72,Capa!$A:$Z,BP$5,0)),0,1/VLOOKUP($R72,Capa!$A:$Z,BP$5,0))))</f>
        <v/>
      </c>
      <c r="BQ73" s="124" t="str">
        <f>IF(BQ$6="","",IF(BQ$3="Maior",iferror(VLOOKUP($R72,Capa!$A:$Z,BQ$5,0),0),IF(ISERROR(1/VLOOKUP($R72,Capa!$A:$Z,BQ$5,0)),0,1/VLOOKUP($R72,Capa!$A:$Z,BQ$5,0))))</f>
        <v/>
      </c>
      <c r="BR73" s="125" t="str">
        <f>IF(BR$6="","",IF(BR$3="Maior",iferror(VLOOKUP($R72,Capa!$A:$Z,BR$5,0),0),IF(ISERROR(1/VLOOKUP($R72,Capa!$A:$Z,BR$5,0)),0,1/VLOOKUP($R72,Capa!$A:$Z,BR$5,0))))</f>
        <v/>
      </c>
      <c r="BS73" s="88"/>
    </row>
    <row r="74">
      <c r="G74" s="9"/>
      <c r="H74" s="7">
        <v>68.0</v>
      </c>
      <c r="I74" s="111" t="str">
        <f t="shared" si="7"/>
        <v>BLMG11</v>
      </c>
      <c r="J74" s="112" t="str">
        <f>VLOOKUP(I74,Capa!A:G,7,0)</f>
        <v>Logisticos</v>
      </c>
      <c r="K74" s="113">
        <f t="shared" si="8"/>
        <v>0.6804386617</v>
      </c>
      <c r="L74" s="113">
        <f t="shared" si="9"/>
        <v>0.1371419331</v>
      </c>
      <c r="M74" s="113" t="str">
        <f t="shared" si="10"/>
        <v/>
      </c>
      <c r="N74" s="113" t="str">
        <f t="shared" si="11"/>
        <v/>
      </c>
      <c r="O74" s="114">
        <f t="shared" si="12"/>
        <v>542664.59</v>
      </c>
      <c r="P74" s="9"/>
      <c r="Q74" s="9"/>
      <c r="R74" s="115" t="s">
        <v>84</v>
      </c>
      <c r="S74" s="116">
        <f t="shared" si="13"/>
        <v>185.006917</v>
      </c>
      <c r="T74" s="117">
        <f>MID(VLOOKUP($R74,'Dados ClubeFII'!$A:$AU,23,0),3,100)/1</f>
        <v>1058557.65</v>
      </c>
      <c r="U74" s="118">
        <f t="shared" si="14"/>
        <v>68.0068</v>
      </c>
      <c r="V74" s="118">
        <f t="shared" si="15"/>
        <v>117.000117</v>
      </c>
      <c r="W74" s="118" t="str">
        <f t="shared" ref="W74:AS74" si="83">IF(AV74="","", RANK(AV74,AV$7:AV$405,0))</f>
        <v/>
      </c>
      <c r="X74" s="118" t="str">
        <f t="shared" si="83"/>
        <v/>
      </c>
      <c r="Y74" s="118" t="str">
        <f t="shared" si="83"/>
        <v/>
      </c>
      <c r="Z74" s="118" t="str">
        <f t="shared" si="83"/>
        <v/>
      </c>
      <c r="AA74" s="118" t="str">
        <f t="shared" si="83"/>
        <v/>
      </c>
      <c r="AB74" s="118" t="str">
        <f t="shared" si="83"/>
        <v/>
      </c>
      <c r="AC74" s="118" t="str">
        <f t="shared" si="83"/>
        <v/>
      </c>
      <c r="AD74" s="118" t="str">
        <f t="shared" si="83"/>
        <v/>
      </c>
      <c r="AE74" s="118" t="str">
        <f t="shared" si="83"/>
        <v/>
      </c>
      <c r="AF74" s="118" t="str">
        <f t="shared" si="83"/>
        <v/>
      </c>
      <c r="AG74" s="118" t="str">
        <f t="shared" si="83"/>
        <v/>
      </c>
      <c r="AH74" s="118" t="str">
        <f t="shared" si="83"/>
        <v/>
      </c>
      <c r="AI74" s="118" t="str">
        <f t="shared" si="83"/>
        <v/>
      </c>
      <c r="AJ74" s="118" t="str">
        <f t="shared" si="83"/>
        <v/>
      </c>
      <c r="AK74" s="118" t="str">
        <f t="shared" si="83"/>
        <v/>
      </c>
      <c r="AL74" s="118" t="str">
        <f t="shared" si="83"/>
        <v/>
      </c>
      <c r="AM74" s="118" t="str">
        <f t="shared" si="83"/>
        <v/>
      </c>
      <c r="AN74" s="118" t="str">
        <f t="shared" si="83"/>
        <v/>
      </c>
      <c r="AO74" s="118" t="str">
        <f t="shared" si="83"/>
        <v/>
      </c>
      <c r="AP74" s="118" t="str">
        <f t="shared" si="83"/>
        <v/>
      </c>
      <c r="AQ74" s="118" t="str">
        <f t="shared" si="83"/>
        <v/>
      </c>
      <c r="AR74" s="118" t="str">
        <f t="shared" si="83"/>
        <v/>
      </c>
      <c r="AS74" s="118" t="str">
        <f t="shared" si="83"/>
        <v/>
      </c>
      <c r="AT74" s="123">
        <f>IF(AT$6="","",IF(AT$3="Maior",iferror(VLOOKUP($R74,Capa!$A:$Z,AT$5,0),0),IF(ISERROR(1/VLOOKUP($R74,Capa!$A:$Z,AT$5,0)),0,1/VLOOKUP($R74,Capa!$A:$Z,AT$5,0))))</f>
        <v>1.302769819</v>
      </c>
      <c r="AU74" s="124">
        <f>IF(AU$6="","",IF(AU$3="Maior",iferror(VLOOKUP($R74,Capa!$A:$Z,AU$5,0),0),IF(ISERROR(1/VLOOKUP($R74,Capa!$A:$Z,AU$5,0)),0,1/VLOOKUP($R74,Capa!$A:$Z,AU$5,0))))</f>
        <v>0.1009131965</v>
      </c>
      <c r="AV74" s="124" t="str">
        <f>IF(AV$6="","",IF(AV$3="Maior",iferror(VLOOKUP($R73,Capa!$A:$Z,AV$5,0),0),IF(ISERROR(1/VLOOKUP($R73,Capa!$A:$Z,AV$5,0)),0,1/VLOOKUP($R73,Capa!$A:$Z,AV$5,0))))</f>
        <v/>
      </c>
      <c r="AW74" s="124" t="str">
        <f>IF(AW$6="","",IF(AW$3="Maior",iferror(VLOOKUP($R73,Capa!$A:$Z,AW$5,0),0),IF(ISERROR(1/VLOOKUP($R73,Capa!$A:$Z,AW$5,0)),0,1/VLOOKUP($R73,Capa!$A:$Z,AW$5,0))))</f>
        <v/>
      </c>
      <c r="AX74" s="124" t="str">
        <f>IF(AX$6="","",IF(AX$3="Maior",iferror(VLOOKUP($R73,Capa!$A:$Z,AX$5,0),0),IF(ISERROR(1/VLOOKUP($R73,Capa!$A:$Z,AX$5,0)),0,1/VLOOKUP($R73,Capa!$A:$Z,AX$5,0))))</f>
        <v/>
      </c>
      <c r="AY74" s="124" t="str">
        <f>IF(AY$6="","",IF(AY$3="Maior",iferror(VLOOKUP($R73,Capa!$A:$Z,AY$5,0),0),IF(ISERROR(1/VLOOKUP($R73,Capa!$A:$Z,AY$5,0)),0,1/VLOOKUP($R73,Capa!$A:$Z,AY$5,0))))</f>
        <v/>
      </c>
      <c r="AZ74" s="124" t="str">
        <f>IF(AZ$6="","",IF(AZ$3="Maior",iferror(VLOOKUP($R73,Capa!$A:$Z,AZ$5,0),0),IF(ISERROR(1/VLOOKUP($R73,Capa!$A:$Z,AZ$5,0)),0,1/VLOOKUP($R73,Capa!$A:$Z,AZ$5,0))))</f>
        <v/>
      </c>
      <c r="BA74" s="124" t="str">
        <f>IF(BA$6="","",IF(BA$3="Maior",iferror(VLOOKUP($R73,Capa!$A:$Z,BA$5,0),0),IF(ISERROR(1/VLOOKUP($R73,Capa!$A:$Z,BA$5,0)),0,1/VLOOKUP($R73,Capa!$A:$Z,BA$5,0))))</f>
        <v/>
      </c>
      <c r="BB74" s="124" t="str">
        <f>IF(BB$6="","",IF(BB$3="Maior",iferror(VLOOKUP($R73,Capa!$A:$Z,BB$5,0),0),IF(ISERROR(1/VLOOKUP($R73,Capa!$A:$Z,BB$5,0)),0,1/VLOOKUP($R73,Capa!$A:$Z,BB$5,0))))</f>
        <v/>
      </c>
      <c r="BC74" s="124" t="str">
        <f>IF(BC$6="","",IF(BC$3="Maior",iferror(VLOOKUP($R73,Capa!$A:$Z,BC$5,0),0),IF(ISERROR(1/VLOOKUP($R73,Capa!$A:$Z,BC$5,0)),0,1/VLOOKUP($R73,Capa!$A:$Z,BC$5,0))))</f>
        <v/>
      </c>
      <c r="BD74" s="124" t="str">
        <f>IF(BD$6="","",IF(BD$3="Maior",iferror(VLOOKUP($R73,Capa!$A:$Z,BD$5,0),0),IF(ISERROR(1/VLOOKUP($R73,Capa!$A:$Z,BD$5,0)),0,1/VLOOKUP($R73,Capa!$A:$Z,BD$5,0))))</f>
        <v/>
      </c>
      <c r="BE74" s="124" t="str">
        <f>IF(BE$6="","",IF(BE$3="Maior",iferror(VLOOKUP($R73,Capa!$A:$Z,BE$5,0),0),IF(ISERROR(1/VLOOKUP($R73,Capa!$A:$Z,BE$5,0)),0,1/VLOOKUP($R73,Capa!$A:$Z,BE$5,0))))</f>
        <v/>
      </c>
      <c r="BF74" s="124" t="str">
        <f>IF(BF$6="","",IF(BF$3="Maior",iferror(VLOOKUP($R73,Capa!$A:$Z,BF$5,0),0),IF(ISERROR(1/VLOOKUP($R73,Capa!$A:$Z,BF$5,0)),0,1/VLOOKUP($R73,Capa!$A:$Z,BF$5,0))))</f>
        <v/>
      </c>
      <c r="BG74" s="124" t="str">
        <f>IF(BG$6="","",IF(BG$3="Maior",iferror(VLOOKUP($R73,Capa!$A:$Z,BG$5,0),0),IF(ISERROR(1/VLOOKUP($R73,Capa!$A:$Z,BG$5,0)),0,1/VLOOKUP($R73,Capa!$A:$Z,BG$5,0))))</f>
        <v/>
      </c>
      <c r="BH74" s="124" t="str">
        <f>IF(BH$6="","",IF(BH$3="Maior",iferror(VLOOKUP($R73,Capa!$A:$Z,BH$5,0),0),IF(ISERROR(1/VLOOKUP($R73,Capa!$A:$Z,BH$5,0)),0,1/VLOOKUP($R73,Capa!$A:$Z,BH$5,0))))</f>
        <v/>
      </c>
      <c r="BI74" s="124" t="str">
        <f>IF(BI$6="","",IF(BI$3="Maior",iferror(VLOOKUP($R73,Capa!$A:$Z,BI$5,0),0),IF(ISERROR(1/VLOOKUP($R73,Capa!$A:$Z,BI$5,0)),0,1/VLOOKUP($R73,Capa!$A:$Z,BI$5,0))))</f>
        <v/>
      </c>
      <c r="BJ74" s="124" t="str">
        <f>IF(BJ$6="","",IF(BJ$3="Maior",iferror(VLOOKUP($R73,Capa!$A:$Z,BJ$5,0),0),IF(ISERROR(1/VLOOKUP($R73,Capa!$A:$Z,BJ$5,0)),0,1/VLOOKUP($R73,Capa!$A:$Z,BJ$5,0))))</f>
        <v/>
      </c>
      <c r="BK74" s="124" t="str">
        <f>IF(BK$6="","",IF(BK$3="Maior",iferror(VLOOKUP($R73,Capa!$A:$Z,BK$5,0),0),IF(ISERROR(1/VLOOKUP($R73,Capa!$A:$Z,BK$5,0)),0,1/VLOOKUP($R73,Capa!$A:$Z,BK$5,0))))</f>
        <v/>
      </c>
      <c r="BL74" s="124" t="str">
        <f>IF(BL$6="","",IF(BL$3="Maior",iferror(VLOOKUP($R73,Capa!$A:$Z,BL$5,0),0),IF(ISERROR(1/VLOOKUP($R73,Capa!$A:$Z,BL$5,0)),0,1/VLOOKUP($R73,Capa!$A:$Z,BL$5,0))))</f>
        <v/>
      </c>
      <c r="BM74" s="124" t="str">
        <f>IF(BM$6="","",IF(BM$3="Maior",iferror(VLOOKUP($R73,Capa!$A:$Z,BM$5,0),0),IF(ISERROR(1/VLOOKUP($R73,Capa!$A:$Z,BM$5,0)),0,1/VLOOKUP($R73,Capa!$A:$Z,BM$5,0))))</f>
        <v/>
      </c>
      <c r="BN74" s="124" t="str">
        <f>IF(BN$6="","",IF(BN$3="Maior",iferror(VLOOKUP($R73,Capa!$A:$Z,BN$5,0),0),IF(ISERROR(1/VLOOKUP($R73,Capa!$A:$Z,BN$5,0)),0,1/VLOOKUP($R73,Capa!$A:$Z,BN$5,0))))</f>
        <v/>
      </c>
      <c r="BO74" s="124" t="str">
        <f>IF(BO$6="","",IF(BO$3="Maior",iferror(VLOOKUP($R73,Capa!$A:$Z,BO$5,0),0),IF(ISERROR(1/VLOOKUP($R73,Capa!$A:$Z,BO$5,0)),0,1/VLOOKUP($R73,Capa!$A:$Z,BO$5,0))))</f>
        <v/>
      </c>
      <c r="BP74" s="124" t="str">
        <f>IF(BP$6="","",IF(BP$3="Maior",iferror(VLOOKUP($R73,Capa!$A:$Z,BP$5,0),0),IF(ISERROR(1/VLOOKUP($R73,Capa!$A:$Z,BP$5,0)),0,1/VLOOKUP($R73,Capa!$A:$Z,BP$5,0))))</f>
        <v/>
      </c>
      <c r="BQ74" s="124" t="str">
        <f>IF(BQ$6="","",IF(BQ$3="Maior",iferror(VLOOKUP($R73,Capa!$A:$Z,BQ$5,0),0),IF(ISERROR(1/VLOOKUP($R73,Capa!$A:$Z,BQ$5,0)),0,1/VLOOKUP($R73,Capa!$A:$Z,BQ$5,0))))</f>
        <v/>
      </c>
      <c r="BR74" s="125" t="str">
        <f>IF(BR$6="","",IF(BR$3="Maior",iferror(VLOOKUP($R73,Capa!$A:$Z,BR$5,0),0),IF(ISERROR(1/VLOOKUP($R73,Capa!$A:$Z,BR$5,0)),0,1/VLOOKUP($R73,Capa!$A:$Z,BR$5,0))))</f>
        <v/>
      </c>
      <c r="BS74" s="88"/>
    </row>
    <row r="75">
      <c r="G75" s="9"/>
      <c r="H75" s="7">
        <v>69.0</v>
      </c>
      <c r="I75" s="111" t="str">
        <f t="shared" si="7"/>
        <v>RECT11</v>
      </c>
      <c r="J75" s="112" t="str">
        <f>VLOOKUP(I75,Capa!A:G,7,0)</f>
        <v>Lajes Comerciais</v>
      </c>
      <c r="K75" s="113">
        <f t="shared" si="8"/>
        <v>0.5392609971</v>
      </c>
      <c r="L75" s="113">
        <f t="shared" si="9"/>
        <v>0.1198357771</v>
      </c>
      <c r="M75" s="113" t="str">
        <f t="shared" si="10"/>
        <v/>
      </c>
      <c r="N75" s="113" t="str">
        <f t="shared" si="11"/>
        <v/>
      </c>
      <c r="O75" s="114">
        <f t="shared" si="12"/>
        <v>487339.57</v>
      </c>
      <c r="P75" s="9"/>
      <c r="Q75" s="9"/>
      <c r="R75" s="127" t="s">
        <v>53</v>
      </c>
      <c r="S75" s="116">
        <f t="shared" si="13"/>
        <v>1163.010162</v>
      </c>
      <c r="T75" s="117">
        <f>MID(VLOOKUP($R75,'Dados ClubeFII'!$A:$AU,23,0),3,100)/1</f>
        <v>23629.46</v>
      </c>
      <c r="U75" s="118">
        <f t="shared" si="14"/>
        <v>101.0101</v>
      </c>
      <c r="V75" s="118">
        <f t="shared" si="15"/>
        <v>62.000062</v>
      </c>
      <c r="W75" s="118" t="str">
        <f t="shared" ref="W75:AS75" si="84">IF(AV75="","", RANK(AV75,AV$7:AV$405,0))</f>
        <v/>
      </c>
      <c r="X75" s="118" t="str">
        <f t="shared" si="84"/>
        <v/>
      </c>
      <c r="Y75" s="118" t="str">
        <f t="shared" si="84"/>
        <v/>
      </c>
      <c r="Z75" s="118" t="str">
        <f t="shared" si="84"/>
        <v/>
      </c>
      <c r="AA75" s="118" t="str">
        <f t="shared" si="84"/>
        <v/>
      </c>
      <c r="AB75" s="118" t="str">
        <f t="shared" si="84"/>
        <v/>
      </c>
      <c r="AC75" s="118" t="str">
        <f t="shared" si="84"/>
        <v/>
      </c>
      <c r="AD75" s="118" t="str">
        <f t="shared" si="84"/>
        <v/>
      </c>
      <c r="AE75" s="118" t="str">
        <f t="shared" si="84"/>
        <v/>
      </c>
      <c r="AF75" s="118" t="str">
        <f t="shared" si="84"/>
        <v/>
      </c>
      <c r="AG75" s="118" t="str">
        <f t="shared" si="84"/>
        <v/>
      </c>
      <c r="AH75" s="118" t="str">
        <f t="shared" si="84"/>
        <v/>
      </c>
      <c r="AI75" s="118" t="str">
        <f t="shared" si="84"/>
        <v/>
      </c>
      <c r="AJ75" s="118" t="str">
        <f t="shared" si="84"/>
        <v/>
      </c>
      <c r="AK75" s="118" t="str">
        <f t="shared" si="84"/>
        <v/>
      </c>
      <c r="AL75" s="118" t="str">
        <f t="shared" si="84"/>
        <v/>
      </c>
      <c r="AM75" s="118" t="str">
        <f t="shared" si="84"/>
        <v/>
      </c>
      <c r="AN75" s="118" t="str">
        <f t="shared" si="84"/>
        <v/>
      </c>
      <c r="AO75" s="118" t="str">
        <f t="shared" si="84"/>
        <v/>
      </c>
      <c r="AP75" s="118" t="str">
        <f t="shared" si="84"/>
        <v/>
      </c>
      <c r="AQ75" s="118" t="str">
        <f t="shared" si="84"/>
        <v/>
      </c>
      <c r="AR75" s="118" t="str">
        <f t="shared" si="84"/>
        <v/>
      </c>
      <c r="AS75" s="118" t="str">
        <f t="shared" si="84"/>
        <v/>
      </c>
      <c r="AT75" s="123">
        <f>IF(AT$6="","",IF(AT$3="Maior",iferror(VLOOKUP($R75,Capa!$A:$Z,AT$5,0),0),IF(ISERROR(1/VLOOKUP($R75,Capa!$A:$Z,AT$5,0)),0,1/VLOOKUP($R75,Capa!$A:$Z,AT$5,0))))</f>
        <v>1.190093555</v>
      </c>
      <c r="AU75" s="124">
        <f>IF(AU$6="","",IF(AU$3="Maior",iferror(VLOOKUP($R75,Capa!$A:$Z,AU$5,0),0),IF(ISERROR(1/VLOOKUP($R75,Capa!$A:$Z,AU$5,0)),0,1/VLOOKUP($R75,Capa!$A:$Z,AU$5,0))))</f>
        <v>0.1284831567</v>
      </c>
      <c r="AV75" s="124" t="str">
        <f>IF(AV$6="","",IF(AV$3="Maior",iferror(VLOOKUP($R74,Capa!$A:$Z,AV$5,0),0),IF(ISERROR(1/VLOOKUP($R74,Capa!$A:$Z,AV$5,0)),0,1/VLOOKUP($R74,Capa!$A:$Z,AV$5,0))))</f>
        <v/>
      </c>
      <c r="AW75" s="124" t="str">
        <f>IF(AW$6="","",IF(AW$3="Maior",iferror(VLOOKUP($R74,Capa!$A:$Z,AW$5,0),0),IF(ISERROR(1/VLOOKUP($R74,Capa!$A:$Z,AW$5,0)),0,1/VLOOKUP($R74,Capa!$A:$Z,AW$5,0))))</f>
        <v/>
      </c>
      <c r="AX75" s="124" t="str">
        <f>IF(AX$6="","",IF(AX$3="Maior",iferror(VLOOKUP($R74,Capa!$A:$Z,AX$5,0),0),IF(ISERROR(1/VLOOKUP($R74,Capa!$A:$Z,AX$5,0)),0,1/VLOOKUP($R74,Capa!$A:$Z,AX$5,0))))</f>
        <v/>
      </c>
      <c r="AY75" s="124" t="str">
        <f>IF(AY$6="","",IF(AY$3="Maior",iferror(VLOOKUP($R74,Capa!$A:$Z,AY$5,0),0),IF(ISERROR(1/VLOOKUP($R74,Capa!$A:$Z,AY$5,0)),0,1/VLOOKUP($R74,Capa!$A:$Z,AY$5,0))))</f>
        <v/>
      </c>
      <c r="AZ75" s="124" t="str">
        <f>IF(AZ$6="","",IF(AZ$3="Maior",iferror(VLOOKUP($R74,Capa!$A:$Z,AZ$5,0),0),IF(ISERROR(1/VLOOKUP($R74,Capa!$A:$Z,AZ$5,0)),0,1/VLOOKUP($R74,Capa!$A:$Z,AZ$5,0))))</f>
        <v/>
      </c>
      <c r="BA75" s="124" t="str">
        <f>IF(BA$6="","",IF(BA$3="Maior",iferror(VLOOKUP($R74,Capa!$A:$Z,BA$5,0),0),IF(ISERROR(1/VLOOKUP($R74,Capa!$A:$Z,BA$5,0)),0,1/VLOOKUP($R74,Capa!$A:$Z,BA$5,0))))</f>
        <v/>
      </c>
      <c r="BB75" s="124" t="str">
        <f>IF(BB$6="","",IF(BB$3="Maior",iferror(VLOOKUP($R74,Capa!$A:$Z,BB$5,0),0),IF(ISERROR(1/VLOOKUP($R74,Capa!$A:$Z,BB$5,0)),0,1/VLOOKUP($R74,Capa!$A:$Z,BB$5,0))))</f>
        <v/>
      </c>
      <c r="BC75" s="124" t="str">
        <f>IF(BC$6="","",IF(BC$3="Maior",iferror(VLOOKUP($R74,Capa!$A:$Z,BC$5,0),0),IF(ISERROR(1/VLOOKUP($R74,Capa!$A:$Z,BC$5,0)),0,1/VLOOKUP($R74,Capa!$A:$Z,BC$5,0))))</f>
        <v/>
      </c>
      <c r="BD75" s="124" t="str">
        <f>IF(BD$6="","",IF(BD$3="Maior",iferror(VLOOKUP($R74,Capa!$A:$Z,BD$5,0),0),IF(ISERROR(1/VLOOKUP($R74,Capa!$A:$Z,BD$5,0)),0,1/VLOOKUP($R74,Capa!$A:$Z,BD$5,0))))</f>
        <v/>
      </c>
      <c r="BE75" s="124" t="str">
        <f>IF(BE$6="","",IF(BE$3="Maior",iferror(VLOOKUP($R74,Capa!$A:$Z,BE$5,0),0),IF(ISERROR(1/VLOOKUP($R74,Capa!$A:$Z,BE$5,0)),0,1/VLOOKUP($R74,Capa!$A:$Z,BE$5,0))))</f>
        <v/>
      </c>
      <c r="BF75" s="124" t="str">
        <f>IF(BF$6="","",IF(BF$3="Maior",iferror(VLOOKUP($R74,Capa!$A:$Z,BF$5,0),0),IF(ISERROR(1/VLOOKUP($R74,Capa!$A:$Z,BF$5,0)),0,1/VLOOKUP($R74,Capa!$A:$Z,BF$5,0))))</f>
        <v/>
      </c>
      <c r="BG75" s="124" t="str">
        <f>IF(BG$6="","",IF(BG$3="Maior",iferror(VLOOKUP($R74,Capa!$A:$Z,BG$5,0),0),IF(ISERROR(1/VLOOKUP($R74,Capa!$A:$Z,BG$5,0)),0,1/VLOOKUP($R74,Capa!$A:$Z,BG$5,0))))</f>
        <v/>
      </c>
      <c r="BH75" s="124" t="str">
        <f>IF(BH$6="","",IF(BH$3="Maior",iferror(VLOOKUP($R74,Capa!$A:$Z,BH$5,0),0),IF(ISERROR(1/VLOOKUP($R74,Capa!$A:$Z,BH$5,0)),0,1/VLOOKUP($R74,Capa!$A:$Z,BH$5,0))))</f>
        <v/>
      </c>
      <c r="BI75" s="124" t="str">
        <f>IF(BI$6="","",IF(BI$3="Maior",iferror(VLOOKUP($R74,Capa!$A:$Z,BI$5,0),0),IF(ISERROR(1/VLOOKUP($R74,Capa!$A:$Z,BI$5,0)),0,1/VLOOKUP($R74,Capa!$A:$Z,BI$5,0))))</f>
        <v/>
      </c>
      <c r="BJ75" s="124" t="str">
        <f>IF(BJ$6="","",IF(BJ$3="Maior",iferror(VLOOKUP($R74,Capa!$A:$Z,BJ$5,0),0),IF(ISERROR(1/VLOOKUP($R74,Capa!$A:$Z,BJ$5,0)),0,1/VLOOKUP($R74,Capa!$A:$Z,BJ$5,0))))</f>
        <v/>
      </c>
      <c r="BK75" s="124" t="str">
        <f>IF(BK$6="","",IF(BK$3="Maior",iferror(VLOOKUP($R74,Capa!$A:$Z,BK$5,0),0),IF(ISERROR(1/VLOOKUP($R74,Capa!$A:$Z,BK$5,0)),0,1/VLOOKUP($R74,Capa!$A:$Z,BK$5,0))))</f>
        <v/>
      </c>
      <c r="BL75" s="124" t="str">
        <f>IF(BL$6="","",IF(BL$3="Maior",iferror(VLOOKUP($R74,Capa!$A:$Z,BL$5,0),0),IF(ISERROR(1/VLOOKUP($R74,Capa!$A:$Z,BL$5,0)),0,1/VLOOKUP($R74,Capa!$A:$Z,BL$5,0))))</f>
        <v/>
      </c>
      <c r="BM75" s="124" t="str">
        <f>IF(BM$6="","",IF(BM$3="Maior",iferror(VLOOKUP($R74,Capa!$A:$Z,BM$5,0),0),IF(ISERROR(1/VLOOKUP($R74,Capa!$A:$Z,BM$5,0)),0,1/VLOOKUP($R74,Capa!$A:$Z,BM$5,0))))</f>
        <v/>
      </c>
      <c r="BN75" s="124" t="str">
        <f>IF(BN$6="","",IF(BN$3="Maior",iferror(VLOOKUP($R74,Capa!$A:$Z,BN$5,0),0),IF(ISERROR(1/VLOOKUP($R74,Capa!$A:$Z,BN$5,0)),0,1/VLOOKUP($R74,Capa!$A:$Z,BN$5,0))))</f>
        <v/>
      </c>
      <c r="BO75" s="124" t="str">
        <f>IF(BO$6="","",IF(BO$3="Maior",iferror(VLOOKUP($R74,Capa!$A:$Z,BO$5,0),0),IF(ISERROR(1/VLOOKUP($R74,Capa!$A:$Z,BO$5,0)),0,1/VLOOKUP($R74,Capa!$A:$Z,BO$5,0))))</f>
        <v/>
      </c>
      <c r="BP75" s="124" t="str">
        <f>IF(BP$6="","",IF(BP$3="Maior",iferror(VLOOKUP($R74,Capa!$A:$Z,BP$5,0),0),IF(ISERROR(1/VLOOKUP($R74,Capa!$A:$Z,BP$5,0)),0,1/VLOOKUP($R74,Capa!$A:$Z,BP$5,0))))</f>
        <v/>
      </c>
      <c r="BQ75" s="124" t="str">
        <f>IF(BQ$6="","",IF(BQ$3="Maior",iferror(VLOOKUP($R74,Capa!$A:$Z,BQ$5,0),0),IF(ISERROR(1/VLOOKUP($R74,Capa!$A:$Z,BQ$5,0)),0,1/VLOOKUP($R74,Capa!$A:$Z,BQ$5,0))))</f>
        <v/>
      </c>
      <c r="BR75" s="125" t="str">
        <f>IF(BR$6="","",IF(BR$3="Maior",iferror(VLOOKUP($R74,Capa!$A:$Z,BR$5,0),0),IF(ISERROR(1/VLOOKUP($R74,Capa!$A:$Z,BR$5,0)),0,1/VLOOKUP($R74,Capa!$A:$Z,BR$5,0))))</f>
        <v/>
      </c>
      <c r="BS75" s="88"/>
    </row>
    <row r="76">
      <c r="G76" s="9"/>
      <c r="H76" s="7">
        <v>70.0</v>
      </c>
      <c r="I76" s="111" t="str">
        <f t="shared" si="7"/>
        <v>BTRA11</v>
      </c>
      <c r="J76" s="112" t="str">
        <f>VLOOKUP(I76,Capa!A:G,7,0)</f>
        <v>Agronegócio</v>
      </c>
      <c r="K76" s="113">
        <f t="shared" si="8"/>
        <v>0.61200211</v>
      </c>
      <c r="L76" s="113">
        <f t="shared" si="9"/>
        <v>0.1179859805</v>
      </c>
      <c r="M76" s="113" t="str">
        <f t="shared" si="10"/>
        <v/>
      </c>
      <c r="N76" s="113" t="str">
        <f t="shared" si="11"/>
        <v/>
      </c>
      <c r="O76" s="114">
        <f t="shared" si="12"/>
        <v>565577.63</v>
      </c>
      <c r="P76" s="9"/>
      <c r="Q76" s="9"/>
      <c r="R76" s="127" t="s">
        <v>69</v>
      </c>
      <c r="S76" s="116">
        <f t="shared" si="13"/>
        <v>268.017692</v>
      </c>
      <c r="T76" s="117">
        <f>MID(VLOOKUP($R76,'Dados ClubeFII'!$A:$AU,23,0),3,100)/1</f>
        <v>5690018.16</v>
      </c>
      <c r="U76" s="118">
        <f t="shared" si="14"/>
        <v>176.0176</v>
      </c>
      <c r="V76" s="118">
        <f t="shared" si="15"/>
        <v>92.000092</v>
      </c>
      <c r="W76" s="118" t="str">
        <f t="shared" ref="W76:AS76" si="85">IF(AV76="","", RANK(AV76,AV$7:AV$405,0))</f>
        <v/>
      </c>
      <c r="X76" s="118" t="str">
        <f t="shared" si="85"/>
        <v/>
      </c>
      <c r="Y76" s="118" t="str">
        <f t="shared" si="85"/>
        <v/>
      </c>
      <c r="Z76" s="118" t="str">
        <f t="shared" si="85"/>
        <v/>
      </c>
      <c r="AA76" s="118" t="str">
        <f t="shared" si="85"/>
        <v/>
      </c>
      <c r="AB76" s="118" t="str">
        <f t="shared" si="85"/>
        <v/>
      </c>
      <c r="AC76" s="118" t="str">
        <f t="shared" si="85"/>
        <v/>
      </c>
      <c r="AD76" s="118" t="str">
        <f t="shared" si="85"/>
        <v/>
      </c>
      <c r="AE76" s="118" t="str">
        <f t="shared" si="85"/>
        <v/>
      </c>
      <c r="AF76" s="118" t="str">
        <f t="shared" si="85"/>
        <v/>
      </c>
      <c r="AG76" s="118" t="str">
        <f t="shared" si="85"/>
        <v/>
      </c>
      <c r="AH76" s="118" t="str">
        <f t="shared" si="85"/>
        <v/>
      </c>
      <c r="AI76" s="118" t="str">
        <f t="shared" si="85"/>
        <v/>
      </c>
      <c r="AJ76" s="118" t="str">
        <f t="shared" si="85"/>
        <v/>
      </c>
      <c r="AK76" s="118" t="str">
        <f t="shared" si="85"/>
        <v/>
      </c>
      <c r="AL76" s="118" t="str">
        <f t="shared" si="85"/>
        <v/>
      </c>
      <c r="AM76" s="118" t="str">
        <f t="shared" si="85"/>
        <v/>
      </c>
      <c r="AN76" s="118" t="str">
        <f t="shared" si="85"/>
        <v/>
      </c>
      <c r="AO76" s="118" t="str">
        <f t="shared" si="85"/>
        <v/>
      </c>
      <c r="AP76" s="118" t="str">
        <f t="shared" si="85"/>
        <v/>
      </c>
      <c r="AQ76" s="118" t="str">
        <f t="shared" si="85"/>
        <v/>
      </c>
      <c r="AR76" s="118" t="str">
        <f t="shared" si="85"/>
        <v/>
      </c>
      <c r="AS76" s="118" t="str">
        <f t="shared" si="85"/>
        <v/>
      </c>
      <c r="AT76" s="123">
        <f>IF(AT$6="","",IF(AT$3="Maior",iferror(VLOOKUP($R76,Capa!$A:$Z,AT$5,0),0),IF(ISERROR(1/VLOOKUP($R76,Capa!$A:$Z,AT$5,0)),0,1/VLOOKUP($R76,Capa!$A:$Z,AT$5,0))))</f>
        <v>0.9873170732</v>
      </c>
      <c r="AU76" s="124">
        <f>IF(AU$6="","",IF(AU$3="Maior",iferror(VLOOKUP($R76,Capa!$A:$Z,AU$5,0),0),IF(ISERROR(1/VLOOKUP($R76,Capa!$A:$Z,AU$5,0)),0,1/VLOOKUP($R76,Capa!$A:$Z,AU$5,0))))</f>
        <v>0.1116156126</v>
      </c>
      <c r="AV76" s="124" t="str">
        <f>IF(AV$6="","",IF(AV$3="Maior",iferror(VLOOKUP($R75,Capa!$A:$Z,AV$5,0),0),IF(ISERROR(1/VLOOKUP($R75,Capa!$A:$Z,AV$5,0)),0,1/VLOOKUP($R75,Capa!$A:$Z,AV$5,0))))</f>
        <v/>
      </c>
      <c r="AW76" s="124" t="str">
        <f>IF(AW$6="","",IF(AW$3="Maior",iferror(VLOOKUP($R75,Capa!$A:$Z,AW$5,0),0),IF(ISERROR(1/VLOOKUP($R75,Capa!$A:$Z,AW$5,0)),0,1/VLOOKUP($R75,Capa!$A:$Z,AW$5,0))))</f>
        <v/>
      </c>
      <c r="AX76" s="124" t="str">
        <f>IF(AX$6="","",IF(AX$3="Maior",iferror(VLOOKUP($R75,Capa!$A:$Z,AX$5,0),0),IF(ISERROR(1/VLOOKUP($R75,Capa!$A:$Z,AX$5,0)),0,1/VLOOKUP($R75,Capa!$A:$Z,AX$5,0))))</f>
        <v/>
      </c>
      <c r="AY76" s="124" t="str">
        <f>IF(AY$6="","",IF(AY$3="Maior",iferror(VLOOKUP($R75,Capa!$A:$Z,AY$5,0),0),IF(ISERROR(1/VLOOKUP($R75,Capa!$A:$Z,AY$5,0)),0,1/VLOOKUP($R75,Capa!$A:$Z,AY$5,0))))</f>
        <v/>
      </c>
      <c r="AZ76" s="124" t="str">
        <f>IF(AZ$6="","",IF(AZ$3="Maior",iferror(VLOOKUP($R75,Capa!$A:$Z,AZ$5,0),0),IF(ISERROR(1/VLOOKUP($R75,Capa!$A:$Z,AZ$5,0)),0,1/VLOOKUP($R75,Capa!$A:$Z,AZ$5,0))))</f>
        <v/>
      </c>
      <c r="BA76" s="124" t="str">
        <f>IF(BA$6="","",IF(BA$3="Maior",iferror(VLOOKUP($R75,Capa!$A:$Z,BA$5,0),0),IF(ISERROR(1/VLOOKUP($R75,Capa!$A:$Z,BA$5,0)),0,1/VLOOKUP($R75,Capa!$A:$Z,BA$5,0))))</f>
        <v/>
      </c>
      <c r="BB76" s="124" t="str">
        <f>IF(BB$6="","",IF(BB$3="Maior",iferror(VLOOKUP($R75,Capa!$A:$Z,BB$5,0),0),IF(ISERROR(1/VLOOKUP($R75,Capa!$A:$Z,BB$5,0)),0,1/VLOOKUP($R75,Capa!$A:$Z,BB$5,0))))</f>
        <v/>
      </c>
      <c r="BC76" s="124" t="str">
        <f>IF(BC$6="","",IF(BC$3="Maior",iferror(VLOOKUP($R75,Capa!$A:$Z,BC$5,0),0),IF(ISERROR(1/VLOOKUP($R75,Capa!$A:$Z,BC$5,0)),0,1/VLOOKUP($R75,Capa!$A:$Z,BC$5,0))))</f>
        <v/>
      </c>
      <c r="BD76" s="124" t="str">
        <f>IF(BD$6="","",IF(BD$3="Maior",iferror(VLOOKUP($R75,Capa!$A:$Z,BD$5,0),0),IF(ISERROR(1/VLOOKUP($R75,Capa!$A:$Z,BD$5,0)),0,1/VLOOKUP($R75,Capa!$A:$Z,BD$5,0))))</f>
        <v/>
      </c>
      <c r="BE76" s="124" t="str">
        <f>IF(BE$6="","",IF(BE$3="Maior",iferror(VLOOKUP($R75,Capa!$A:$Z,BE$5,0),0),IF(ISERROR(1/VLOOKUP($R75,Capa!$A:$Z,BE$5,0)),0,1/VLOOKUP($R75,Capa!$A:$Z,BE$5,0))))</f>
        <v/>
      </c>
      <c r="BF76" s="124" t="str">
        <f>IF(BF$6="","",IF(BF$3="Maior",iferror(VLOOKUP($R75,Capa!$A:$Z,BF$5,0),0),IF(ISERROR(1/VLOOKUP($R75,Capa!$A:$Z,BF$5,0)),0,1/VLOOKUP($R75,Capa!$A:$Z,BF$5,0))))</f>
        <v/>
      </c>
      <c r="BG76" s="124" t="str">
        <f>IF(BG$6="","",IF(BG$3="Maior",iferror(VLOOKUP($R75,Capa!$A:$Z,BG$5,0),0),IF(ISERROR(1/VLOOKUP($R75,Capa!$A:$Z,BG$5,0)),0,1/VLOOKUP($R75,Capa!$A:$Z,BG$5,0))))</f>
        <v/>
      </c>
      <c r="BH76" s="124" t="str">
        <f>IF(BH$6="","",IF(BH$3="Maior",iferror(VLOOKUP($R75,Capa!$A:$Z,BH$5,0),0),IF(ISERROR(1/VLOOKUP($R75,Capa!$A:$Z,BH$5,0)),0,1/VLOOKUP($R75,Capa!$A:$Z,BH$5,0))))</f>
        <v/>
      </c>
      <c r="BI76" s="124" t="str">
        <f>IF(BI$6="","",IF(BI$3="Maior",iferror(VLOOKUP($R75,Capa!$A:$Z,BI$5,0),0),IF(ISERROR(1/VLOOKUP($R75,Capa!$A:$Z,BI$5,0)),0,1/VLOOKUP($R75,Capa!$A:$Z,BI$5,0))))</f>
        <v/>
      </c>
      <c r="BJ76" s="124" t="str">
        <f>IF(BJ$6="","",IF(BJ$3="Maior",iferror(VLOOKUP($R75,Capa!$A:$Z,BJ$5,0),0),IF(ISERROR(1/VLOOKUP($R75,Capa!$A:$Z,BJ$5,0)),0,1/VLOOKUP($R75,Capa!$A:$Z,BJ$5,0))))</f>
        <v/>
      </c>
      <c r="BK76" s="124" t="str">
        <f>IF(BK$6="","",IF(BK$3="Maior",iferror(VLOOKUP($R75,Capa!$A:$Z,BK$5,0),0),IF(ISERROR(1/VLOOKUP($R75,Capa!$A:$Z,BK$5,0)),0,1/VLOOKUP($R75,Capa!$A:$Z,BK$5,0))))</f>
        <v/>
      </c>
      <c r="BL76" s="124" t="str">
        <f>IF(BL$6="","",IF(BL$3="Maior",iferror(VLOOKUP($R75,Capa!$A:$Z,BL$5,0),0),IF(ISERROR(1/VLOOKUP($R75,Capa!$A:$Z,BL$5,0)),0,1/VLOOKUP($R75,Capa!$A:$Z,BL$5,0))))</f>
        <v/>
      </c>
      <c r="BM76" s="124" t="str">
        <f>IF(BM$6="","",IF(BM$3="Maior",iferror(VLOOKUP($R75,Capa!$A:$Z,BM$5,0),0),IF(ISERROR(1/VLOOKUP($R75,Capa!$A:$Z,BM$5,0)),0,1/VLOOKUP($R75,Capa!$A:$Z,BM$5,0))))</f>
        <v/>
      </c>
      <c r="BN76" s="124" t="str">
        <f>IF(BN$6="","",IF(BN$3="Maior",iferror(VLOOKUP($R75,Capa!$A:$Z,BN$5,0),0),IF(ISERROR(1/VLOOKUP($R75,Capa!$A:$Z,BN$5,0)),0,1/VLOOKUP($R75,Capa!$A:$Z,BN$5,0))))</f>
        <v/>
      </c>
      <c r="BO76" s="124" t="str">
        <f>IF(BO$6="","",IF(BO$3="Maior",iferror(VLOOKUP($R75,Capa!$A:$Z,BO$5,0),0),IF(ISERROR(1/VLOOKUP($R75,Capa!$A:$Z,BO$5,0)),0,1/VLOOKUP($R75,Capa!$A:$Z,BO$5,0))))</f>
        <v/>
      </c>
      <c r="BP76" s="124" t="str">
        <f>IF(BP$6="","",IF(BP$3="Maior",iferror(VLOOKUP($R75,Capa!$A:$Z,BP$5,0),0),IF(ISERROR(1/VLOOKUP($R75,Capa!$A:$Z,BP$5,0)),0,1/VLOOKUP($R75,Capa!$A:$Z,BP$5,0))))</f>
        <v/>
      </c>
      <c r="BQ76" s="124" t="str">
        <f>IF(BQ$6="","",IF(BQ$3="Maior",iferror(VLOOKUP($R75,Capa!$A:$Z,BQ$5,0),0),IF(ISERROR(1/VLOOKUP($R75,Capa!$A:$Z,BQ$5,0)),0,1/VLOOKUP($R75,Capa!$A:$Z,BQ$5,0))))</f>
        <v/>
      </c>
      <c r="BR76" s="125" t="str">
        <f>IF(BR$6="","",IF(BR$3="Maior",iferror(VLOOKUP($R75,Capa!$A:$Z,BR$5,0),0),IF(ISERROR(1/VLOOKUP($R75,Capa!$A:$Z,BR$5,0)),0,1/VLOOKUP($R75,Capa!$A:$Z,BR$5,0))))</f>
        <v/>
      </c>
      <c r="BS76" s="88"/>
    </row>
    <row r="77">
      <c r="G77" s="9"/>
      <c r="H77" s="7">
        <v>71.0</v>
      </c>
      <c r="I77" s="111" t="str">
        <f t="shared" si="7"/>
        <v>FAED11</v>
      </c>
      <c r="J77" s="112" t="str">
        <f>VLOOKUP(I77,Capa!A:G,7,0)</f>
        <v>Educacional</v>
      </c>
      <c r="K77" s="113">
        <f t="shared" si="8"/>
        <v>0.67</v>
      </c>
      <c r="L77" s="113">
        <f t="shared" si="9"/>
        <v>0.1251</v>
      </c>
      <c r="M77" s="113" t="str">
        <f t="shared" si="10"/>
        <v/>
      </c>
      <c r="N77" s="113" t="str">
        <f t="shared" si="11"/>
        <v/>
      </c>
      <c r="O77" s="114">
        <f t="shared" si="12"/>
        <v>47163</v>
      </c>
      <c r="P77" s="9"/>
      <c r="Q77" s="9"/>
      <c r="R77" s="127" t="s">
        <v>92</v>
      </c>
      <c r="S77" s="116">
        <f t="shared" si="13"/>
        <v>1170.010961</v>
      </c>
      <c r="T77" s="117">
        <f>MID(VLOOKUP($R77,'Dados ClubeFII'!$A:$AU,23,0),3,100)/1</f>
        <v>175593.47</v>
      </c>
      <c r="U77" s="118">
        <f t="shared" si="14"/>
        <v>109.0109</v>
      </c>
      <c r="V77" s="118">
        <f t="shared" si="15"/>
        <v>61.000061</v>
      </c>
      <c r="W77" s="118" t="str">
        <f t="shared" ref="W77:AS77" si="86">IF(AV77="","", RANK(AV77,AV$7:AV$405,0))</f>
        <v/>
      </c>
      <c r="X77" s="118" t="str">
        <f t="shared" si="86"/>
        <v/>
      </c>
      <c r="Y77" s="118" t="str">
        <f t="shared" si="86"/>
        <v/>
      </c>
      <c r="Z77" s="118" t="str">
        <f t="shared" si="86"/>
        <v/>
      </c>
      <c r="AA77" s="118" t="str">
        <f t="shared" si="86"/>
        <v/>
      </c>
      <c r="AB77" s="118" t="str">
        <f t="shared" si="86"/>
        <v/>
      </c>
      <c r="AC77" s="118" t="str">
        <f t="shared" si="86"/>
        <v/>
      </c>
      <c r="AD77" s="118" t="str">
        <f t="shared" si="86"/>
        <v/>
      </c>
      <c r="AE77" s="118" t="str">
        <f t="shared" si="86"/>
        <v/>
      </c>
      <c r="AF77" s="118" t="str">
        <f t="shared" si="86"/>
        <v/>
      </c>
      <c r="AG77" s="118" t="str">
        <f t="shared" si="86"/>
        <v/>
      </c>
      <c r="AH77" s="118" t="str">
        <f t="shared" si="86"/>
        <v/>
      </c>
      <c r="AI77" s="118" t="str">
        <f t="shared" si="86"/>
        <v/>
      </c>
      <c r="AJ77" s="118" t="str">
        <f t="shared" si="86"/>
        <v/>
      </c>
      <c r="AK77" s="118" t="str">
        <f t="shared" si="86"/>
        <v/>
      </c>
      <c r="AL77" s="118" t="str">
        <f t="shared" si="86"/>
        <v/>
      </c>
      <c r="AM77" s="118" t="str">
        <f t="shared" si="86"/>
        <v/>
      </c>
      <c r="AN77" s="118" t="str">
        <f t="shared" si="86"/>
        <v/>
      </c>
      <c r="AO77" s="118" t="str">
        <f t="shared" si="86"/>
        <v/>
      </c>
      <c r="AP77" s="118" t="str">
        <f t="shared" si="86"/>
        <v/>
      </c>
      <c r="AQ77" s="118" t="str">
        <f t="shared" si="86"/>
        <v/>
      </c>
      <c r="AR77" s="118" t="str">
        <f t="shared" si="86"/>
        <v/>
      </c>
      <c r="AS77" s="118" t="str">
        <f t="shared" si="86"/>
        <v/>
      </c>
      <c r="AT77" s="123">
        <f>IF(AT$6="","",IF(AT$3="Maior",iferror(VLOOKUP($R77,Capa!$A:$Z,AT$5,0),0),IF(ISERROR(1/VLOOKUP($R77,Capa!$A:$Z,AT$5,0)),0,1/VLOOKUP($R77,Capa!$A:$Z,AT$5,0))))</f>
        <v>1.169370275</v>
      </c>
      <c r="AU77" s="124">
        <f>IF(AU$6="","",IF(AU$3="Maior",iferror(VLOOKUP($R77,Capa!$A:$Z,AU$5,0),0),IF(ISERROR(1/VLOOKUP($R77,Capa!$A:$Z,AU$5,0)),0,1/VLOOKUP($R77,Capa!$A:$Z,AU$5,0))))</f>
        <v>0.128802046</v>
      </c>
      <c r="AV77" s="124" t="str">
        <f>IF(AV$6="","",IF(AV$3="Maior",iferror(VLOOKUP($R76,Capa!$A:$Z,AV$5,0),0),IF(ISERROR(1/VLOOKUP($R76,Capa!$A:$Z,AV$5,0)),0,1/VLOOKUP($R76,Capa!$A:$Z,AV$5,0))))</f>
        <v/>
      </c>
      <c r="AW77" s="124" t="str">
        <f>IF(AW$6="","",IF(AW$3="Maior",iferror(VLOOKUP($R76,Capa!$A:$Z,AW$5,0),0),IF(ISERROR(1/VLOOKUP($R76,Capa!$A:$Z,AW$5,0)),0,1/VLOOKUP($R76,Capa!$A:$Z,AW$5,0))))</f>
        <v/>
      </c>
      <c r="AX77" s="124" t="str">
        <f>IF(AX$6="","",IF(AX$3="Maior",iferror(VLOOKUP($R76,Capa!$A:$Z,AX$5,0),0),IF(ISERROR(1/VLOOKUP($R76,Capa!$A:$Z,AX$5,0)),0,1/VLOOKUP($R76,Capa!$A:$Z,AX$5,0))))</f>
        <v/>
      </c>
      <c r="AY77" s="124" t="str">
        <f>IF(AY$6="","",IF(AY$3="Maior",iferror(VLOOKUP($R76,Capa!$A:$Z,AY$5,0),0),IF(ISERROR(1/VLOOKUP($R76,Capa!$A:$Z,AY$5,0)),0,1/VLOOKUP($R76,Capa!$A:$Z,AY$5,0))))</f>
        <v/>
      </c>
      <c r="AZ77" s="124" t="str">
        <f>IF(AZ$6="","",IF(AZ$3="Maior",iferror(VLOOKUP($R76,Capa!$A:$Z,AZ$5,0),0),IF(ISERROR(1/VLOOKUP($R76,Capa!$A:$Z,AZ$5,0)),0,1/VLOOKUP($R76,Capa!$A:$Z,AZ$5,0))))</f>
        <v/>
      </c>
      <c r="BA77" s="124" t="str">
        <f>IF(BA$6="","",IF(BA$3="Maior",iferror(VLOOKUP($R76,Capa!$A:$Z,BA$5,0),0),IF(ISERROR(1/VLOOKUP($R76,Capa!$A:$Z,BA$5,0)),0,1/VLOOKUP($R76,Capa!$A:$Z,BA$5,0))))</f>
        <v/>
      </c>
      <c r="BB77" s="124" t="str">
        <f>IF(BB$6="","",IF(BB$3="Maior",iferror(VLOOKUP($R76,Capa!$A:$Z,BB$5,0),0),IF(ISERROR(1/VLOOKUP($R76,Capa!$A:$Z,BB$5,0)),0,1/VLOOKUP($R76,Capa!$A:$Z,BB$5,0))))</f>
        <v/>
      </c>
      <c r="BC77" s="124" t="str">
        <f>IF(BC$6="","",IF(BC$3="Maior",iferror(VLOOKUP($R76,Capa!$A:$Z,BC$5,0),0),IF(ISERROR(1/VLOOKUP($R76,Capa!$A:$Z,BC$5,0)),0,1/VLOOKUP($R76,Capa!$A:$Z,BC$5,0))))</f>
        <v/>
      </c>
      <c r="BD77" s="124" t="str">
        <f>IF(BD$6="","",IF(BD$3="Maior",iferror(VLOOKUP($R76,Capa!$A:$Z,BD$5,0),0),IF(ISERROR(1/VLOOKUP($R76,Capa!$A:$Z,BD$5,0)),0,1/VLOOKUP($R76,Capa!$A:$Z,BD$5,0))))</f>
        <v/>
      </c>
      <c r="BE77" s="124" t="str">
        <f>IF(BE$6="","",IF(BE$3="Maior",iferror(VLOOKUP($R76,Capa!$A:$Z,BE$5,0),0),IF(ISERROR(1/VLOOKUP($R76,Capa!$A:$Z,BE$5,0)),0,1/VLOOKUP($R76,Capa!$A:$Z,BE$5,0))))</f>
        <v/>
      </c>
      <c r="BF77" s="124" t="str">
        <f>IF(BF$6="","",IF(BF$3="Maior",iferror(VLOOKUP($R76,Capa!$A:$Z,BF$5,0),0),IF(ISERROR(1/VLOOKUP($R76,Capa!$A:$Z,BF$5,0)),0,1/VLOOKUP($R76,Capa!$A:$Z,BF$5,0))))</f>
        <v/>
      </c>
      <c r="BG77" s="124" t="str">
        <f>IF(BG$6="","",IF(BG$3="Maior",iferror(VLOOKUP($R76,Capa!$A:$Z,BG$5,0),0),IF(ISERROR(1/VLOOKUP($R76,Capa!$A:$Z,BG$5,0)),0,1/VLOOKUP($R76,Capa!$A:$Z,BG$5,0))))</f>
        <v/>
      </c>
      <c r="BH77" s="124" t="str">
        <f>IF(BH$6="","",IF(BH$3="Maior",iferror(VLOOKUP($R76,Capa!$A:$Z,BH$5,0),0),IF(ISERROR(1/VLOOKUP($R76,Capa!$A:$Z,BH$5,0)),0,1/VLOOKUP($R76,Capa!$A:$Z,BH$5,0))))</f>
        <v/>
      </c>
      <c r="BI77" s="124" t="str">
        <f>IF(BI$6="","",IF(BI$3="Maior",iferror(VLOOKUP($R76,Capa!$A:$Z,BI$5,0),0),IF(ISERROR(1/VLOOKUP($R76,Capa!$A:$Z,BI$5,0)),0,1/VLOOKUP($R76,Capa!$A:$Z,BI$5,0))))</f>
        <v/>
      </c>
      <c r="BJ77" s="124" t="str">
        <f>IF(BJ$6="","",IF(BJ$3="Maior",iferror(VLOOKUP($R76,Capa!$A:$Z,BJ$5,0),0),IF(ISERROR(1/VLOOKUP($R76,Capa!$A:$Z,BJ$5,0)),0,1/VLOOKUP($R76,Capa!$A:$Z,BJ$5,0))))</f>
        <v/>
      </c>
      <c r="BK77" s="124" t="str">
        <f>IF(BK$6="","",IF(BK$3="Maior",iferror(VLOOKUP($R76,Capa!$A:$Z,BK$5,0),0),IF(ISERROR(1/VLOOKUP($R76,Capa!$A:$Z,BK$5,0)),0,1/VLOOKUP($R76,Capa!$A:$Z,BK$5,0))))</f>
        <v/>
      </c>
      <c r="BL77" s="124" t="str">
        <f>IF(BL$6="","",IF(BL$3="Maior",iferror(VLOOKUP($R76,Capa!$A:$Z,BL$5,0),0),IF(ISERROR(1/VLOOKUP($R76,Capa!$A:$Z,BL$5,0)),0,1/VLOOKUP($R76,Capa!$A:$Z,BL$5,0))))</f>
        <v/>
      </c>
      <c r="BM77" s="124" t="str">
        <f>IF(BM$6="","",IF(BM$3="Maior",iferror(VLOOKUP($R76,Capa!$A:$Z,BM$5,0),0),IF(ISERROR(1/VLOOKUP($R76,Capa!$A:$Z,BM$5,0)),0,1/VLOOKUP($R76,Capa!$A:$Z,BM$5,0))))</f>
        <v/>
      </c>
      <c r="BN77" s="124" t="str">
        <f>IF(BN$6="","",IF(BN$3="Maior",iferror(VLOOKUP($R76,Capa!$A:$Z,BN$5,0),0),IF(ISERROR(1/VLOOKUP($R76,Capa!$A:$Z,BN$5,0)),0,1/VLOOKUP($R76,Capa!$A:$Z,BN$5,0))))</f>
        <v/>
      </c>
      <c r="BO77" s="124" t="str">
        <f>IF(BO$6="","",IF(BO$3="Maior",iferror(VLOOKUP($R76,Capa!$A:$Z,BO$5,0),0),IF(ISERROR(1/VLOOKUP($R76,Capa!$A:$Z,BO$5,0)),0,1/VLOOKUP($R76,Capa!$A:$Z,BO$5,0))))</f>
        <v/>
      </c>
      <c r="BP77" s="124" t="str">
        <f>IF(BP$6="","",IF(BP$3="Maior",iferror(VLOOKUP($R76,Capa!$A:$Z,BP$5,0),0),IF(ISERROR(1/VLOOKUP($R76,Capa!$A:$Z,BP$5,0)),0,1/VLOOKUP($R76,Capa!$A:$Z,BP$5,0))))</f>
        <v/>
      </c>
      <c r="BQ77" s="124" t="str">
        <f>IF(BQ$6="","",IF(BQ$3="Maior",iferror(VLOOKUP($R76,Capa!$A:$Z,BQ$5,0),0),IF(ISERROR(1/VLOOKUP($R76,Capa!$A:$Z,BQ$5,0)),0,1/VLOOKUP($R76,Capa!$A:$Z,BQ$5,0))))</f>
        <v/>
      </c>
      <c r="BR77" s="125" t="str">
        <f>IF(BR$6="","",IF(BR$3="Maior",iferror(VLOOKUP($R76,Capa!$A:$Z,BR$5,0),0),IF(ISERROR(1/VLOOKUP($R76,Capa!$A:$Z,BR$5,0)),0,1/VLOOKUP($R76,Capa!$A:$Z,BR$5,0))))</f>
        <v/>
      </c>
      <c r="BS77" s="88"/>
    </row>
    <row r="78">
      <c r="G78" s="9"/>
      <c r="H78" s="7">
        <v>72.0</v>
      </c>
      <c r="I78" s="111" t="str">
        <f t="shared" si="7"/>
        <v>BBFI11B</v>
      </c>
      <c r="J78" s="112" t="str">
        <f>VLOOKUP(I78,Capa!A:G,7,0)</f>
        <v>Agencias Bancárias</v>
      </c>
      <c r="K78" s="113">
        <f t="shared" si="8"/>
        <v>0.496735905</v>
      </c>
      <c r="L78" s="113">
        <f t="shared" si="9"/>
        <v>0.1083850148</v>
      </c>
      <c r="M78" s="113" t="str">
        <f t="shared" si="10"/>
        <v/>
      </c>
      <c r="N78" s="113" t="str">
        <f t="shared" si="11"/>
        <v/>
      </c>
      <c r="O78" s="114">
        <f t="shared" si="12"/>
        <v>318311.13</v>
      </c>
      <c r="P78" s="9"/>
      <c r="Q78" s="9"/>
      <c r="R78" s="115" t="s">
        <v>106</v>
      </c>
      <c r="S78" s="116">
        <f t="shared" si="13"/>
        <v>1216.007443</v>
      </c>
      <c r="T78" s="117">
        <f>MID(VLOOKUP($R78,'Dados ClubeFII'!$A:$AU,23,0),3,100)/1</f>
        <v>40009.52</v>
      </c>
      <c r="U78" s="118">
        <f t="shared" si="14"/>
        <v>73.0073</v>
      </c>
      <c r="V78" s="118">
        <f t="shared" si="15"/>
        <v>143.000143</v>
      </c>
      <c r="W78" s="118" t="str">
        <f t="shared" ref="W78:AS78" si="87">IF(AV78="","", RANK(AV78,AV$7:AV$405,0))</f>
        <v/>
      </c>
      <c r="X78" s="118" t="str">
        <f t="shared" si="87"/>
        <v/>
      </c>
      <c r="Y78" s="118" t="str">
        <f t="shared" si="87"/>
        <v/>
      </c>
      <c r="Z78" s="118" t="str">
        <f t="shared" si="87"/>
        <v/>
      </c>
      <c r="AA78" s="118" t="str">
        <f t="shared" si="87"/>
        <v/>
      </c>
      <c r="AB78" s="118" t="str">
        <f t="shared" si="87"/>
        <v/>
      </c>
      <c r="AC78" s="118" t="str">
        <f t="shared" si="87"/>
        <v/>
      </c>
      <c r="AD78" s="118" t="str">
        <f t="shared" si="87"/>
        <v/>
      </c>
      <c r="AE78" s="118" t="str">
        <f t="shared" si="87"/>
        <v/>
      </c>
      <c r="AF78" s="118" t="str">
        <f t="shared" si="87"/>
        <v/>
      </c>
      <c r="AG78" s="118" t="str">
        <f t="shared" si="87"/>
        <v/>
      </c>
      <c r="AH78" s="118" t="str">
        <f t="shared" si="87"/>
        <v/>
      </c>
      <c r="AI78" s="118" t="str">
        <f t="shared" si="87"/>
        <v/>
      </c>
      <c r="AJ78" s="118" t="str">
        <f t="shared" si="87"/>
        <v/>
      </c>
      <c r="AK78" s="118" t="str">
        <f t="shared" si="87"/>
        <v/>
      </c>
      <c r="AL78" s="118" t="str">
        <f t="shared" si="87"/>
        <v/>
      </c>
      <c r="AM78" s="118" t="str">
        <f t="shared" si="87"/>
        <v/>
      </c>
      <c r="AN78" s="118" t="str">
        <f t="shared" si="87"/>
        <v/>
      </c>
      <c r="AO78" s="118" t="str">
        <f t="shared" si="87"/>
        <v/>
      </c>
      <c r="AP78" s="118" t="str">
        <f t="shared" si="87"/>
        <v/>
      </c>
      <c r="AQ78" s="118" t="str">
        <f t="shared" si="87"/>
        <v/>
      </c>
      <c r="AR78" s="118" t="str">
        <f t="shared" si="87"/>
        <v/>
      </c>
      <c r="AS78" s="118" t="str">
        <f t="shared" si="87"/>
        <v/>
      </c>
      <c r="AT78" s="123">
        <f>IF(AT$6="","",IF(AT$3="Maior",iferror(VLOOKUP($R78,Capa!$A:$Z,AT$5,0),0),IF(ISERROR(1/VLOOKUP($R78,Capa!$A:$Z,AT$5,0)),0,1/VLOOKUP($R78,Capa!$A:$Z,AT$5,0))))</f>
        <v>1.276533452</v>
      </c>
      <c r="AU78" s="124">
        <f>IF(AU$6="","",IF(AU$3="Maior",iferror(VLOOKUP($R78,Capa!$A:$Z,AU$5,0),0),IF(ISERROR(1/VLOOKUP($R78,Capa!$A:$Z,AU$5,0)),0,1/VLOOKUP($R78,Capa!$A:$Z,AU$5,0))))</f>
        <v>0.08751084912</v>
      </c>
      <c r="AV78" s="124" t="str">
        <f>IF(AV$6="","",IF(AV$3="Maior",iferror(VLOOKUP($R77,Capa!$A:$Z,AV$5,0),0),IF(ISERROR(1/VLOOKUP($R77,Capa!$A:$Z,AV$5,0)),0,1/VLOOKUP($R77,Capa!$A:$Z,AV$5,0))))</f>
        <v/>
      </c>
      <c r="AW78" s="124" t="str">
        <f>IF(AW$6="","",IF(AW$3="Maior",iferror(VLOOKUP($R77,Capa!$A:$Z,AW$5,0),0),IF(ISERROR(1/VLOOKUP($R77,Capa!$A:$Z,AW$5,0)),0,1/VLOOKUP($R77,Capa!$A:$Z,AW$5,0))))</f>
        <v/>
      </c>
      <c r="AX78" s="124" t="str">
        <f>IF(AX$6="","",IF(AX$3="Maior",iferror(VLOOKUP($R77,Capa!$A:$Z,AX$5,0),0),IF(ISERROR(1/VLOOKUP($R77,Capa!$A:$Z,AX$5,0)),0,1/VLOOKUP($R77,Capa!$A:$Z,AX$5,0))))</f>
        <v/>
      </c>
      <c r="AY78" s="124" t="str">
        <f>IF(AY$6="","",IF(AY$3="Maior",iferror(VLOOKUP($R77,Capa!$A:$Z,AY$5,0),0),IF(ISERROR(1/VLOOKUP($R77,Capa!$A:$Z,AY$5,0)),0,1/VLOOKUP($R77,Capa!$A:$Z,AY$5,0))))</f>
        <v/>
      </c>
      <c r="AZ78" s="124" t="str">
        <f>IF(AZ$6="","",IF(AZ$3="Maior",iferror(VLOOKUP($R77,Capa!$A:$Z,AZ$5,0),0),IF(ISERROR(1/VLOOKUP($R77,Capa!$A:$Z,AZ$5,0)),0,1/VLOOKUP($R77,Capa!$A:$Z,AZ$5,0))))</f>
        <v/>
      </c>
      <c r="BA78" s="124" t="str">
        <f>IF(BA$6="","",IF(BA$3="Maior",iferror(VLOOKUP($R77,Capa!$A:$Z,BA$5,0),0),IF(ISERROR(1/VLOOKUP($R77,Capa!$A:$Z,BA$5,0)),0,1/VLOOKUP($R77,Capa!$A:$Z,BA$5,0))))</f>
        <v/>
      </c>
      <c r="BB78" s="124" t="str">
        <f>IF(BB$6="","",IF(BB$3="Maior",iferror(VLOOKUP($R77,Capa!$A:$Z,BB$5,0),0),IF(ISERROR(1/VLOOKUP($R77,Capa!$A:$Z,BB$5,0)),0,1/VLOOKUP($R77,Capa!$A:$Z,BB$5,0))))</f>
        <v/>
      </c>
      <c r="BC78" s="124" t="str">
        <f>IF(BC$6="","",IF(BC$3="Maior",iferror(VLOOKUP($R77,Capa!$A:$Z,BC$5,0),0),IF(ISERROR(1/VLOOKUP($R77,Capa!$A:$Z,BC$5,0)),0,1/VLOOKUP($R77,Capa!$A:$Z,BC$5,0))))</f>
        <v/>
      </c>
      <c r="BD78" s="124" t="str">
        <f>IF(BD$6="","",IF(BD$3="Maior",iferror(VLOOKUP($R77,Capa!$A:$Z,BD$5,0),0),IF(ISERROR(1/VLOOKUP($R77,Capa!$A:$Z,BD$5,0)),0,1/VLOOKUP($R77,Capa!$A:$Z,BD$5,0))))</f>
        <v/>
      </c>
      <c r="BE78" s="124" t="str">
        <f>IF(BE$6="","",IF(BE$3="Maior",iferror(VLOOKUP($R77,Capa!$A:$Z,BE$5,0),0),IF(ISERROR(1/VLOOKUP($R77,Capa!$A:$Z,BE$5,0)),0,1/VLOOKUP($R77,Capa!$A:$Z,BE$5,0))))</f>
        <v/>
      </c>
      <c r="BF78" s="124" t="str">
        <f>IF(BF$6="","",IF(BF$3="Maior",iferror(VLOOKUP($R77,Capa!$A:$Z,BF$5,0),0),IF(ISERROR(1/VLOOKUP($R77,Capa!$A:$Z,BF$5,0)),0,1/VLOOKUP($R77,Capa!$A:$Z,BF$5,0))))</f>
        <v/>
      </c>
      <c r="BG78" s="124" t="str">
        <f>IF(BG$6="","",IF(BG$3="Maior",iferror(VLOOKUP($R77,Capa!$A:$Z,BG$5,0),0),IF(ISERROR(1/VLOOKUP($R77,Capa!$A:$Z,BG$5,0)),0,1/VLOOKUP($R77,Capa!$A:$Z,BG$5,0))))</f>
        <v/>
      </c>
      <c r="BH78" s="124" t="str">
        <f>IF(BH$6="","",IF(BH$3="Maior",iferror(VLOOKUP($R77,Capa!$A:$Z,BH$5,0),0),IF(ISERROR(1/VLOOKUP($R77,Capa!$A:$Z,BH$5,0)),0,1/VLOOKUP($R77,Capa!$A:$Z,BH$5,0))))</f>
        <v/>
      </c>
      <c r="BI78" s="124" t="str">
        <f>IF(BI$6="","",IF(BI$3="Maior",iferror(VLOOKUP($R77,Capa!$A:$Z,BI$5,0),0),IF(ISERROR(1/VLOOKUP($R77,Capa!$A:$Z,BI$5,0)),0,1/VLOOKUP($R77,Capa!$A:$Z,BI$5,0))))</f>
        <v/>
      </c>
      <c r="BJ78" s="124" t="str">
        <f>IF(BJ$6="","",IF(BJ$3="Maior",iferror(VLOOKUP($R77,Capa!$A:$Z,BJ$5,0),0),IF(ISERROR(1/VLOOKUP($R77,Capa!$A:$Z,BJ$5,0)),0,1/VLOOKUP($R77,Capa!$A:$Z,BJ$5,0))))</f>
        <v/>
      </c>
      <c r="BK78" s="124" t="str">
        <f>IF(BK$6="","",IF(BK$3="Maior",iferror(VLOOKUP($R77,Capa!$A:$Z,BK$5,0),0),IF(ISERROR(1/VLOOKUP($R77,Capa!$A:$Z,BK$5,0)),0,1/VLOOKUP($R77,Capa!$A:$Z,BK$5,0))))</f>
        <v/>
      </c>
      <c r="BL78" s="124" t="str">
        <f>IF(BL$6="","",IF(BL$3="Maior",iferror(VLOOKUP($R77,Capa!$A:$Z,BL$5,0),0),IF(ISERROR(1/VLOOKUP($R77,Capa!$A:$Z,BL$5,0)),0,1/VLOOKUP($R77,Capa!$A:$Z,BL$5,0))))</f>
        <v/>
      </c>
      <c r="BM78" s="124" t="str">
        <f>IF(BM$6="","",IF(BM$3="Maior",iferror(VLOOKUP($R77,Capa!$A:$Z,BM$5,0),0),IF(ISERROR(1/VLOOKUP($R77,Capa!$A:$Z,BM$5,0)),0,1/VLOOKUP($R77,Capa!$A:$Z,BM$5,0))))</f>
        <v/>
      </c>
      <c r="BN78" s="124" t="str">
        <f>IF(BN$6="","",IF(BN$3="Maior",iferror(VLOOKUP($R77,Capa!$A:$Z,BN$5,0),0),IF(ISERROR(1/VLOOKUP($R77,Capa!$A:$Z,BN$5,0)),0,1/VLOOKUP($R77,Capa!$A:$Z,BN$5,0))))</f>
        <v/>
      </c>
      <c r="BO78" s="124" t="str">
        <f>IF(BO$6="","",IF(BO$3="Maior",iferror(VLOOKUP($R77,Capa!$A:$Z,BO$5,0),0),IF(ISERROR(1/VLOOKUP($R77,Capa!$A:$Z,BO$5,0)),0,1/VLOOKUP($R77,Capa!$A:$Z,BO$5,0))))</f>
        <v/>
      </c>
      <c r="BP78" s="124" t="str">
        <f>IF(BP$6="","",IF(BP$3="Maior",iferror(VLOOKUP($R77,Capa!$A:$Z,BP$5,0),0),IF(ISERROR(1/VLOOKUP($R77,Capa!$A:$Z,BP$5,0)),0,1/VLOOKUP($R77,Capa!$A:$Z,BP$5,0))))</f>
        <v/>
      </c>
      <c r="BQ78" s="124" t="str">
        <f>IF(BQ$6="","",IF(BQ$3="Maior",iferror(VLOOKUP($R77,Capa!$A:$Z,BQ$5,0),0),IF(ISERROR(1/VLOOKUP($R77,Capa!$A:$Z,BQ$5,0)),0,1/VLOOKUP($R77,Capa!$A:$Z,BQ$5,0))))</f>
        <v/>
      </c>
      <c r="BR78" s="125" t="str">
        <f>IF(BR$6="","",IF(BR$3="Maior",iferror(VLOOKUP($R77,Capa!$A:$Z,BR$5,0),0),IF(ISERROR(1/VLOOKUP($R77,Capa!$A:$Z,BR$5,0)),0,1/VLOOKUP($R77,Capa!$A:$Z,BR$5,0))))</f>
        <v/>
      </c>
      <c r="BS78" s="88"/>
    </row>
    <row r="79">
      <c r="G79" s="9"/>
      <c r="H79" s="7">
        <v>73.0</v>
      </c>
      <c r="I79" s="111" t="str">
        <f t="shared" si="7"/>
        <v>XPPR11</v>
      </c>
      <c r="J79" s="112" t="str">
        <f>VLOOKUP(I79,Capa!A:G,7,0)</f>
        <v>Lajes Comerciais</v>
      </c>
      <c r="K79" s="113">
        <f t="shared" si="8"/>
        <v>0.3109370003</v>
      </c>
      <c r="L79" s="113">
        <f t="shared" si="9"/>
        <v>0.1014987208</v>
      </c>
      <c r="M79" s="113" t="str">
        <f t="shared" si="10"/>
        <v/>
      </c>
      <c r="N79" s="113" t="str">
        <f t="shared" si="11"/>
        <v/>
      </c>
      <c r="O79" s="114">
        <f t="shared" si="12"/>
        <v>420585.05</v>
      </c>
      <c r="P79" s="9"/>
      <c r="Q79" s="9"/>
      <c r="R79" s="115" t="s">
        <v>158</v>
      </c>
      <c r="S79" s="116">
        <f t="shared" si="13"/>
        <v>200.005249</v>
      </c>
      <c r="T79" s="117">
        <f>MID(VLOOKUP($R79,'Dados ClubeFII'!$A:$AU,23,0),3,100)/1</f>
        <v>2412980.18</v>
      </c>
      <c r="U79" s="118">
        <f t="shared" si="14"/>
        <v>51.0051</v>
      </c>
      <c r="V79" s="118">
        <f t="shared" si="15"/>
        <v>149.000149</v>
      </c>
      <c r="W79" s="118" t="str">
        <f t="shared" ref="W79:AS79" si="88">IF(AV79="","", RANK(AV79,AV$7:AV$405,0))</f>
        <v/>
      </c>
      <c r="X79" s="118" t="str">
        <f t="shared" si="88"/>
        <v/>
      </c>
      <c r="Y79" s="118" t="str">
        <f t="shared" si="88"/>
        <v/>
      </c>
      <c r="Z79" s="118" t="str">
        <f t="shared" si="88"/>
        <v/>
      </c>
      <c r="AA79" s="118" t="str">
        <f t="shared" si="88"/>
        <v/>
      </c>
      <c r="AB79" s="118" t="str">
        <f t="shared" si="88"/>
        <v/>
      </c>
      <c r="AC79" s="118" t="str">
        <f t="shared" si="88"/>
        <v/>
      </c>
      <c r="AD79" s="118" t="str">
        <f t="shared" si="88"/>
        <v/>
      </c>
      <c r="AE79" s="118" t="str">
        <f t="shared" si="88"/>
        <v/>
      </c>
      <c r="AF79" s="118" t="str">
        <f t="shared" si="88"/>
        <v/>
      </c>
      <c r="AG79" s="118" t="str">
        <f t="shared" si="88"/>
        <v/>
      </c>
      <c r="AH79" s="118" t="str">
        <f t="shared" si="88"/>
        <v/>
      </c>
      <c r="AI79" s="118" t="str">
        <f t="shared" si="88"/>
        <v/>
      </c>
      <c r="AJ79" s="118" t="str">
        <f t="shared" si="88"/>
        <v/>
      </c>
      <c r="AK79" s="118" t="str">
        <f t="shared" si="88"/>
        <v/>
      </c>
      <c r="AL79" s="118" t="str">
        <f t="shared" si="88"/>
        <v/>
      </c>
      <c r="AM79" s="118" t="str">
        <f t="shared" si="88"/>
        <v/>
      </c>
      <c r="AN79" s="118" t="str">
        <f t="shared" si="88"/>
        <v/>
      </c>
      <c r="AO79" s="118" t="str">
        <f t="shared" si="88"/>
        <v/>
      </c>
      <c r="AP79" s="118" t="str">
        <f t="shared" si="88"/>
        <v/>
      </c>
      <c r="AQ79" s="118" t="str">
        <f t="shared" si="88"/>
        <v/>
      </c>
      <c r="AR79" s="118" t="str">
        <f t="shared" si="88"/>
        <v/>
      </c>
      <c r="AS79" s="118" t="str">
        <f t="shared" si="88"/>
        <v/>
      </c>
      <c r="AT79" s="123">
        <f>IF(AT$6="","",IF(AT$3="Maior",iferror(VLOOKUP($R79,Capa!$A:$Z,AT$5,0),0),IF(ISERROR(1/VLOOKUP($R79,Capa!$A:$Z,AT$5,0)),0,1/VLOOKUP($R79,Capa!$A:$Z,AT$5,0))))</f>
        <v>1.398728889</v>
      </c>
      <c r="AU79" s="124">
        <f>IF(AU$6="","",IF(AU$3="Maior",iferror(VLOOKUP($R79,Capa!$A:$Z,AU$5,0),0),IF(ISERROR(1/VLOOKUP($R79,Capa!$A:$Z,AU$5,0)),0,1/VLOOKUP($R79,Capa!$A:$Z,AU$5,0))))</f>
        <v>0.0816788559</v>
      </c>
      <c r="AV79" s="124" t="str">
        <f>IF(AV$6="","",IF(AV$3="Maior",iferror(VLOOKUP($R78,Capa!$A:$Z,AV$5,0),0),IF(ISERROR(1/VLOOKUP($R78,Capa!$A:$Z,AV$5,0)),0,1/VLOOKUP($R78,Capa!$A:$Z,AV$5,0))))</f>
        <v/>
      </c>
      <c r="AW79" s="124" t="str">
        <f>IF(AW$6="","",IF(AW$3="Maior",iferror(VLOOKUP($R78,Capa!$A:$Z,AW$5,0),0),IF(ISERROR(1/VLOOKUP($R78,Capa!$A:$Z,AW$5,0)),0,1/VLOOKUP($R78,Capa!$A:$Z,AW$5,0))))</f>
        <v/>
      </c>
      <c r="AX79" s="124" t="str">
        <f>IF(AX$6="","",IF(AX$3="Maior",iferror(VLOOKUP($R78,Capa!$A:$Z,AX$5,0),0),IF(ISERROR(1/VLOOKUP($R78,Capa!$A:$Z,AX$5,0)),0,1/VLOOKUP($R78,Capa!$A:$Z,AX$5,0))))</f>
        <v/>
      </c>
      <c r="AY79" s="124" t="str">
        <f>IF(AY$6="","",IF(AY$3="Maior",iferror(VLOOKUP($R78,Capa!$A:$Z,AY$5,0),0),IF(ISERROR(1/VLOOKUP($R78,Capa!$A:$Z,AY$5,0)),0,1/VLOOKUP($R78,Capa!$A:$Z,AY$5,0))))</f>
        <v/>
      </c>
      <c r="AZ79" s="124" t="str">
        <f>IF(AZ$6="","",IF(AZ$3="Maior",iferror(VLOOKUP($R78,Capa!$A:$Z,AZ$5,0),0),IF(ISERROR(1/VLOOKUP($R78,Capa!$A:$Z,AZ$5,0)),0,1/VLOOKUP($R78,Capa!$A:$Z,AZ$5,0))))</f>
        <v/>
      </c>
      <c r="BA79" s="124" t="str">
        <f>IF(BA$6="","",IF(BA$3="Maior",iferror(VLOOKUP($R78,Capa!$A:$Z,BA$5,0),0),IF(ISERROR(1/VLOOKUP($R78,Capa!$A:$Z,BA$5,0)),0,1/VLOOKUP($R78,Capa!$A:$Z,BA$5,0))))</f>
        <v/>
      </c>
      <c r="BB79" s="124" t="str">
        <f>IF(BB$6="","",IF(BB$3="Maior",iferror(VLOOKUP($R78,Capa!$A:$Z,BB$5,0),0),IF(ISERROR(1/VLOOKUP($R78,Capa!$A:$Z,BB$5,0)),0,1/VLOOKUP($R78,Capa!$A:$Z,BB$5,0))))</f>
        <v/>
      </c>
      <c r="BC79" s="124" t="str">
        <f>IF(BC$6="","",IF(BC$3="Maior",iferror(VLOOKUP($R78,Capa!$A:$Z,BC$5,0),0),IF(ISERROR(1/VLOOKUP($R78,Capa!$A:$Z,BC$5,0)),0,1/VLOOKUP($R78,Capa!$A:$Z,BC$5,0))))</f>
        <v/>
      </c>
      <c r="BD79" s="124" t="str">
        <f>IF(BD$6="","",IF(BD$3="Maior",iferror(VLOOKUP($R78,Capa!$A:$Z,BD$5,0),0),IF(ISERROR(1/VLOOKUP($R78,Capa!$A:$Z,BD$5,0)),0,1/VLOOKUP($R78,Capa!$A:$Z,BD$5,0))))</f>
        <v/>
      </c>
      <c r="BE79" s="124" t="str">
        <f>IF(BE$6="","",IF(BE$3="Maior",iferror(VLOOKUP($R78,Capa!$A:$Z,BE$5,0),0),IF(ISERROR(1/VLOOKUP($R78,Capa!$A:$Z,BE$5,0)),0,1/VLOOKUP($R78,Capa!$A:$Z,BE$5,0))))</f>
        <v/>
      </c>
      <c r="BF79" s="124" t="str">
        <f>IF(BF$6="","",IF(BF$3="Maior",iferror(VLOOKUP($R78,Capa!$A:$Z,BF$5,0),0),IF(ISERROR(1/VLOOKUP($R78,Capa!$A:$Z,BF$5,0)),0,1/VLOOKUP($R78,Capa!$A:$Z,BF$5,0))))</f>
        <v/>
      </c>
      <c r="BG79" s="124" t="str">
        <f>IF(BG$6="","",IF(BG$3="Maior",iferror(VLOOKUP($R78,Capa!$A:$Z,BG$5,0),0),IF(ISERROR(1/VLOOKUP($R78,Capa!$A:$Z,BG$5,0)),0,1/VLOOKUP($R78,Capa!$A:$Z,BG$5,0))))</f>
        <v/>
      </c>
      <c r="BH79" s="124" t="str">
        <f>IF(BH$6="","",IF(BH$3="Maior",iferror(VLOOKUP($R78,Capa!$A:$Z,BH$5,0),0),IF(ISERROR(1/VLOOKUP($R78,Capa!$A:$Z,BH$5,0)),0,1/VLOOKUP($R78,Capa!$A:$Z,BH$5,0))))</f>
        <v/>
      </c>
      <c r="BI79" s="124" t="str">
        <f>IF(BI$6="","",IF(BI$3="Maior",iferror(VLOOKUP($R78,Capa!$A:$Z,BI$5,0),0),IF(ISERROR(1/VLOOKUP($R78,Capa!$A:$Z,BI$5,0)),0,1/VLOOKUP($R78,Capa!$A:$Z,BI$5,0))))</f>
        <v/>
      </c>
      <c r="BJ79" s="124" t="str">
        <f>IF(BJ$6="","",IF(BJ$3="Maior",iferror(VLOOKUP($R78,Capa!$A:$Z,BJ$5,0),0),IF(ISERROR(1/VLOOKUP($R78,Capa!$A:$Z,BJ$5,0)),0,1/VLOOKUP($R78,Capa!$A:$Z,BJ$5,0))))</f>
        <v/>
      </c>
      <c r="BK79" s="124" t="str">
        <f>IF(BK$6="","",IF(BK$3="Maior",iferror(VLOOKUP($R78,Capa!$A:$Z,BK$5,0),0),IF(ISERROR(1/VLOOKUP($R78,Capa!$A:$Z,BK$5,0)),0,1/VLOOKUP($R78,Capa!$A:$Z,BK$5,0))))</f>
        <v/>
      </c>
      <c r="BL79" s="124" t="str">
        <f>IF(BL$6="","",IF(BL$3="Maior",iferror(VLOOKUP($R78,Capa!$A:$Z,BL$5,0),0),IF(ISERROR(1/VLOOKUP($R78,Capa!$A:$Z,BL$5,0)),0,1/VLOOKUP($R78,Capa!$A:$Z,BL$5,0))))</f>
        <v/>
      </c>
      <c r="BM79" s="124" t="str">
        <f>IF(BM$6="","",IF(BM$3="Maior",iferror(VLOOKUP($R78,Capa!$A:$Z,BM$5,0),0),IF(ISERROR(1/VLOOKUP($R78,Capa!$A:$Z,BM$5,0)),0,1/VLOOKUP($R78,Capa!$A:$Z,BM$5,0))))</f>
        <v/>
      </c>
      <c r="BN79" s="124" t="str">
        <f>IF(BN$6="","",IF(BN$3="Maior",iferror(VLOOKUP($R78,Capa!$A:$Z,BN$5,0),0),IF(ISERROR(1/VLOOKUP($R78,Capa!$A:$Z,BN$5,0)),0,1/VLOOKUP($R78,Capa!$A:$Z,BN$5,0))))</f>
        <v/>
      </c>
      <c r="BO79" s="124" t="str">
        <f>IF(BO$6="","",IF(BO$3="Maior",iferror(VLOOKUP($R78,Capa!$A:$Z,BO$5,0),0),IF(ISERROR(1/VLOOKUP($R78,Capa!$A:$Z,BO$5,0)),0,1/VLOOKUP($R78,Capa!$A:$Z,BO$5,0))))</f>
        <v/>
      </c>
      <c r="BP79" s="124" t="str">
        <f>IF(BP$6="","",IF(BP$3="Maior",iferror(VLOOKUP($R78,Capa!$A:$Z,BP$5,0),0),IF(ISERROR(1/VLOOKUP($R78,Capa!$A:$Z,BP$5,0)),0,1/VLOOKUP($R78,Capa!$A:$Z,BP$5,0))))</f>
        <v/>
      </c>
      <c r="BQ79" s="124" t="str">
        <f>IF(BQ$6="","",IF(BQ$3="Maior",iferror(VLOOKUP($R78,Capa!$A:$Z,BQ$5,0),0),IF(ISERROR(1/VLOOKUP($R78,Capa!$A:$Z,BQ$5,0)),0,1/VLOOKUP($R78,Capa!$A:$Z,BQ$5,0))))</f>
        <v/>
      </c>
      <c r="BR79" s="125" t="str">
        <f>IF(BR$6="","",IF(BR$3="Maior",iferror(VLOOKUP($R78,Capa!$A:$Z,BR$5,0),0),IF(ISERROR(1/VLOOKUP($R78,Capa!$A:$Z,BR$5,0)),0,1/VLOOKUP($R78,Capa!$A:$Z,BR$5,0))))</f>
        <v/>
      </c>
      <c r="BS79" s="88"/>
    </row>
    <row r="80">
      <c r="G80" s="9"/>
      <c r="H80" s="7">
        <v>74.0</v>
      </c>
      <c r="I80" s="129" t="str">
        <f t="shared" si="7"/>
        <v>BARI11</v>
      </c>
      <c r="J80" s="112" t="str">
        <f>VLOOKUP(I80,Capa!A:G,7,0)</f>
        <v>Recebíveis Imobiliários</v>
      </c>
      <c r="K80" s="113">
        <f t="shared" si="8"/>
        <v>0.846556825</v>
      </c>
      <c r="L80" s="113">
        <f t="shared" si="9"/>
        <v>0.1567092123</v>
      </c>
      <c r="M80" s="113" t="str">
        <f t="shared" si="10"/>
        <v/>
      </c>
      <c r="N80" s="113" t="str">
        <f t="shared" si="11"/>
        <v/>
      </c>
      <c r="O80" s="114">
        <f t="shared" si="12"/>
        <v>815559.04</v>
      </c>
      <c r="P80" s="9"/>
      <c r="Q80" s="9"/>
      <c r="R80" s="115" t="s">
        <v>117</v>
      </c>
      <c r="S80" s="116">
        <f t="shared" si="13"/>
        <v>1268.010564</v>
      </c>
      <c r="T80" s="117">
        <f>MID(VLOOKUP($R80,'Dados ClubeFII'!$A:$AU,23,0),3,100)/1</f>
        <v>129751.64</v>
      </c>
      <c r="U80" s="118">
        <f t="shared" si="14"/>
        <v>104.0104</v>
      </c>
      <c r="V80" s="118">
        <f t="shared" si="15"/>
        <v>164.000164</v>
      </c>
      <c r="W80" s="118" t="str">
        <f t="shared" ref="W80:AS80" si="89">IF(AV80="","", RANK(AV80,AV$7:AV$405,0))</f>
        <v/>
      </c>
      <c r="X80" s="118" t="str">
        <f t="shared" si="89"/>
        <v/>
      </c>
      <c r="Y80" s="118" t="str">
        <f t="shared" si="89"/>
        <v/>
      </c>
      <c r="Z80" s="118" t="str">
        <f t="shared" si="89"/>
        <v/>
      </c>
      <c r="AA80" s="118" t="str">
        <f t="shared" si="89"/>
        <v/>
      </c>
      <c r="AB80" s="118" t="str">
        <f t="shared" si="89"/>
        <v/>
      </c>
      <c r="AC80" s="118" t="str">
        <f t="shared" si="89"/>
        <v/>
      </c>
      <c r="AD80" s="118" t="str">
        <f t="shared" si="89"/>
        <v/>
      </c>
      <c r="AE80" s="118" t="str">
        <f t="shared" si="89"/>
        <v/>
      </c>
      <c r="AF80" s="118" t="str">
        <f t="shared" si="89"/>
        <v/>
      </c>
      <c r="AG80" s="118" t="str">
        <f t="shared" si="89"/>
        <v/>
      </c>
      <c r="AH80" s="118" t="str">
        <f t="shared" si="89"/>
        <v/>
      </c>
      <c r="AI80" s="118" t="str">
        <f t="shared" si="89"/>
        <v/>
      </c>
      <c r="AJ80" s="118" t="str">
        <f t="shared" si="89"/>
        <v/>
      </c>
      <c r="AK80" s="118" t="str">
        <f t="shared" si="89"/>
        <v/>
      </c>
      <c r="AL80" s="118" t="str">
        <f t="shared" si="89"/>
        <v/>
      </c>
      <c r="AM80" s="118" t="str">
        <f t="shared" si="89"/>
        <v/>
      </c>
      <c r="AN80" s="118" t="str">
        <f t="shared" si="89"/>
        <v/>
      </c>
      <c r="AO80" s="118" t="str">
        <f t="shared" si="89"/>
        <v/>
      </c>
      <c r="AP80" s="118" t="str">
        <f t="shared" si="89"/>
        <v/>
      </c>
      <c r="AQ80" s="118" t="str">
        <f t="shared" si="89"/>
        <v/>
      </c>
      <c r="AR80" s="118" t="str">
        <f t="shared" si="89"/>
        <v/>
      </c>
      <c r="AS80" s="118" t="str">
        <f t="shared" si="89"/>
        <v/>
      </c>
      <c r="AT80" s="123">
        <f>IF(AT$6="","",IF(AT$3="Maior",iferror(VLOOKUP($R80,Capa!$A:$Z,AT$5,0),0),IF(ISERROR(1/VLOOKUP($R80,Capa!$A:$Z,AT$5,0)),0,1/VLOOKUP($R80,Capa!$A:$Z,AT$5,0))))</f>
        <v>1.183631372</v>
      </c>
      <c r="AU80" s="124">
        <f>IF(AU$6="","",IF(AU$3="Maior",iferror(VLOOKUP($R80,Capa!$A:$Z,AU$5,0),0),IF(ISERROR(1/VLOOKUP($R80,Capa!$A:$Z,AU$5,0)),0,1/VLOOKUP($R80,Capa!$A:$Z,AU$5,0))))</f>
        <v>0.0675886107</v>
      </c>
      <c r="AV80" s="124" t="str">
        <f>IF(AV$6="","",IF(AV$3="Maior",iferror(VLOOKUP(#REF!,Capa!$A:$Z,AV$5,0),0),IF(ISERROR(1/VLOOKUP(#REF!,Capa!$A:$Z,AV$5,0)),0,1/VLOOKUP(#REF!,Capa!$A:$Z,AV$5,0))))</f>
        <v/>
      </c>
      <c r="AW80" s="124" t="str">
        <f>IF(AW$6="","",IF(AW$3="Maior",iferror(VLOOKUP(#REF!,Capa!$A:$Z,AW$5,0),0),IF(ISERROR(1/VLOOKUP(#REF!,Capa!$A:$Z,AW$5,0)),0,1/VLOOKUP(#REF!,Capa!$A:$Z,AW$5,0))))</f>
        <v/>
      </c>
      <c r="AX80" s="124" t="str">
        <f>IF(AX$6="","",IF(AX$3="Maior",iferror(VLOOKUP(#REF!,Capa!$A:$Z,AX$5,0),0),IF(ISERROR(1/VLOOKUP(#REF!,Capa!$A:$Z,AX$5,0)),0,1/VLOOKUP(#REF!,Capa!$A:$Z,AX$5,0))))</f>
        <v/>
      </c>
      <c r="AY80" s="124" t="str">
        <f>IF(AY$6="","",IF(AY$3="Maior",iferror(VLOOKUP(#REF!,Capa!$A:$Z,AY$5,0),0),IF(ISERROR(1/VLOOKUP(#REF!,Capa!$A:$Z,AY$5,0)),0,1/VLOOKUP(#REF!,Capa!$A:$Z,AY$5,0))))</f>
        <v/>
      </c>
      <c r="AZ80" s="124" t="str">
        <f>IF(AZ$6="","",IF(AZ$3="Maior",iferror(VLOOKUP(#REF!,Capa!$A:$Z,AZ$5,0),0),IF(ISERROR(1/VLOOKUP(#REF!,Capa!$A:$Z,AZ$5,0)),0,1/VLOOKUP(#REF!,Capa!$A:$Z,AZ$5,0))))</f>
        <v/>
      </c>
      <c r="BA80" s="124" t="str">
        <f>IF(BA$6="","",IF(BA$3="Maior",iferror(VLOOKUP(#REF!,Capa!$A:$Z,BA$5,0),0),IF(ISERROR(1/VLOOKUP(#REF!,Capa!$A:$Z,BA$5,0)),0,1/VLOOKUP(#REF!,Capa!$A:$Z,BA$5,0))))</f>
        <v/>
      </c>
      <c r="BB80" s="124" t="str">
        <f>IF(BB$6="","",IF(BB$3="Maior",iferror(VLOOKUP(#REF!,Capa!$A:$Z,BB$5,0),0),IF(ISERROR(1/VLOOKUP(#REF!,Capa!$A:$Z,BB$5,0)),0,1/VLOOKUP(#REF!,Capa!$A:$Z,BB$5,0))))</f>
        <v/>
      </c>
      <c r="BC80" s="124" t="str">
        <f>IF(BC$6="","",IF(BC$3="Maior",iferror(VLOOKUP(#REF!,Capa!$A:$Z,BC$5,0),0),IF(ISERROR(1/VLOOKUP(#REF!,Capa!$A:$Z,BC$5,0)),0,1/VLOOKUP(#REF!,Capa!$A:$Z,BC$5,0))))</f>
        <v/>
      </c>
      <c r="BD80" s="124" t="str">
        <f>IF(BD$6="","",IF(BD$3="Maior",iferror(VLOOKUP(#REF!,Capa!$A:$Z,BD$5,0),0),IF(ISERROR(1/VLOOKUP(#REF!,Capa!$A:$Z,BD$5,0)),0,1/VLOOKUP(#REF!,Capa!$A:$Z,BD$5,0))))</f>
        <v/>
      </c>
      <c r="BE80" s="124" t="str">
        <f>IF(BE$6="","",IF(BE$3="Maior",iferror(VLOOKUP(#REF!,Capa!$A:$Z,BE$5,0),0),IF(ISERROR(1/VLOOKUP(#REF!,Capa!$A:$Z,BE$5,0)),0,1/VLOOKUP(#REF!,Capa!$A:$Z,BE$5,0))))</f>
        <v/>
      </c>
      <c r="BF80" s="124" t="str">
        <f>IF(BF$6="","",IF(BF$3="Maior",iferror(VLOOKUP(#REF!,Capa!$A:$Z,BF$5,0),0),IF(ISERROR(1/VLOOKUP(#REF!,Capa!$A:$Z,BF$5,0)),0,1/VLOOKUP(#REF!,Capa!$A:$Z,BF$5,0))))</f>
        <v/>
      </c>
      <c r="BG80" s="124" t="str">
        <f>IF(BG$6="","",IF(BG$3="Maior",iferror(VLOOKUP(#REF!,Capa!$A:$Z,BG$5,0),0),IF(ISERROR(1/VLOOKUP(#REF!,Capa!$A:$Z,BG$5,0)),0,1/VLOOKUP(#REF!,Capa!$A:$Z,BG$5,0))))</f>
        <v/>
      </c>
      <c r="BH80" s="124" t="str">
        <f>IF(BH$6="","",IF(BH$3="Maior",iferror(VLOOKUP(#REF!,Capa!$A:$Z,BH$5,0),0),IF(ISERROR(1/VLOOKUP(#REF!,Capa!$A:$Z,BH$5,0)),0,1/VLOOKUP(#REF!,Capa!$A:$Z,BH$5,0))))</f>
        <v/>
      </c>
      <c r="BI80" s="124" t="str">
        <f>IF(BI$6="","",IF(BI$3="Maior",iferror(VLOOKUP(#REF!,Capa!$A:$Z,BI$5,0),0),IF(ISERROR(1/VLOOKUP(#REF!,Capa!$A:$Z,BI$5,0)),0,1/VLOOKUP(#REF!,Capa!$A:$Z,BI$5,0))))</f>
        <v/>
      </c>
      <c r="BJ80" s="124" t="str">
        <f>IF(BJ$6="","",IF(BJ$3="Maior",iferror(VLOOKUP(#REF!,Capa!$A:$Z,BJ$5,0),0),IF(ISERROR(1/VLOOKUP(#REF!,Capa!$A:$Z,BJ$5,0)),0,1/VLOOKUP(#REF!,Capa!$A:$Z,BJ$5,0))))</f>
        <v/>
      </c>
      <c r="BK80" s="124" t="str">
        <f>IF(BK$6="","",IF(BK$3="Maior",iferror(VLOOKUP(#REF!,Capa!$A:$Z,BK$5,0),0),IF(ISERROR(1/VLOOKUP(#REF!,Capa!$A:$Z,BK$5,0)),0,1/VLOOKUP(#REF!,Capa!$A:$Z,BK$5,0))))</f>
        <v/>
      </c>
      <c r="BL80" s="124" t="str">
        <f>IF(BL$6="","",IF(BL$3="Maior",iferror(VLOOKUP(#REF!,Capa!$A:$Z,BL$5,0),0),IF(ISERROR(1/VLOOKUP(#REF!,Capa!$A:$Z,BL$5,0)),0,1/VLOOKUP(#REF!,Capa!$A:$Z,BL$5,0))))</f>
        <v/>
      </c>
      <c r="BM80" s="124" t="str">
        <f>IF(BM$6="","",IF(BM$3="Maior",iferror(VLOOKUP(#REF!,Capa!$A:$Z,BM$5,0),0),IF(ISERROR(1/VLOOKUP(#REF!,Capa!$A:$Z,BM$5,0)),0,1/VLOOKUP(#REF!,Capa!$A:$Z,BM$5,0))))</f>
        <v/>
      </c>
      <c r="BN80" s="124" t="str">
        <f>IF(BN$6="","",IF(BN$3="Maior",iferror(VLOOKUP(#REF!,Capa!$A:$Z,BN$5,0),0),IF(ISERROR(1/VLOOKUP(#REF!,Capa!$A:$Z,BN$5,0)),0,1/VLOOKUP(#REF!,Capa!$A:$Z,BN$5,0))))</f>
        <v/>
      </c>
      <c r="BO80" s="124" t="str">
        <f>IF(BO$6="","",IF(BO$3="Maior",iferror(VLOOKUP(#REF!,Capa!$A:$Z,BO$5,0),0),IF(ISERROR(1/VLOOKUP(#REF!,Capa!$A:$Z,BO$5,0)),0,1/VLOOKUP(#REF!,Capa!$A:$Z,BO$5,0))))</f>
        <v/>
      </c>
      <c r="BP80" s="124" t="str">
        <f>IF(BP$6="","",IF(BP$3="Maior",iferror(VLOOKUP(#REF!,Capa!$A:$Z,BP$5,0),0),IF(ISERROR(1/VLOOKUP(#REF!,Capa!$A:$Z,BP$5,0)),0,1/VLOOKUP(#REF!,Capa!$A:$Z,BP$5,0))))</f>
        <v/>
      </c>
      <c r="BQ80" s="124" t="str">
        <f>IF(BQ$6="","",IF(BQ$3="Maior",iferror(VLOOKUP(#REF!,Capa!$A:$Z,BQ$5,0),0),IF(ISERROR(1/VLOOKUP(#REF!,Capa!$A:$Z,BQ$5,0)),0,1/VLOOKUP(#REF!,Capa!$A:$Z,BQ$5,0))))</f>
        <v/>
      </c>
      <c r="BR80" s="125" t="str">
        <f>IF(BR$6="","",IF(BR$3="Maior",iferror(VLOOKUP(#REF!,Capa!$A:$Z,BR$5,0),0),IF(ISERROR(1/VLOOKUP(#REF!,Capa!$A:$Z,BR$5,0)),0,1/VLOOKUP(#REF!,Capa!$A:$Z,BR$5,0))))</f>
        <v/>
      </c>
      <c r="BS80" s="88"/>
    </row>
    <row r="81">
      <c r="G81" s="9"/>
      <c r="H81" s="7">
        <v>75.0</v>
      </c>
      <c r="I81" s="111" t="str">
        <f t="shared" si="7"/>
        <v>SPTW11</v>
      </c>
      <c r="J81" s="112" t="str">
        <f>VLOOKUP(I81,Capa!A:G,7,0)</f>
        <v>Lajes Comerciais</v>
      </c>
      <c r="K81" s="113">
        <f t="shared" si="8"/>
        <v>0.6876058507</v>
      </c>
      <c r="L81" s="113">
        <f t="shared" si="9"/>
        <v>0.1223938414</v>
      </c>
      <c r="M81" s="113" t="str">
        <f t="shared" si="10"/>
        <v/>
      </c>
      <c r="N81" s="113" t="str">
        <f t="shared" si="11"/>
        <v/>
      </c>
      <c r="O81" s="114">
        <f t="shared" si="12"/>
        <v>113150.21</v>
      </c>
      <c r="P81" s="9"/>
      <c r="Q81" s="9"/>
      <c r="R81" s="115" t="s">
        <v>103</v>
      </c>
      <c r="S81" s="116">
        <f t="shared" si="13"/>
        <v>1171.007497</v>
      </c>
      <c r="T81" s="117">
        <f>MID(VLOOKUP($R81,'Dados ClubeFII'!$A:$AU,23,0),3,100)/1</f>
        <v>86646.39</v>
      </c>
      <c r="U81" s="118">
        <f t="shared" si="14"/>
        <v>74.0074</v>
      </c>
      <c r="V81" s="118">
        <f t="shared" si="15"/>
        <v>97.000097</v>
      </c>
      <c r="W81" s="118" t="str">
        <f t="shared" ref="W81:AS81" si="90">IF(AV81="","", RANK(AV81,AV$7:AV$405,0))</f>
        <v/>
      </c>
      <c r="X81" s="118" t="str">
        <f t="shared" si="90"/>
        <v/>
      </c>
      <c r="Y81" s="118" t="str">
        <f t="shared" si="90"/>
        <v/>
      </c>
      <c r="Z81" s="118" t="str">
        <f t="shared" si="90"/>
        <v/>
      </c>
      <c r="AA81" s="118" t="str">
        <f t="shared" si="90"/>
        <v/>
      </c>
      <c r="AB81" s="118" t="str">
        <f t="shared" si="90"/>
        <v/>
      </c>
      <c r="AC81" s="118" t="str">
        <f t="shared" si="90"/>
        <v/>
      </c>
      <c r="AD81" s="118" t="str">
        <f t="shared" si="90"/>
        <v/>
      </c>
      <c r="AE81" s="118" t="str">
        <f t="shared" si="90"/>
        <v/>
      </c>
      <c r="AF81" s="118" t="str">
        <f t="shared" si="90"/>
        <v/>
      </c>
      <c r="AG81" s="118" t="str">
        <f t="shared" si="90"/>
        <v/>
      </c>
      <c r="AH81" s="118" t="str">
        <f t="shared" si="90"/>
        <v/>
      </c>
      <c r="AI81" s="118" t="str">
        <f t="shared" si="90"/>
        <v/>
      </c>
      <c r="AJ81" s="118" t="str">
        <f t="shared" si="90"/>
        <v/>
      </c>
      <c r="AK81" s="118" t="str">
        <f t="shared" si="90"/>
        <v/>
      </c>
      <c r="AL81" s="118" t="str">
        <f t="shared" si="90"/>
        <v/>
      </c>
      <c r="AM81" s="118" t="str">
        <f t="shared" si="90"/>
        <v/>
      </c>
      <c r="AN81" s="118" t="str">
        <f t="shared" si="90"/>
        <v/>
      </c>
      <c r="AO81" s="118" t="str">
        <f t="shared" si="90"/>
        <v/>
      </c>
      <c r="AP81" s="118" t="str">
        <f t="shared" si="90"/>
        <v/>
      </c>
      <c r="AQ81" s="118" t="str">
        <f t="shared" si="90"/>
        <v/>
      </c>
      <c r="AR81" s="118" t="str">
        <f t="shared" si="90"/>
        <v/>
      </c>
      <c r="AS81" s="118" t="str">
        <f t="shared" si="90"/>
        <v/>
      </c>
      <c r="AT81" s="123">
        <f>IF(AT$6="","",IF(AT$3="Maior",iferror(VLOOKUP($R81,Capa!$A:$Z,AT$5,0),0),IF(ISERROR(1/VLOOKUP($R81,Capa!$A:$Z,AT$5,0)),0,1/VLOOKUP($R81,Capa!$A:$Z,AT$5,0))))</f>
        <v>1.272582661</v>
      </c>
      <c r="AU81" s="124">
        <f>IF(AU$6="","",IF(AU$3="Maior",iferror(VLOOKUP($R81,Capa!$A:$Z,AU$5,0),0),IF(ISERROR(1/VLOOKUP($R81,Capa!$A:$Z,AU$5,0)),0,1/VLOOKUP($R81,Capa!$A:$Z,AU$5,0))))</f>
        <v>0.1109191964</v>
      </c>
      <c r="AV81" s="124" t="str">
        <f>IF(AV$6="","",IF(AV$3="Maior",iferror(VLOOKUP($R80,Capa!$A:$Z,AV$5,0),0),IF(ISERROR(1/VLOOKUP($R80,Capa!$A:$Z,AV$5,0)),0,1/VLOOKUP($R80,Capa!$A:$Z,AV$5,0))))</f>
        <v/>
      </c>
      <c r="AW81" s="124" t="str">
        <f>IF(AW$6="","",IF(AW$3="Maior",iferror(VLOOKUP($R80,Capa!$A:$Z,AW$5,0),0),IF(ISERROR(1/VLOOKUP($R80,Capa!$A:$Z,AW$5,0)),0,1/VLOOKUP($R80,Capa!$A:$Z,AW$5,0))))</f>
        <v/>
      </c>
      <c r="AX81" s="124" t="str">
        <f>IF(AX$6="","",IF(AX$3="Maior",iferror(VLOOKUP($R80,Capa!$A:$Z,AX$5,0),0),IF(ISERROR(1/VLOOKUP($R80,Capa!$A:$Z,AX$5,0)),0,1/VLOOKUP($R80,Capa!$A:$Z,AX$5,0))))</f>
        <v/>
      </c>
      <c r="AY81" s="124" t="str">
        <f>IF(AY$6="","",IF(AY$3="Maior",iferror(VLOOKUP($R80,Capa!$A:$Z,AY$5,0),0),IF(ISERROR(1/VLOOKUP($R80,Capa!$A:$Z,AY$5,0)),0,1/VLOOKUP($R80,Capa!$A:$Z,AY$5,0))))</f>
        <v/>
      </c>
      <c r="AZ81" s="124" t="str">
        <f>IF(AZ$6="","",IF(AZ$3="Maior",iferror(VLOOKUP($R80,Capa!$A:$Z,AZ$5,0),0),IF(ISERROR(1/VLOOKUP($R80,Capa!$A:$Z,AZ$5,0)),0,1/VLOOKUP($R80,Capa!$A:$Z,AZ$5,0))))</f>
        <v/>
      </c>
      <c r="BA81" s="124" t="str">
        <f>IF(BA$6="","",IF(BA$3="Maior",iferror(VLOOKUP($R80,Capa!$A:$Z,BA$5,0),0),IF(ISERROR(1/VLOOKUP($R80,Capa!$A:$Z,BA$5,0)),0,1/VLOOKUP($R80,Capa!$A:$Z,BA$5,0))))</f>
        <v/>
      </c>
      <c r="BB81" s="124" t="str">
        <f>IF(BB$6="","",IF(BB$3="Maior",iferror(VLOOKUP($R80,Capa!$A:$Z,BB$5,0),0),IF(ISERROR(1/VLOOKUP($R80,Capa!$A:$Z,BB$5,0)),0,1/VLOOKUP($R80,Capa!$A:$Z,BB$5,0))))</f>
        <v/>
      </c>
      <c r="BC81" s="124" t="str">
        <f>IF(BC$6="","",IF(BC$3="Maior",iferror(VLOOKUP($R80,Capa!$A:$Z,BC$5,0),0),IF(ISERROR(1/VLOOKUP($R80,Capa!$A:$Z,BC$5,0)),0,1/VLOOKUP($R80,Capa!$A:$Z,BC$5,0))))</f>
        <v/>
      </c>
      <c r="BD81" s="124" t="str">
        <f>IF(BD$6="","",IF(BD$3="Maior",iferror(VLOOKUP($R80,Capa!$A:$Z,BD$5,0),0),IF(ISERROR(1/VLOOKUP($R80,Capa!$A:$Z,BD$5,0)),0,1/VLOOKUP($R80,Capa!$A:$Z,BD$5,0))))</f>
        <v/>
      </c>
      <c r="BE81" s="124" t="str">
        <f>IF(BE$6="","",IF(BE$3="Maior",iferror(VLOOKUP($R80,Capa!$A:$Z,BE$5,0),0),IF(ISERROR(1/VLOOKUP($R80,Capa!$A:$Z,BE$5,0)),0,1/VLOOKUP($R80,Capa!$A:$Z,BE$5,0))))</f>
        <v/>
      </c>
      <c r="BF81" s="124" t="str">
        <f>IF(BF$6="","",IF(BF$3="Maior",iferror(VLOOKUP($R80,Capa!$A:$Z,BF$5,0),0),IF(ISERROR(1/VLOOKUP($R80,Capa!$A:$Z,BF$5,0)),0,1/VLOOKUP($R80,Capa!$A:$Z,BF$5,0))))</f>
        <v/>
      </c>
      <c r="BG81" s="124" t="str">
        <f>IF(BG$6="","",IF(BG$3="Maior",iferror(VLOOKUP($R80,Capa!$A:$Z,BG$5,0),0),IF(ISERROR(1/VLOOKUP($R80,Capa!$A:$Z,BG$5,0)),0,1/VLOOKUP($R80,Capa!$A:$Z,BG$5,0))))</f>
        <v/>
      </c>
      <c r="BH81" s="124" t="str">
        <f>IF(BH$6="","",IF(BH$3="Maior",iferror(VLOOKUP($R80,Capa!$A:$Z,BH$5,0),0),IF(ISERROR(1/VLOOKUP($R80,Capa!$A:$Z,BH$5,0)),0,1/VLOOKUP($R80,Capa!$A:$Z,BH$5,0))))</f>
        <v/>
      </c>
      <c r="BI81" s="124" t="str">
        <f>IF(BI$6="","",IF(BI$3="Maior",iferror(VLOOKUP($R80,Capa!$A:$Z,BI$5,0),0),IF(ISERROR(1/VLOOKUP($R80,Capa!$A:$Z,BI$5,0)),0,1/VLOOKUP($R80,Capa!$A:$Z,BI$5,0))))</f>
        <v/>
      </c>
      <c r="BJ81" s="124" t="str">
        <f>IF(BJ$6="","",IF(BJ$3="Maior",iferror(VLOOKUP($R80,Capa!$A:$Z,BJ$5,0),0),IF(ISERROR(1/VLOOKUP($R80,Capa!$A:$Z,BJ$5,0)),0,1/VLOOKUP($R80,Capa!$A:$Z,BJ$5,0))))</f>
        <v/>
      </c>
      <c r="BK81" s="124" t="str">
        <f>IF(BK$6="","",IF(BK$3="Maior",iferror(VLOOKUP($R80,Capa!$A:$Z,BK$5,0),0),IF(ISERROR(1/VLOOKUP($R80,Capa!$A:$Z,BK$5,0)),0,1/VLOOKUP($R80,Capa!$A:$Z,BK$5,0))))</f>
        <v/>
      </c>
      <c r="BL81" s="124" t="str">
        <f>IF(BL$6="","",IF(BL$3="Maior",iferror(VLOOKUP($R80,Capa!$A:$Z,BL$5,0),0),IF(ISERROR(1/VLOOKUP($R80,Capa!$A:$Z,BL$5,0)),0,1/VLOOKUP($R80,Capa!$A:$Z,BL$5,0))))</f>
        <v/>
      </c>
      <c r="BM81" s="124" t="str">
        <f>IF(BM$6="","",IF(BM$3="Maior",iferror(VLOOKUP($R80,Capa!$A:$Z,BM$5,0),0),IF(ISERROR(1/VLOOKUP($R80,Capa!$A:$Z,BM$5,0)),0,1/VLOOKUP($R80,Capa!$A:$Z,BM$5,0))))</f>
        <v/>
      </c>
      <c r="BN81" s="124" t="str">
        <f>IF(BN$6="","",IF(BN$3="Maior",iferror(VLOOKUP($R80,Capa!$A:$Z,BN$5,0),0),IF(ISERROR(1/VLOOKUP($R80,Capa!$A:$Z,BN$5,0)),0,1/VLOOKUP($R80,Capa!$A:$Z,BN$5,0))))</f>
        <v/>
      </c>
      <c r="BO81" s="124" t="str">
        <f>IF(BO$6="","",IF(BO$3="Maior",iferror(VLOOKUP($R80,Capa!$A:$Z,BO$5,0),0),IF(ISERROR(1/VLOOKUP($R80,Capa!$A:$Z,BO$5,0)),0,1/VLOOKUP($R80,Capa!$A:$Z,BO$5,0))))</f>
        <v/>
      </c>
      <c r="BP81" s="124" t="str">
        <f>IF(BP$6="","",IF(BP$3="Maior",iferror(VLOOKUP($R80,Capa!$A:$Z,BP$5,0),0),IF(ISERROR(1/VLOOKUP($R80,Capa!$A:$Z,BP$5,0)),0,1/VLOOKUP($R80,Capa!$A:$Z,BP$5,0))))</f>
        <v/>
      </c>
      <c r="BQ81" s="124" t="str">
        <f>IF(BQ$6="","",IF(BQ$3="Maior",iferror(VLOOKUP($R80,Capa!$A:$Z,BQ$5,0),0),IF(ISERROR(1/VLOOKUP($R80,Capa!$A:$Z,BQ$5,0)),0,1/VLOOKUP($R80,Capa!$A:$Z,BQ$5,0))))</f>
        <v/>
      </c>
      <c r="BR81" s="125" t="str">
        <f>IF(BR$6="","",IF(BR$3="Maior",iferror(VLOOKUP($R80,Capa!$A:$Z,BR$5,0),0),IF(ISERROR(1/VLOOKUP($R80,Capa!$A:$Z,BR$5,0)),0,1/VLOOKUP($R80,Capa!$A:$Z,BR$5,0))))</f>
        <v/>
      </c>
      <c r="BS81" s="88"/>
    </row>
    <row r="82">
      <c r="G82" s="9"/>
      <c r="H82" s="7">
        <v>76.0</v>
      </c>
      <c r="I82" s="111" t="str">
        <f t="shared" si="7"/>
        <v>HSAF11</v>
      </c>
      <c r="J82" s="112" t="str">
        <f>VLOOKUP(I82,Capa!A:G,7,0)</f>
        <v>Recebíveis Imobiliários</v>
      </c>
      <c r="K82" s="113">
        <f t="shared" si="8"/>
        <v>0.8559136956</v>
      </c>
      <c r="L82" s="113">
        <f t="shared" si="9"/>
        <v>0.1626236022</v>
      </c>
      <c r="M82" s="113" t="str">
        <f t="shared" si="10"/>
        <v/>
      </c>
      <c r="N82" s="113" t="str">
        <f t="shared" si="11"/>
        <v/>
      </c>
      <c r="O82" s="114">
        <f t="shared" si="12"/>
        <v>327183.75</v>
      </c>
      <c r="P82" s="9"/>
      <c r="Q82" s="9"/>
      <c r="R82" s="115" t="s">
        <v>102</v>
      </c>
      <c r="S82" s="116">
        <f t="shared" si="13"/>
        <v>1148.007771</v>
      </c>
      <c r="T82" s="117">
        <f>MID(VLOOKUP($R82,'Dados ClubeFII'!$A:$AU,23,0),3,100)/1</f>
        <v>691770.05</v>
      </c>
      <c r="U82" s="118">
        <f t="shared" si="14"/>
        <v>77.0077</v>
      </c>
      <c r="V82" s="118">
        <f t="shared" si="15"/>
        <v>71.000071</v>
      </c>
      <c r="W82" s="118" t="str">
        <f t="shared" ref="W82:AS82" si="91">IF(AV82="","", RANK(AV82,AV$7:AV$405,0))</f>
        <v/>
      </c>
      <c r="X82" s="118" t="str">
        <f t="shared" si="91"/>
        <v/>
      </c>
      <c r="Y82" s="118" t="str">
        <f t="shared" si="91"/>
        <v/>
      </c>
      <c r="Z82" s="118" t="str">
        <f t="shared" si="91"/>
        <v/>
      </c>
      <c r="AA82" s="118" t="str">
        <f t="shared" si="91"/>
        <v/>
      </c>
      <c r="AB82" s="118" t="str">
        <f t="shared" si="91"/>
        <v/>
      </c>
      <c r="AC82" s="118" t="str">
        <f t="shared" si="91"/>
        <v/>
      </c>
      <c r="AD82" s="118" t="str">
        <f t="shared" si="91"/>
        <v/>
      </c>
      <c r="AE82" s="118" t="str">
        <f t="shared" si="91"/>
        <v/>
      </c>
      <c r="AF82" s="118" t="str">
        <f t="shared" si="91"/>
        <v/>
      </c>
      <c r="AG82" s="118" t="str">
        <f t="shared" si="91"/>
        <v/>
      </c>
      <c r="AH82" s="118" t="str">
        <f t="shared" si="91"/>
        <v/>
      </c>
      <c r="AI82" s="118" t="str">
        <f t="shared" si="91"/>
        <v/>
      </c>
      <c r="AJ82" s="118" t="str">
        <f t="shared" si="91"/>
        <v/>
      </c>
      <c r="AK82" s="118" t="str">
        <f t="shared" si="91"/>
        <v/>
      </c>
      <c r="AL82" s="118" t="str">
        <f t="shared" si="91"/>
        <v/>
      </c>
      <c r="AM82" s="118" t="str">
        <f t="shared" si="91"/>
        <v/>
      </c>
      <c r="AN82" s="118" t="str">
        <f t="shared" si="91"/>
        <v/>
      </c>
      <c r="AO82" s="118" t="str">
        <f t="shared" si="91"/>
        <v/>
      </c>
      <c r="AP82" s="118" t="str">
        <f t="shared" si="91"/>
        <v/>
      </c>
      <c r="AQ82" s="118" t="str">
        <f t="shared" si="91"/>
        <v/>
      </c>
      <c r="AR82" s="118" t="str">
        <f t="shared" si="91"/>
        <v/>
      </c>
      <c r="AS82" s="118" t="str">
        <f t="shared" si="91"/>
        <v/>
      </c>
      <c r="AT82" s="123">
        <f>IF(AT$6="","",IF(AT$3="Maior",iferror(VLOOKUP($R82,Capa!$A:$Z,AT$5,0),0),IF(ISERROR(1/VLOOKUP($R82,Capa!$A:$Z,AT$5,0)),0,1/VLOOKUP($R82,Capa!$A:$Z,AT$5,0))))</f>
        <v>1.251404638</v>
      </c>
      <c r="AU82" s="124">
        <f>IF(AU$6="","",IF(AU$3="Maior",iferror(VLOOKUP($R82,Capa!$A:$Z,AU$5,0),0),IF(ISERROR(1/VLOOKUP($R82,Capa!$A:$Z,AU$5,0)),0,1/VLOOKUP($R82,Capa!$A:$Z,AU$5,0))))</f>
        <v>0.1243730612</v>
      </c>
      <c r="AV82" s="124" t="str">
        <f>IF(AV$6="","",IF(AV$3="Maior",iferror(VLOOKUP($R81,Capa!$A:$Z,AV$5,0),0),IF(ISERROR(1/VLOOKUP($R81,Capa!$A:$Z,AV$5,0)),0,1/VLOOKUP($R81,Capa!$A:$Z,AV$5,0))))</f>
        <v/>
      </c>
      <c r="AW82" s="124" t="str">
        <f>IF(AW$6="","",IF(AW$3="Maior",iferror(VLOOKUP($R81,Capa!$A:$Z,AW$5,0),0),IF(ISERROR(1/VLOOKUP($R81,Capa!$A:$Z,AW$5,0)),0,1/VLOOKUP($R81,Capa!$A:$Z,AW$5,0))))</f>
        <v/>
      </c>
      <c r="AX82" s="124" t="str">
        <f>IF(AX$6="","",IF(AX$3="Maior",iferror(VLOOKUP($R81,Capa!$A:$Z,AX$5,0),0),IF(ISERROR(1/VLOOKUP($R81,Capa!$A:$Z,AX$5,0)),0,1/VLOOKUP($R81,Capa!$A:$Z,AX$5,0))))</f>
        <v/>
      </c>
      <c r="AY82" s="124" t="str">
        <f>IF(AY$6="","",IF(AY$3="Maior",iferror(VLOOKUP($R81,Capa!$A:$Z,AY$5,0),0),IF(ISERROR(1/VLOOKUP($R81,Capa!$A:$Z,AY$5,0)),0,1/VLOOKUP($R81,Capa!$A:$Z,AY$5,0))))</f>
        <v/>
      </c>
      <c r="AZ82" s="124" t="str">
        <f>IF(AZ$6="","",IF(AZ$3="Maior",iferror(VLOOKUP($R81,Capa!$A:$Z,AZ$5,0),0),IF(ISERROR(1/VLOOKUP($R81,Capa!$A:$Z,AZ$5,0)),0,1/VLOOKUP($R81,Capa!$A:$Z,AZ$5,0))))</f>
        <v/>
      </c>
      <c r="BA82" s="124" t="str">
        <f>IF(BA$6="","",IF(BA$3="Maior",iferror(VLOOKUP($R81,Capa!$A:$Z,BA$5,0),0),IF(ISERROR(1/VLOOKUP($R81,Capa!$A:$Z,BA$5,0)),0,1/VLOOKUP($R81,Capa!$A:$Z,BA$5,0))))</f>
        <v/>
      </c>
      <c r="BB82" s="124" t="str">
        <f>IF(BB$6="","",IF(BB$3="Maior",iferror(VLOOKUP($R81,Capa!$A:$Z,BB$5,0),0),IF(ISERROR(1/VLOOKUP($R81,Capa!$A:$Z,BB$5,0)),0,1/VLOOKUP($R81,Capa!$A:$Z,BB$5,0))))</f>
        <v/>
      </c>
      <c r="BC82" s="124" t="str">
        <f>IF(BC$6="","",IF(BC$3="Maior",iferror(VLOOKUP($R81,Capa!$A:$Z,BC$5,0),0),IF(ISERROR(1/VLOOKUP($R81,Capa!$A:$Z,BC$5,0)),0,1/VLOOKUP($R81,Capa!$A:$Z,BC$5,0))))</f>
        <v/>
      </c>
      <c r="BD82" s="124" t="str">
        <f>IF(BD$6="","",IF(BD$3="Maior",iferror(VLOOKUP($R81,Capa!$A:$Z,BD$5,0),0),IF(ISERROR(1/VLOOKUP($R81,Capa!$A:$Z,BD$5,0)),0,1/VLOOKUP($R81,Capa!$A:$Z,BD$5,0))))</f>
        <v/>
      </c>
      <c r="BE82" s="124" t="str">
        <f>IF(BE$6="","",IF(BE$3="Maior",iferror(VLOOKUP($R81,Capa!$A:$Z,BE$5,0),0),IF(ISERROR(1/VLOOKUP($R81,Capa!$A:$Z,BE$5,0)),0,1/VLOOKUP($R81,Capa!$A:$Z,BE$5,0))))</f>
        <v/>
      </c>
      <c r="BF82" s="124" t="str">
        <f>IF(BF$6="","",IF(BF$3="Maior",iferror(VLOOKUP($R81,Capa!$A:$Z,BF$5,0),0),IF(ISERROR(1/VLOOKUP($R81,Capa!$A:$Z,BF$5,0)),0,1/VLOOKUP($R81,Capa!$A:$Z,BF$5,0))))</f>
        <v/>
      </c>
      <c r="BG82" s="124" t="str">
        <f>IF(BG$6="","",IF(BG$3="Maior",iferror(VLOOKUP($R81,Capa!$A:$Z,BG$5,0),0),IF(ISERROR(1/VLOOKUP($R81,Capa!$A:$Z,BG$5,0)),0,1/VLOOKUP($R81,Capa!$A:$Z,BG$5,0))))</f>
        <v/>
      </c>
      <c r="BH82" s="124" t="str">
        <f>IF(BH$6="","",IF(BH$3="Maior",iferror(VLOOKUP($R81,Capa!$A:$Z,BH$5,0),0),IF(ISERROR(1/VLOOKUP($R81,Capa!$A:$Z,BH$5,0)),0,1/VLOOKUP($R81,Capa!$A:$Z,BH$5,0))))</f>
        <v/>
      </c>
      <c r="BI82" s="124" t="str">
        <f>IF(BI$6="","",IF(BI$3="Maior",iferror(VLOOKUP($R81,Capa!$A:$Z,BI$5,0),0),IF(ISERROR(1/VLOOKUP($R81,Capa!$A:$Z,BI$5,0)),0,1/VLOOKUP($R81,Capa!$A:$Z,BI$5,0))))</f>
        <v/>
      </c>
      <c r="BJ82" s="124" t="str">
        <f>IF(BJ$6="","",IF(BJ$3="Maior",iferror(VLOOKUP($R81,Capa!$A:$Z,BJ$5,0),0),IF(ISERROR(1/VLOOKUP($R81,Capa!$A:$Z,BJ$5,0)),0,1/VLOOKUP($R81,Capa!$A:$Z,BJ$5,0))))</f>
        <v/>
      </c>
      <c r="BK82" s="124" t="str">
        <f>IF(BK$6="","",IF(BK$3="Maior",iferror(VLOOKUP($R81,Capa!$A:$Z,BK$5,0),0),IF(ISERROR(1/VLOOKUP($R81,Capa!$A:$Z,BK$5,0)),0,1/VLOOKUP($R81,Capa!$A:$Z,BK$5,0))))</f>
        <v/>
      </c>
      <c r="BL82" s="124" t="str">
        <f>IF(BL$6="","",IF(BL$3="Maior",iferror(VLOOKUP($R81,Capa!$A:$Z,BL$5,0),0),IF(ISERROR(1/VLOOKUP($R81,Capa!$A:$Z,BL$5,0)),0,1/VLOOKUP($R81,Capa!$A:$Z,BL$5,0))))</f>
        <v/>
      </c>
      <c r="BM82" s="124" t="str">
        <f>IF(BM$6="","",IF(BM$3="Maior",iferror(VLOOKUP($R81,Capa!$A:$Z,BM$5,0),0),IF(ISERROR(1/VLOOKUP($R81,Capa!$A:$Z,BM$5,0)),0,1/VLOOKUP($R81,Capa!$A:$Z,BM$5,0))))</f>
        <v/>
      </c>
      <c r="BN82" s="124" t="str">
        <f>IF(BN$6="","",IF(BN$3="Maior",iferror(VLOOKUP($R81,Capa!$A:$Z,BN$5,0),0),IF(ISERROR(1/VLOOKUP($R81,Capa!$A:$Z,BN$5,0)),0,1/VLOOKUP($R81,Capa!$A:$Z,BN$5,0))))</f>
        <v/>
      </c>
      <c r="BO82" s="124" t="str">
        <f>IF(BO$6="","",IF(BO$3="Maior",iferror(VLOOKUP($R81,Capa!$A:$Z,BO$5,0),0),IF(ISERROR(1/VLOOKUP($R81,Capa!$A:$Z,BO$5,0)),0,1/VLOOKUP($R81,Capa!$A:$Z,BO$5,0))))</f>
        <v/>
      </c>
      <c r="BP82" s="124" t="str">
        <f>IF(BP$6="","",IF(BP$3="Maior",iferror(VLOOKUP($R81,Capa!$A:$Z,BP$5,0),0),IF(ISERROR(1/VLOOKUP($R81,Capa!$A:$Z,BP$5,0)),0,1/VLOOKUP($R81,Capa!$A:$Z,BP$5,0))))</f>
        <v/>
      </c>
      <c r="BQ82" s="124" t="str">
        <f>IF(BQ$6="","",IF(BQ$3="Maior",iferror(VLOOKUP($R81,Capa!$A:$Z,BQ$5,0),0),IF(ISERROR(1/VLOOKUP($R81,Capa!$A:$Z,BQ$5,0)),0,1/VLOOKUP($R81,Capa!$A:$Z,BQ$5,0))))</f>
        <v/>
      </c>
      <c r="BR82" s="125" t="str">
        <f>IF(BR$6="","",IF(BR$3="Maior",iferror(VLOOKUP($R81,Capa!$A:$Z,BR$5,0),0),IF(ISERROR(1/VLOOKUP($R81,Capa!$A:$Z,BR$5,0)),0,1/VLOOKUP($R81,Capa!$A:$Z,BR$5,0))))</f>
        <v/>
      </c>
      <c r="BS82" s="88"/>
    </row>
    <row r="83">
      <c r="G83" s="9"/>
      <c r="H83" s="7">
        <v>77.0</v>
      </c>
      <c r="I83" s="111" t="str">
        <f t="shared" si="7"/>
        <v>VIUR11</v>
      </c>
      <c r="J83" s="112" t="str">
        <f>VLOOKUP(I83,Capa!A:G,7,0)</f>
        <v>Híbrido</v>
      </c>
      <c r="K83" s="113">
        <f t="shared" si="8"/>
        <v>0.7059940209</v>
      </c>
      <c r="L83" s="113">
        <f t="shared" si="9"/>
        <v>0.1239841555</v>
      </c>
      <c r="M83" s="113" t="str">
        <f t="shared" si="10"/>
        <v/>
      </c>
      <c r="N83" s="113" t="str">
        <f t="shared" si="11"/>
        <v/>
      </c>
      <c r="O83" s="114">
        <f t="shared" si="12"/>
        <v>280597.45</v>
      </c>
      <c r="P83" s="9"/>
      <c r="Q83" s="9"/>
      <c r="R83" s="115" t="s">
        <v>99</v>
      </c>
      <c r="S83" s="116">
        <f t="shared" si="13"/>
        <v>181.014635</v>
      </c>
      <c r="T83" s="117">
        <f>MID(VLOOKUP($R83,'Dados ClubeFII'!$A:$AU,23,0),3,100)/1</f>
        <v>4204460.86</v>
      </c>
      <c r="U83" s="118">
        <f t="shared" si="14"/>
        <v>146.0146</v>
      </c>
      <c r="V83" s="118">
        <f t="shared" si="15"/>
        <v>35.000035</v>
      </c>
      <c r="W83" s="118" t="str">
        <f t="shared" ref="W83:AS83" si="92">IF(AV83="","", RANK(AV83,AV$7:AV$405,0))</f>
        <v/>
      </c>
      <c r="X83" s="118" t="str">
        <f t="shared" si="92"/>
        <v/>
      </c>
      <c r="Y83" s="118" t="str">
        <f t="shared" si="92"/>
        <v/>
      </c>
      <c r="Z83" s="118" t="str">
        <f t="shared" si="92"/>
        <v/>
      </c>
      <c r="AA83" s="118" t="str">
        <f t="shared" si="92"/>
        <v/>
      </c>
      <c r="AB83" s="118" t="str">
        <f t="shared" si="92"/>
        <v/>
      </c>
      <c r="AC83" s="118" t="str">
        <f t="shared" si="92"/>
        <v/>
      </c>
      <c r="AD83" s="118" t="str">
        <f t="shared" si="92"/>
        <v/>
      </c>
      <c r="AE83" s="118" t="str">
        <f t="shared" si="92"/>
        <v/>
      </c>
      <c r="AF83" s="118" t="str">
        <f t="shared" si="92"/>
        <v/>
      </c>
      <c r="AG83" s="118" t="str">
        <f t="shared" si="92"/>
        <v/>
      </c>
      <c r="AH83" s="118" t="str">
        <f t="shared" si="92"/>
        <v/>
      </c>
      <c r="AI83" s="118" t="str">
        <f t="shared" si="92"/>
        <v/>
      </c>
      <c r="AJ83" s="118" t="str">
        <f t="shared" si="92"/>
        <v/>
      </c>
      <c r="AK83" s="118" t="str">
        <f t="shared" si="92"/>
        <v/>
      </c>
      <c r="AL83" s="118" t="str">
        <f t="shared" si="92"/>
        <v/>
      </c>
      <c r="AM83" s="118" t="str">
        <f t="shared" si="92"/>
        <v/>
      </c>
      <c r="AN83" s="118" t="str">
        <f t="shared" si="92"/>
        <v/>
      </c>
      <c r="AO83" s="118" t="str">
        <f t="shared" si="92"/>
        <v/>
      </c>
      <c r="AP83" s="118" t="str">
        <f t="shared" si="92"/>
        <v/>
      </c>
      <c r="AQ83" s="118" t="str">
        <f t="shared" si="92"/>
        <v/>
      </c>
      <c r="AR83" s="118" t="str">
        <f t="shared" si="92"/>
        <v/>
      </c>
      <c r="AS83" s="118" t="str">
        <f t="shared" si="92"/>
        <v/>
      </c>
      <c r="AT83" s="123">
        <f>IF(AT$6="","",IF(AT$3="Maior",iferror(VLOOKUP($R83,Capa!$A:$Z,AT$5,0),0),IF(ISERROR(1/VLOOKUP($R83,Capa!$A:$Z,AT$5,0)),0,1/VLOOKUP($R83,Capa!$A:$Z,AT$5,0))))</f>
        <v>1.078686951</v>
      </c>
      <c r="AU83" s="124">
        <f>IF(AU$6="","",IF(AU$3="Maior",iferror(VLOOKUP($R83,Capa!$A:$Z,AU$5,0),0),IF(ISERROR(1/VLOOKUP($R83,Capa!$A:$Z,AU$5,0)),0,1/VLOOKUP($R83,Capa!$A:$Z,AU$5,0))))</f>
        <v>0.1459593483</v>
      </c>
      <c r="AV83" s="124" t="str">
        <f>IF(AV$6="","",IF(AV$3="Maior",iferror(VLOOKUP($R82,Capa!$A:$Z,AV$5,0),0),IF(ISERROR(1/VLOOKUP($R82,Capa!$A:$Z,AV$5,0)),0,1/VLOOKUP($R82,Capa!$A:$Z,AV$5,0))))</f>
        <v/>
      </c>
      <c r="AW83" s="124" t="str">
        <f>IF(AW$6="","",IF(AW$3="Maior",iferror(VLOOKUP($R82,Capa!$A:$Z,AW$5,0),0),IF(ISERROR(1/VLOOKUP($R82,Capa!$A:$Z,AW$5,0)),0,1/VLOOKUP($R82,Capa!$A:$Z,AW$5,0))))</f>
        <v/>
      </c>
      <c r="AX83" s="124" t="str">
        <f>IF(AX$6="","",IF(AX$3="Maior",iferror(VLOOKUP($R82,Capa!$A:$Z,AX$5,0),0),IF(ISERROR(1/VLOOKUP($R82,Capa!$A:$Z,AX$5,0)),0,1/VLOOKUP($R82,Capa!$A:$Z,AX$5,0))))</f>
        <v/>
      </c>
      <c r="AY83" s="124" t="str">
        <f>IF(AY$6="","",IF(AY$3="Maior",iferror(VLOOKUP($R82,Capa!$A:$Z,AY$5,0),0),IF(ISERROR(1/VLOOKUP($R82,Capa!$A:$Z,AY$5,0)),0,1/VLOOKUP($R82,Capa!$A:$Z,AY$5,0))))</f>
        <v/>
      </c>
      <c r="AZ83" s="124" t="str">
        <f>IF(AZ$6="","",IF(AZ$3="Maior",iferror(VLOOKUP($R82,Capa!$A:$Z,AZ$5,0),0),IF(ISERROR(1/VLOOKUP($R82,Capa!$A:$Z,AZ$5,0)),0,1/VLOOKUP($R82,Capa!$A:$Z,AZ$5,0))))</f>
        <v/>
      </c>
      <c r="BA83" s="124" t="str">
        <f>IF(BA$6="","",IF(BA$3="Maior",iferror(VLOOKUP($R82,Capa!$A:$Z,BA$5,0),0),IF(ISERROR(1/VLOOKUP($R82,Capa!$A:$Z,BA$5,0)),0,1/VLOOKUP($R82,Capa!$A:$Z,BA$5,0))))</f>
        <v/>
      </c>
      <c r="BB83" s="124" t="str">
        <f>IF(BB$6="","",IF(BB$3="Maior",iferror(VLOOKUP($R82,Capa!$A:$Z,BB$5,0),0),IF(ISERROR(1/VLOOKUP($R82,Capa!$A:$Z,BB$5,0)),0,1/VLOOKUP($R82,Capa!$A:$Z,BB$5,0))))</f>
        <v/>
      </c>
      <c r="BC83" s="124" t="str">
        <f>IF(BC$6="","",IF(BC$3="Maior",iferror(VLOOKUP($R82,Capa!$A:$Z,BC$5,0),0),IF(ISERROR(1/VLOOKUP($R82,Capa!$A:$Z,BC$5,0)),0,1/VLOOKUP($R82,Capa!$A:$Z,BC$5,0))))</f>
        <v/>
      </c>
      <c r="BD83" s="124" t="str">
        <f>IF(BD$6="","",IF(BD$3="Maior",iferror(VLOOKUP($R82,Capa!$A:$Z,BD$5,0),0),IF(ISERROR(1/VLOOKUP($R82,Capa!$A:$Z,BD$5,0)),0,1/VLOOKUP($R82,Capa!$A:$Z,BD$5,0))))</f>
        <v/>
      </c>
      <c r="BE83" s="124" t="str">
        <f>IF(BE$6="","",IF(BE$3="Maior",iferror(VLOOKUP($R82,Capa!$A:$Z,BE$5,0),0),IF(ISERROR(1/VLOOKUP($R82,Capa!$A:$Z,BE$5,0)),0,1/VLOOKUP($R82,Capa!$A:$Z,BE$5,0))))</f>
        <v/>
      </c>
      <c r="BF83" s="124" t="str">
        <f>IF(BF$6="","",IF(BF$3="Maior",iferror(VLOOKUP($R82,Capa!$A:$Z,BF$5,0),0),IF(ISERROR(1/VLOOKUP($R82,Capa!$A:$Z,BF$5,0)),0,1/VLOOKUP($R82,Capa!$A:$Z,BF$5,0))))</f>
        <v/>
      </c>
      <c r="BG83" s="124" t="str">
        <f>IF(BG$6="","",IF(BG$3="Maior",iferror(VLOOKUP($R82,Capa!$A:$Z,BG$5,0),0),IF(ISERROR(1/VLOOKUP($R82,Capa!$A:$Z,BG$5,0)),0,1/VLOOKUP($R82,Capa!$A:$Z,BG$5,0))))</f>
        <v/>
      </c>
      <c r="BH83" s="124" t="str">
        <f>IF(BH$6="","",IF(BH$3="Maior",iferror(VLOOKUP($R82,Capa!$A:$Z,BH$5,0),0),IF(ISERROR(1/VLOOKUP($R82,Capa!$A:$Z,BH$5,0)),0,1/VLOOKUP($R82,Capa!$A:$Z,BH$5,0))))</f>
        <v/>
      </c>
      <c r="BI83" s="124" t="str">
        <f>IF(BI$6="","",IF(BI$3="Maior",iferror(VLOOKUP($R82,Capa!$A:$Z,BI$5,0),0),IF(ISERROR(1/VLOOKUP($R82,Capa!$A:$Z,BI$5,0)),0,1/VLOOKUP($R82,Capa!$A:$Z,BI$5,0))))</f>
        <v/>
      </c>
      <c r="BJ83" s="124" t="str">
        <f>IF(BJ$6="","",IF(BJ$3="Maior",iferror(VLOOKUP($R82,Capa!$A:$Z,BJ$5,0),0),IF(ISERROR(1/VLOOKUP($R82,Capa!$A:$Z,BJ$5,0)),0,1/VLOOKUP($R82,Capa!$A:$Z,BJ$5,0))))</f>
        <v/>
      </c>
      <c r="BK83" s="124" t="str">
        <f>IF(BK$6="","",IF(BK$3="Maior",iferror(VLOOKUP($R82,Capa!$A:$Z,BK$5,0),0),IF(ISERROR(1/VLOOKUP($R82,Capa!$A:$Z,BK$5,0)),0,1/VLOOKUP($R82,Capa!$A:$Z,BK$5,0))))</f>
        <v/>
      </c>
      <c r="BL83" s="124" t="str">
        <f>IF(BL$6="","",IF(BL$3="Maior",iferror(VLOOKUP($R82,Capa!$A:$Z,BL$5,0),0),IF(ISERROR(1/VLOOKUP($R82,Capa!$A:$Z,BL$5,0)),0,1/VLOOKUP($R82,Capa!$A:$Z,BL$5,0))))</f>
        <v/>
      </c>
      <c r="BM83" s="124" t="str">
        <f>IF(BM$6="","",IF(BM$3="Maior",iferror(VLOOKUP($R82,Capa!$A:$Z,BM$5,0),0),IF(ISERROR(1/VLOOKUP($R82,Capa!$A:$Z,BM$5,0)),0,1/VLOOKUP($R82,Capa!$A:$Z,BM$5,0))))</f>
        <v/>
      </c>
      <c r="BN83" s="124" t="str">
        <f>IF(BN$6="","",IF(BN$3="Maior",iferror(VLOOKUP($R82,Capa!$A:$Z,BN$5,0),0),IF(ISERROR(1/VLOOKUP($R82,Capa!$A:$Z,BN$5,0)),0,1/VLOOKUP($R82,Capa!$A:$Z,BN$5,0))))</f>
        <v/>
      </c>
      <c r="BO83" s="124" t="str">
        <f>IF(BO$6="","",IF(BO$3="Maior",iferror(VLOOKUP($R82,Capa!$A:$Z,BO$5,0),0),IF(ISERROR(1/VLOOKUP($R82,Capa!$A:$Z,BO$5,0)),0,1/VLOOKUP($R82,Capa!$A:$Z,BO$5,0))))</f>
        <v/>
      </c>
      <c r="BP83" s="124" t="str">
        <f>IF(BP$6="","",IF(BP$3="Maior",iferror(VLOOKUP($R82,Capa!$A:$Z,BP$5,0),0),IF(ISERROR(1/VLOOKUP($R82,Capa!$A:$Z,BP$5,0)),0,1/VLOOKUP($R82,Capa!$A:$Z,BP$5,0))))</f>
        <v/>
      </c>
      <c r="BQ83" s="124" t="str">
        <f>IF(BQ$6="","",IF(BQ$3="Maior",iferror(VLOOKUP($R82,Capa!$A:$Z,BQ$5,0),0),IF(ISERROR(1/VLOOKUP($R82,Capa!$A:$Z,BQ$5,0)),0,1/VLOOKUP($R82,Capa!$A:$Z,BQ$5,0))))</f>
        <v/>
      </c>
      <c r="BR83" s="125" t="str">
        <f>IF(BR$6="","",IF(BR$3="Maior",iferror(VLOOKUP($R82,Capa!$A:$Z,BR$5,0),0),IF(ISERROR(1/VLOOKUP($R82,Capa!$A:$Z,BR$5,0)),0,1/VLOOKUP($R82,Capa!$A:$Z,BR$5,0))))</f>
        <v/>
      </c>
      <c r="BS83" s="88"/>
    </row>
    <row r="84">
      <c r="G84" s="9"/>
      <c r="H84" s="7">
        <v>78.0</v>
      </c>
      <c r="I84" s="111" t="str">
        <f t="shared" si="7"/>
        <v>VSHO11</v>
      </c>
      <c r="J84" s="112" t="str">
        <f>VLOOKUP(I84,Capa!A:G,7,0)</f>
        <v>Shopping/Varejo</v>
      </c>
      <c r="K84" s="113">
        <f t="shared" si="8"/>
        <v>0.643226213</v>
      </c>
      <c r="L84" s="113">
        <f t="shared" si="9"/>
        <v>0.1139716446</v>
      </c>
      <c r="M84" s="113" t="str">
        <f t="shared" si="10"/>
        <v/>
      </c>
      <c r="N84" s="113" t="str">
        <f t="shared" si="11"/>
        <v/>
      </c>
      <c r="O84" s="114">
        <f t="shared" si="12"/>
        <v>39458.79</v>
      </c>
      <c r="P84" s="9"/>
      <c r="Q84" s="9"/>
      <c r="R84" s="115" t="s">
        <v>93</v>
      </c>
      <c r="S84" s="116">
        <f t="shared" si="13"/>
        <v>1214.012094</v>
      </c>
      <c r="T84" s="117">
        <f>MID(VLOOKUP($R84,'Dados ClubeFII'!$A:$AU,23,0),3,100)/1</f>
        <v>189976.51</v>
      </c>
      <c r="U84" s="118">
        <f t="shared" si="14"/>
        <v>120.012</v>
      </c>
      <c r="V84" s="118">
        <f t="shared" si="15"/>
        <v>94.000094</v>
      </c>
      <c r="W84" s="118" t="str">
        <f t="shared" ref="W84:AS84" si="93">IF(AV84="","", RANK(AV84,AV$7:AV$405,0))</f>
        <v/>
      </c>
      <c r="X84" s="118" t="str">
        <f t="shared" si="93"/>
        <v/>
      </c>
      <c r="Y84" s="118" t="str">
        <f t="shared" si="93"/>
        <v/>
      </c>
      <c r="Z84" s="118" t="str">
        <f t="shared" si="93"/>
        <v/>
      </c>
      <c r="AA84" s="118" t="str">
        <f t="shared" si="93"/>
        <v/>
      </c>
      <c r="AB84" s="118" t="str">
        <f t="shared" si="93"/>
        <v/>
      </c>
      <c r="AC84" s="118" t="str">
        <f t="shared" si="93"/>
        <v/>
      </c>
      <c r="AD84" s="118" t="str">
        <f t="shared" si="93"/>
        <v/>
      </c>
      <c r="AE84" s="118" t="str">
        <f t="shared" si="93"/>
        <v/>
      </c>
      <c r="AF84" s="118" t="str">
        <f t="shared" si="93"/>
        <v/>
      </c>
      <c r="AG84" s="118" t="str">
        <f t="shared" si="93"/>
        <v/>
      </c>
      <c r="AH84" s="118" t="str">
        <f t="shared" si="93"/>
        <v/>
      </c>
      <c r="AI84" s="118" t="str">
        <f t="shared" si="93"/>
        <v/>
      </c>
      <c r="AJ84" s="118" t="str">
        <f t="shared" si="93"/>
        <v/>
      </c>
      <c r="AK84" s="118" t="str">
        <f t="shared" si="93"/>
        <v/>
      </c>
      <c r="AL84" s="118" t="str">
        <f t="shared" si="93"/>
        <v/>
      </c>
      <c r="AM84" s="118" t="str">
        <f t="shared" si="93"/>
        <v/>
      </c>
      <c r="AN84" s="118" t="str">
        <f t="shared" si="93"/>
        <v/>
      </c>
      <c r="AO84" s="118" t="str">
        <f t="shared" si="93"/>
        <v/>
      </c>
      <c r="AP84" s="118" t="str">
        <f t="shared" si="93"/>
        <v/>
      </c>
      <c r="AQ84" s="118" t="str">
        <f t="shared" si="93"/>
        <v/>
      </c>
      <c r="AR84" s="118" t="str">
        <f t="shared" si="93"/>
        <v/>
      </c>
      <c r="AS84" s="118" t="str">
        <f t="shared" si="93"/>
        <v/>
      </c>
      <c r="AT84" s="123">
        <f>IF(AT$6="","",IF(AT$3="Maior",iferror(VLOOKUP($R84,Capa!$A:$Z,AT$5,0),0),IF(ISERROR(1/VLOOKUP($R84,Capa!$A:$Z,AT$5,0)),0,1/VLOOKUP($R84,Capa!$A:$Z,AT$5,0))))</f>
        <v>1.150762899</v>
      </c>
      <c r="AU84" s="124">
        <f>IF(AU$6="","",IF(AU$3="Maior",iferror(VLOOKUP($R84,Capa!$A:$Z,AU$5,0),0),IF(ISERROR(1/VLOOKUP($R84,Capa!$A:$Z,AU$5,0)),0,1/VLOOKUP($R84,Capa!$A:$Z,AU$5,0))))</f>
        <v>0.1114873052</v>
      </c>
      <c r="AV84" s="124" t="str">
        <f>IF(AV$6="","",IF(AV$3="Maior",iferror(VLOOKUP($R83,Capa!$A:$Z,AV$5,0),0),IF(ISERROR(1/VLOOKUP($R83,Capa!$A:$Z,AV$5,0)),0,1/VLOOKUP($R83,Capa!$A:$Z,AV$5,0))))</f>
        <v/>
      </c>
      <c r="AW84" s="124" t="str">
        <f>IF(AW$6="","",IF(AW$3="Maior",iferror(VLOOKUP($R83,Capa!$A:$Z,AW$5,0),0),IF(ISERROR(1/VLOOKUP($R83,Capa!$A:$Z,AW$5,0)),0,1/VLOOKUP($R83,Capa!$A:$Z,AW$5,0))))</f>
        <v/>
      </c>
      <c r="AX84" s="124" t="str">
        <f>IF(AX$6="","",IF(AX$3="Maior",iferror(VLOOKUP($R83,Capa!$A:$Z,AX$5,0),0),IF(ISERROR(1/VLOOKUP($R83,Capa!$A:$Z,AX$5,0)),0,1/VLOOKUP($R83,Capa!$A:$Z,AX$5,0))))</f>
        <v/>
      </c>
      <c r="AY84" s="124" t="str">
        <f>IF(AY$6="","",IF(AY$3="Maior",iferror(VLOOKUP($R83,Capa!$A:$Z,AY$5,0),0),IF(ISERROR(1/VLOOKUP($R83,Capa!$A:$Z,AY$5,0)),0,1/VLOOKUP($R83,Capa!$A:$Z,AY$5,0))))</f>
        <v/>
      </c>
      <c r="AZ84" s="124" t="str">
        <f>IF(AZ$6="","",IF(AZ$3="Maior",iferror(VLOOKUP($R83,Capa!$A:$Z,AZ$5,0),0),IF(ISERROR(1/VLOOKUP($R83,Capa!$A:$Z,AZ$5,0)),0,1/VLOOKUP($R83,Capa!$A:$Z,AZ$5,0))))</f>
        <v/>
      </c>
      <c r="BA84" s="124" t="str">
        <f>IF(BA$6="","",IF(BA$3="Maior",iferror(VLOOKUP($R83,Capa!$A:$Z,BA$5,0),0),IF(ISERROR(1/VLOOKUP($R83,Capa!$A:$Z,BA$5,0)),0,1/VLOOKUP($R83,Capa!$A:$Z,BA$5,0))))</f>
        <v/>
      </c>
      <c r="BB84" s="124" t="str">
        <f>IF(BB$6="","",IF(BB$3="Maior",iferror(VLOOKUP($R83,Capa!$A:$Z,BB$5,0),0),IF(ISERROR(1/VLOOKUP($R83,Capa!$A:$Z,BB$5,0)),0,1/VLOOKUP($R83,Capa!$A:$Z,BB$5,0))))</f>
        <v/>
      </c>
      <c r="BC84" s="124" t="str">
        <f>IF(BC$6="","",IF(BC$3="Maior",iferror(VLOOKUP($R83,Capa!$A:$Z,BC$5,0),0),IF(ISERROR(1/VLOOKUP($R83,Capa!$A:$Z,BC$5,0)),0,1/VLOOKUP($R83,Capa!$A:$Z,BC$5,0))))</f>
        <v/>
      </c>
      <c r="BD84" s="124" t="str">
        <f>IF(BD$6="","",IF(BD$3="Maior",iferror(VLOOKUP($R83,Capa!$A:$Z,BD$5,0),0),IF(ISERROR(1/VLOOKUP($R83,Capa!$A:$Z,BD$5,0)),0,1/VLOOKUP($R83,Capa!$A:$Z,BD$5,0))))</f>
        <v/>
      </c>
      <c r="BE84" s="124" t="str">
        <f>IF(BE$6="","",IF(BE$3="Maior",iferror(VLOOKUP($R83,Capa!$A:$Z,BE$5,0),0),IF(ISERROR(1/VLOOKUP($R83,Capa!$A:$Z,BE$5,0)),0,1/VLOOKUP($R83,Capa!$A:$Z,BE$5,0))))</f>
        <v/>
      </c>
      <c r="BF84" s="124" t="str">
        <f>IF(BF$6="","",IF(BF$3="Maior",iferror(VLOOKUP($R83,Capa!$A:$Z,BF$5,0),0),IF(ISERROR(1/VLOOKUP($R83,Capa!$A:$Z,BF$5,0)),0,1/VLOOKUP($R83,Capa!$A:$Z,BF$5,0))))</f>
        <v/>
      </c>
      <c r="BG84" s="124" t="str">
        <f>IF(BG$6="","",IF(BG$3="Maior",iferror(VLOOKUP($R83,Capa!$A:$Z,BG$5,0),0),IF(ISERROR(1/VLOOKUP($R83,Capa!$A:$Z,BG$5,0)),0,1/VLOOKUP($R83,Capa!$A:$Z,BG$5,0))))</f>
        <v/>
      </c>
      <c r="BH84" s="124" t="str">
        <f>IF(BH$6="","",IF(BH$3="Maior",iferror(VLOOKUP($R83,Capa!$A:$Z,BH$5,0),0),IF(ISERROR(1/VLOOKUP($R83,Capa!$A:$Z,BH$5,0)),0,1/VLOOKUP($R83,Capa!$A:$Z,BH$5,0))))</f>
        <v/>
      </c>
      <c r="BI84" s="124" t="str">
        <f>IF(BI$6="","",IF(BI$3="Maior",iferror(VLOOKUP($R83,Capa!$A:$Z,BI$5,0),0),IF(ISERROR(1/VLOOKUP($R83,Capa!$A:$Z,BI$5,0)),0,1/VLOOKUP($R83,Capa!$A:$Z,BI$5,0))))</f>
        <v/>
      </c>
      <c r="BJ84" s="124" t="str">
        <f>IF(BJ$6="","",IF(BJ$3="Maior",iferror(VLOOKUP($R83,Capa!$A:$Z,BJ$5,0),0),IF(ISERROR(1/VLOOKUP($R83,Capa!$A:$Z,BJ$5,0)),0,1/VLOOKUP($R83,Capa!$A:$Z,BJ$5,0))))</f>
        <v/>
      </c>
      <c r="BK84" s="124" t="str">
        <f>IF(BK$6="","",IF(BK$3="Maior",iferror(VLOOKUP($R83,Capa!$A:$Z,BK$5,0),0),IF(ISERROR(1/VLOOKUP($R83,Capa!$A:$Z,BK$5,0)),0,1/VLOOKUP($R83,Capa!$A:$Z,BK$5,0))))</f>
        <v/>
      </c>
      <c r="BL84" s="124" t="str">
        <f>IF(BL$6="","",IF(BL$3="Maior",iferror(VLOOKUP($R83,Capa!$A:$Z,BL$5,0),0),IF(ISERROR(1/VLOOKUP($R83,Capa!$A:$Z,BL$5,0)),0,1/VLOOKUP($R83,Capa!$A:$Z,BL$5,0))))</f>
        <v/>
      </c>
      <c r="BM84" s="124" t="str">
        <f>IF(BM$6="","",IF(BM$3="Maior",iferror(VLOOKUP($R83,Capa!$A:$Z,BM$5,0),0),IF(ISERROR(1/VLOOKUP($R83,Capa!$A:$Z,BM$5,0)),0,1/VLOOKUP($R83,Capa!$A:$Z,BM$5,0))))</f>
        <v/>
      </c>
      <c r="BN84" s="124" t="str">
        <f>IF(BN$6="","",IF(BN$3="Maior",iferror(VLOOKUP($R83,Capa!$A:$Z,BN$5,0),0),IF(ISERROR(1/VLOOKUP($R83,Capa!$A:$Z,BN$5,0)),0,1/VLOOKUP($R83,Capa!$A:$Z,BN$5,0))))</f>
        <v/>
      </c>
      <c r="BO84" s="124" t="str">
        <f>IF(BO$6="","",IF(BO$3="Maior",iferror(VLOOKUP($R83,Capa!$A:$Z,BO$5,0),0),IF(ISERROR(1/VLOOKUP($R83,Capa!$A:$Z,BO$5,0)),0,1/VLOOKUP($R83,Capa!$A:$Z,BO$5,0))))</f>
        <v/>
      </c>
      <c r="BP84" s="124" t="str">
        <f>IF(BP$6="","",IF(BP$3="Maior",iferror(VLOOKUP($R83,Capa!$A:$Z,BP$5,0),0),IF(ISERROR(1/VLOOKUP($R83,Capa!$A:$Z,BP$5,0)),0,1/VLOOKUP($R83,Capa!$A:$Z,BP$5,0))))</f>
        <v/>
      </c>
      <c r="BQ84" s="124" t="str">
        <f>IF(BQ$6="","",IF(BQ$3="Maior",iferror(VLOOKUP($R83,Capa!$A:$Z,BQ$5,0),0),IF(ISERROR(1/VLOOKUP($R83,Capa!$A:$Z,BQ$5,0)),0,1/VLOOKUP($R83,Capa!$A:$Z,BQ$5,0))))</f>
        <v/>
      </c>
      <c r="BR84" s="125" t="str">
        <f>IF(BR$6="","",IF(BR$3="Maior",iferror(VLOOKUP($R83,Capa!$A:$Z,BR$5,0),0),IF(ISERROR(1/VLOOKUP($R83,Capa!$A:$Z,BR$5,0)),0,1/VLOOKUP($R83,Capa!$A:$Z,BR$5,0))))</f>
        <v/>
      </c>
      <c r="BS84" s="88"/>
    </row>
    <row r="85">
      <c r="G85" s="9"/>
      <c r="H85" s="7">
        <v>79.0</v>
      </c>
      <c r="I85" s="111" t="str">
        <f t="shared" si="7"/>
        <v>CEOC11</v>
      </c>
      <c r="J85" s="112" t="str">
        <f>VLOOKUP(I85,Capa!A:G,7,0)</f>
        <v>Lajes Comerciais</v>
      </c>
      <c r="K85" s="113">
        <f t="shared" si="8"/>
        <v>0.6523620627</v>
      </c>
      <c r="L85" s="113">
        <f t="shared" si="9"/>
        <v>0.115088352</v>
      </c>
      <c r="M85" s="113" t="str">
        <f t="shared" si="10"/>
        <v/>
      </c>
      <c r="N85" s="113" t="str">
        <f t="shared" si="11"/>
        <v/>
      </c>
      <c r="O85" s="114">
        <f t="shared" si="12"/>
        <v>28375.25</v>
      </c>
      <c r="P85" s="9"/>
      <c r="Q85" s="9"/>
      <c r="R85" s="127" t="s">
        <v>105</v>
      </c>
      <c r="S85" s="116">
        <f t="shared" si="13"/>
        <v>1186.010086</v>
      </c>
      <c r="T85" s="117">
        <f>MID(VLOOKUP($R85,'Dados ClubeFII'!$A:$AU,23,0),3,100)/1</f>
        <v>1522.03</v>
      </c>
      <c r="U85" s="118">
        <f t="shared" si="14"/>
        <v>100.01</v>
      </c>
      <c r="V85" s="118">
        <f t="shared" si="15"/>
        <v>86.000086</v>
      </c>
      <c r="W85" s="118" t="str">
        <f t="shared" ref="W85:AS85" si="94">IF(AV85="","", RANK(AV85,AV$7:AV$405,0))</f>
        <v/>
      </c>
      <c r="X85" s="118" t="str">
        <f t="shared" si="94"/>
        <v/>
      </c>
      <c r="Y85" s="118" t="str">
        <f t="shared" si="94"/>
        <v/>
      </c>
      <c r="Z85" s="118" t="str">
        <f t="shared" si="94"/>
        <v/>
      </c>
      <c r="AA85" s="118" t="str">
        <f t="shared" si="94"/>
        <v/>
      </c>
      <c r="AB85" s="118" t="str">
        <f t="shared" si="94"/>
        <v/>
      </c>
      <c r="AC85" s="118" t="str">
        <f t="shared" si="94"/>
        <v/>
      </c>
      <c r="AD85" s="118" t="str">
        <f t="shared" si="94"/>
        <v/>
      </c>
      <c r="AE85" s="118" t="str">
        <f t="shared" si="94"/>
        <v/>
      </c>
      <c r="AF85" s="118" t="str">
        <f t="shared" si="94"/>
        <v/>
      </c>
      <c r="AG85" s="118" t="str">
        <f t="shared" si="94"/>
        <v/>
      </c>
      <c r="AH85" s="118" t="str">
        <f t="shared" si="94"/>
        <v/>
      </c>
      <c r="AI85" s="118" t="str">
        <f t="shared" si="94"/>
        <v/>
      </c>
      <c r="AJ85" s="118" t="str">
        <f t="shared" si="94"/>
        <v/>
      </c>
      <c r="AK85" s="118" t="str">
        <f t="shared" si="94"/>
        <v/>
      </c>
      <c r="AL85" s="118" t="str">
        <f t="shared" si="94"/>
        <v/>
      </c>
      <c r="AM85" s="118" t="str">
        <f t="shared" si="94"/>
        <v/>
      </c>
      <c r="AN85" s="118" t="str">
        <f t="shared" si="94"/>
        <v/>
      </c>
      <c r="AO85" s="118" t="str">
        <f t="shared" si="94"/>
        <v/>
      </c>
      <c r="AP85" s="118" t="str">
        <f t="shared" si="94"/>
        <v/>
      </c>
      <c r="AQ85" s="118" t="str">
        <f t="shared" si="94"/>
        <v/>
      </c>
      <c r="AR85" s="118" t="str">
        <f t="shared" si="94"/>
        <v/>
      </c>
      <c r="AS85" s="118" t="str">
        <f t="shared" si="94"/>
        <v/>
      </c>
      <c r="AT85" s="123">
        <f>IF(AT$6="","",IF(AT$3="Maior",iferror(VLOOKUP($R85,Capa!$A:$Z,AT$5,0),0),IF(ISERROR(1/VLOOKUP($R85,Capa!$A:$Z,AT$5,0)),0,1/VLOOKUP($R85,Capa!$A:$Z,AT$5,0))))</f>
        <v>1.19047619</v>
      </c>
      <c r="AU85" s="124">
        <f>IF(AU$6="","",IF(AU$3="Maior",iferror(VLOOKUP($R85,Capa!$A:$Z,AU$5,0),0),IF(ISERROR(1/VLOOKUP($R85,Capa!$A:$Z,AU$5,0)),0,1/VLOOKUP($R85,Capa!$A:$Z,AU$5,0))))</f>
        <v>0.1143</v>
      </c>
      <c r="AV85" s="124" t="str">
        <f>IF(AV$6="","",IF(AV$3="Maior",iferror(VLOOKUP($R84,Capa!$A:$Z,AV$5,0),0),IF(ISERROR(1/VLOOKUP($R84,Capa!$A:$Z,AV$5,0)),0,1/VLOOKUP($R84,Capa!$A:$Z,AV$5,0))))</f>
        <v/>
      </c>
      <c r="AW85" s="124" t="str">
        <f>IF(AW$6="","",IF(AW$3="Maior",iferror(VLOOKUP($R84,Capa!$A:$Z,AW$5,0),0),IF(ISERROR(1/VLOOKUP($R84,Capa!$A:$Z,AW$5,0)),0,1/VLOOKUP($R84,Capa!$A:$Z,AW$5,0))))</f>
        <v/>
      </c>
      <c r="AX85" s="124" t="str">
        <f>IF(AX$6="","",IF(AX$3="Maior",iferror(VLOOKUP($R84,Capa!$A:$Z,AX$5,0),0),IF(ISERROR(1/VLOOKUP($R84,Capa!$A:$Z,AX$5,0)),0,1/VLOOKUP($R84,Capa!$A:$Z,AX$5,0))))</f>
        <v/>
      </c>
      <c r="AY85" s="124" t="str">
        <f>IF(AY$6="","",IF(AY$3="Maior",iferror(VLOOKUP($R84,Capa!$A:$Z,AY$5,0),0),IF(ISERROR(1/VLOOKUP($R84,Capa!$A:$Z,AY$5,0)),0,1/VLOOKUP($R84,Capa!$A:$Z,AY$5,0))))</f>
        <v/>
      </c>
      <c r="AZ85" s="124" t="str">
        <f>IF(AZ$6="","",IF(AZ$3="Maior",iferror(VLOOKUP($R84,Capa!$A:$Z,AZ$5,0),0),IF(ISERROR(1/VLOOKUP($R84,Capa!$A:$Z,AZ$5,0)),0,1/VLOOKUP($R84,Capa!$A:$Z,AZ$5,0))))</f>
        <v/>
      </c>
      <c r="BA85" s="124" t="str">
        <f>IF(BA$6="","",IF(BA$3="Maior",iferror(VLOOKUP($R84,Capa!$A:$Z,BA$5,0),0),IF(ISERROR(1/VLOOKUP($R84,Capa!$A:$Z,BA$5,0)),0,1/VLOOKUP($R84,Capa!$A:$Z,BA$5,0))))</f>
        <v/>
      </c>
      <c r="BB85" s="124" t="str">
        <f>IF(BB$6="","",IF(BB$3="Maior",iferror(VLOOKUP($R84,Capa!$A:$Z,BB$5,0),0),IF(ISERROR(1/VLOOKUP($R84,Capa!$A:$Z,BB$5,0)),0,1/VLOOKUP($R84,Capa!$A:$Z,BB$5,0))))</f>
        <v/>
      </c>
      <c r="BC85" s="124" t="str">
        <f>IF(BC$6="","",IF(BC$3="Maior",iferror(VLOOKUP($R84,Capa!$A:$Z,BC$5,0),0),IF(ISERROR(1/VLOOKUP($R84,Capa!$A:$Z,BC$5,0)),0,1/VLOOKUP($R84,Capa!$A:$Z,BC$5,0))))</f>
        <v/>
      </c>
      <c r="BD85" s="124" t="str">
        <f>IF(BD$6="","",IF(BD$3="Maior",iferror(VLOOKUP($R84,Capa!$A:$Z,BD$5,0),0),IF(ISERROR(1/VLOOKUP($R84,Capa!$A:$Z,BD$5,0)),0,1/VLOOKUP($R84,Capa!$A:$Z,BD$5,0))))</f>
        <v/>
      </c>
      <c r="BE85" s="124" t="str">
        <f>IF(BE$6="","",IF(BE$3="Maior",iferror(VLOOKUP($R84,Capa!$A:$Z,BE$5,0),0),IF(ISERROR(1/VLOOKUP($R84,Capa!$A:$Z,BE$5,0)),0,1/VLOOKUP($R84,Capa!$A:$Z,BE$5,0))))</f>
        <v/>
      </c>
      <c r="BF85" s="124" t="str">
        <f>IF(BF$6="","",IF(BF$3="Maior",iferror(VLOOKUP($R84,Capa!$A:$Z,BF$5,0),0),IF(ISERROR(1/VLOOKUP($R84,Capa!$A:$Z,BF$5,0)),0,1/VLOOKUP($R84,Capa!$A:$Z,BF$5,0))))</f>
        <v/>
      </c>
      <c r="BG85" s="124" t="str">
        <f>IF(BG$6="","",IF(BG$3="Maior",iferror(VLOOKUP($R84,Capa!$A:$Z,BG$5,0),0),IF(ISERROR(1/VLOOKUP($R84,Capa!$A:$Z,BG$5,0)),0,1/VLOOKUP($R84,Capa!$A:$Z,BG$5,0))))</f>
        <v/>
      </c>
      <c r="BH85" s="124" t="str">
        <f>IF(BH$6="","",IF(BH$3="Maior",iferror(VLOOKUP($R84,Capa!$A:$Z,BH$5,0),0),IF(ISERROR(1/VLOOKUP($R84,Capa!$A:$Z,BH$5,0)),0,1/VLOOKUP($R84,Capa!$A:$Z,BH$5,0))))</f>
        <v/>
      </c>
      <c r="BI85" s="124" t="str">
        <f>IF(BI$6="","",IF(BI$3="Maior",iferror(VLOOKUP($R84,Capa!$A:$Z,BI$5,0),0),IF(ISERROR(1/VLOOKUP($R84,Capa!$A:$Z,BI$5,0)),0,1/VLOOKUP($R84,Capa!$A:$Z,BI$5,0))))</f>
        <v/>
      </c>
      <c r="BJ85" s="124" t="str">
        <f>IF(BJ$6="","",IF(BJ$3="Maior",iferror(VLOOKUP($R84,Capa!$A:$Z,BJ$5,0),0),IF(ISERROR(1/VLOOKUP($R84,Capa!$A:$Z,BJ$5,0)),0,1/VLOOKUP($R84,Capa!$A:$Z,BJ$5,0))))</f>
        <v/>
      </c>
      <c r="BK85" s="124" t="str">
        <f>IF(BK$6="","",IF(BK$3="Maior",iferror(VLOOKUP($R84,Capa!$A:$Z,BK$5,0),0),IF(ISERROR(1/VLOOKUP($R84,Capa!$A:$Z,BK$5,0)),0,1/VLOOKUP($R84,Capa!$A:$Z,BK$5,0))))</f>
        <v/>
      </c>
      <c r="BL85" s="124" t="str">
        <f>IF(BL$6="","",IF(BL$3="Maior",iferror(VLOOKUP($R84,Capa!$A:$Z,BL$5,0),0),IF(ISERROR(1/VLOOKUP($R84,Capa!$A:$Z,BL$5,0)),0,1/VLOOKUP($R84,Capa!$A:$Z,BL$5,0))))</f>
        <v/>
      </c>
      <c r="BM85" s="124" t="str">
        <f>IF(BM$6="","",IF(BM$3="Maior",iferror(VLOOKUP($R84,Capa!$A:$Z,BM$5,0),0),IF(ISERROR(1/VLOOKUP($R84,Capa!$A:$Z,BM$5,0)),0,1/VLOOKUP($R84,Capa!$A:$Z,BM$5,0))))</f>
        <v/>
      </c>
      <c r="BN85" s="124" t="str">
        <f>IF(BN$6="","",IF(BN$3="Maior",iferror(VLOOKUP($R84,Capa!$A:$Z,BN$5,0),0),IF(ISERROR(1/VLOOKUP($R84,Capa!$A:$Z,BN$5,0)),0,1/VLOOKUP($R84,Capa!$A:$Z,BN$5,0))))</f>
        <v/>
      </c>
      <c r="BO85" s="124" t="str">
        <f>IF(BO$6="","",IF(BO$3="Maior",iferror(VLOOKUP($R84,Capa!$A:$Z,BO$5,0),0),IF(ISERROR(1/VLOOKUP($R84,Capa!$A:$Z,BO$5,0)),0,1/VLOOKUP($R84,Capa!$A:$Z,BO$5,0))))</f>
        <v/>
      </c>
      <c r="BP85" s="124" t="str">
        <f>IF(BP$6="","",IF(BP$3="Maior",iferror(VLOOKUP($R84,Capa!$A:$Z,BP$5,0),0),IF(ISERROR(1/VLOOKUP($R84,Capa!$A:$Z,BP$5,0)),0,1/VLOOKUP($R84,Capa!$A:$Z,BP$5,0))))</f>
        <v/>
      </c>
      <c r="BQ85" s="124" t="str">
        <f>IF(BQ$6="","",IF(BQ$3="Maior",iferror(VLOOKUP($R84,Capa!$A:$Z,BQ$5,0),0),IF(ISERROR(1/VLOOKUP($R84,Capa!$A:$Z,BQ$5,0)),0,1/VLOOKUP($R84,Capa!$A:$Z,BQ$5,0))))</f>
        <v/>
      </c>
      <c r="BR85" s="125" t="str">
        <f>IF(BR$6="","",IF(BR$3="Maior",iferror(VLOOKUP($R84,Capa!$A:$Z,BR$5,0),0),IF(ISERROR(1/VLOOKUP($R84,Capa!$A:$Z,BR$5,0)),0,1/VLOOKUP($R84,Capa!$A:$Z,BR$5,0))))</f>
        <v/>
      </c>
      <c r="BS85" s="88"/>
    </row>
    <row r="86">
      <c r="G86" s="9"/>
      <c r="H86" s="7">
        <v>80.0</v>
      </c>
      <c r="I86" s="111" t="str">
        <f t="shared" si="7"/>
        <v>MORE11</v>
      </c>
      <c r="J86" s="112" t="str">
        <f>VLOOKUP(I86,Capa!A:G,7,0)</f>
        <v>Fundo de Fundos</v>
      </c>
      <c r="K86" s="113">
        <f t="shared" si="8"/>
        <v>0.7561540973</v>
      </c>
      <c r="L86" s="113">
        <f t="shared" si="9"/>
        <v>0.1278497388</v>
      </c>
      <c r="M86" s="113" t="str">
        <f t="shared" si="10"/>
        <v/>
      </c>
      <c r="N86" s="113" t="str">
        <f t="shared" si="11"/>
        <v/>
      </c>
      <c r="O86" s="114">
        <f t="shared" si="12"/>
        <v>395549.41</v>
      </c>
      <c r="P86" s="9"/>
      <c r="Q86" s="9"/>
      <c r="R86" s="127" t="s">
        <v>135</v>
      </c>
      <c r="S86" s="116">
        <f t="shared" si="13"/>
        <v>1183.005529</v>
      </c>
      <c r="T86" s="117">
        <f>MID(VLOOKUP($R86,'Dados ClubeFII'!$A:$AU,23,0),3,100)/1</f>
        <v>53390</v>
      </c>
      <c r="U86" s="118">
        <f t="shared" si="14"/>
        <v>54.0054</v>
      </c>
      <c r="V86" s="118">
        <f t="shared" si="15"/>
        <v>129.000129</v>
      </c>
      <c r="W86" s="118" t="str">
        <f t="shared" ref="W86:AS86" si="95">IF(AV86="","", RANK(AV86,AV$7:AV$405,0))</f>
        <v/>
      </c>
      <c r="X86" s="118" t="str">
        <f t="shared" si="95"/>
        <v/>
      </c>
      <c r="Y86" s="118" t="str">
        <f t="shared" si="95"/>
        <v/>
      </c>
      <c r="Z86" s="118" t="str">
        <f t="shared" si="95"/>
        <v/>
      </c>
      <c r="AA86" s="118" t="str">
        <f t="shared" si="95"/>
        <v/>
      </c>
      <c r="AB86" s="118" t="str">
        <f t="shared" si="95"/>
        <v/>
      </c>
      <c r="AC86" s="118" t="str">
        <f t="shared" si="95"/>
        <v/>
      </c>
      <c r="AD86" s="118" t="str">
        <f t="shared" si="95"/>
        <v/>
      </c>
      <c r="AE86" s="118" t="str">
        <f t="shared" si="95"/>
        <v/>
      </c>
      <c r="AF86" s="118" t="str">
        <f t="shared" si="95"/>
        <v/>
      </c>
      <c r="AG86" s="118" t="str">
        <f t="shared" si="95"/>
        <v/>
      </c>
      <c r="AH86" s="118" t="str">
        <f t="shared" si="95"/>
        <v/>
      </c>
      <c r="AI86" s="118" t="str">
        <f t="shared" si="95"/>
        <v/>
      </c>
      <c r="AJ86" s="118" t="str">
        <f t="shared" si="95"/>
        <v/>
      </c>
      <c r="AK86" s="118" t="str">
        <f t="shared" si="95"/>
        <v/>
      </c>
      <c r="AL86" s="118" t="str">
        <f t="shared" si="95"/>
        <v/>
      </c>
      <c r="AM86" s="118" t="str">
        <f t="shared" si="95"/>
        <v/>
      </c>
      <c r="AN86" s="118" t="str">
        <f t="shared" si="95"/>
        <v/>
      </c>
      <c r="AO86" s="118" t="str">
        <f t="shared" si="95"/>
        <v/>
      </c>
      <c r="AP86" s="118" t="str">
        <f t="shared" si="95"/>
        <v/>
      </c>
      <c r="AQ86" s="118" t="str">
        <f t="shared" si="95"/>
        <v/>
      </c>
      <c r="AR86" s="118" t="str">
        <f t="shared" si="95"/>
        <v/>
      </c>
      <c r="AS86" s="118" t="str">
        <f t="shared" si="95"/>
        <v/>
      </c>
      <c r="AT86" s="123">
        <f>IF(AT$6="","",IF(AT$3="Maior",iferror(VLOOKUP($R86,Capa!$A:$Z,AT$5,0),0),IF(ISERROR(1/VLOOKUP($R86,Capa!$A:$Z,AT$5,0)),0,1/VLOOKUP($R86,Capa!$A:$Z,AT$5,0))))</f>
        <v>1.384413949</v>
      </c>
      <c r="AU86" s="124">
        <f>IF(AU$6="","",IF(AU$3="Maior",iferror(VLOOKUP($R86,Capa!$A:$Z,AU$5,0),0),IF(ISERROR(1/VLOOKUP($R86,Capa!$A:$Z,AU$5,0)),0,1/VLOOKUP($R86,Capa!$A:$Z,AU$5,0))))</f>
        <v>0.09320028732</v>
      </c>
      <c r="AV86" s="124" t="str">
        <f>IF(AV$6="","",IF(AV$3="Maior",iferror(VLOOKUP($R85,Capa!$A:$Z,AV$5,0),0),IF(ISERROR(1/VLOOKUP($R85,Capa!$A:$Z,AV$5,0)),0,1/VLOOKUP($R85,Capa!$A:$Z,AV$5,0))))</f>
        <v/>
      </c>
      <c r="AW86" s="124" t="str">
        <f>IF(AW$6="","",IF(AW$3="Maior",iferror(VLOOKUP($R85,Capa!$A:$Z,AW$5,0),0),IF(ISERROR(1/VLOOKUP($R85,Capa!$A:$Z,AW$5,0)),0,1/VLOOKUP($R85,Capa!$A:$Z,AW$5,0))))</f>
        <v/>
      </c>
      <c r="AX86" s="124" t="str">
        <f>IF(AX$6="","",IF(AX$3="Maior",iferror(VLOOKUP($R85,Capa!$A:$Z,AX$5,0),0),IF(ISERROR(1/VLOOKUP($R85,Capa!$A:$Z,AX$5,0)),0,1/VLOOKUP($R85,Capa!$A:$Z,AX$5,0))))</f>
        <v/>
      </c>
      <c r="AY86" s="124" t="str">
        <f>IF(AY$6="","",IF(AY$3="Maior",iferror(VLOOKUP($R85,Capa!$A:$Z,AY$5,0),0),IF(ISERROR(1/VLOOKUP($R85,Capa!$A:$Z,AY$5,0)),0,1/VLOOKUP($R85,Capa!$A:$Z,AY$5,0))))</f>
        <v/>
      </c>
      <c r="AZ86" s="124" t="str">
        <f>IF(AZ$6="","",IF(AZ$3="Maior",iferror(VLOOKUP($R85,Capa!$A:$Z,AZ$5,0),0),IF(ISERROR(1/VLOOKUP($R85,Capa!$A:$Z,AZ$5,0)),0,1/VLOOKUP($R85,Capa!$A:$Z,AZ$5,0))))</f>
        <v/>
      </c>
      <c r="BA86" s="124" t="str">
        <f>IF(BA$6="","",IF(BA$3="Maior",iferror(VLOOKUP($R85,Capa!$A:$Z,BA$5,0),0),IF(ISERROR(1/VLOOKUP($R85,Capa!$A:$Z,BA$5,0)),0,1/VLOOKUP($R85,Capa!$A:$Z,BA$5,0))))</f>
        <v/>
      </c>
      <c r="BB86" s="124" t="str">
        <f>IF(BB$6="","",IF(BB$3="Maior",iferror(VLOOKUP($R85,Capa!$A:$Z,BB$5,0),0),IF(ISERROR(1/VLOOKUP($R85,Capa!$A:$Z,BB$5,0)),0,1/VLOOKUP($R85,Capa!$A:$Z,BB$5,0))))</f>
        <v/>
      </c>
      <c r="BC86" s="124" t="str">
        <f>IF(BC$6="","",IF(BC$3="Maior",iferror(VLOOKUP($R85,Capa!$A:$Z,BC$5,0),0),IF(ISERROR(1/VLOOKUP($R85,Capa!$A:$Z,BC$5,0)),0,1/VLOOKUP($R85,Capa!$A:$Z,BC$5,0))))</f>
        <v/>
      </c>
      <c r="BD86" s="124" t="str">
        <f>IF(BD$6="","",IF(BD$3="Maior",iferror(VLOOKUP($R85,Capa!$A:$Z,BD$5,0),0),IF(ISERROR(1/VLOOKUP($R85,Capa!$A:$Z,BD$5,0)),0,1/VLOOKUP($R85,Capa!$A:$Z,BD$5,0))))</f>
        <v/>
      </c>
      <c r="BE86" s="124" t="str">
        <f>IF(BE$6="","",IF(BE$3="Maior",iferror(VLOOKUP($R85,Capa!$A:$Z,BE$5,0),0),IF(ISERROR(1/VLOOKUP($R85,Capa!$A:$Z,BE$5,0)),0,1/VLOOKUP($R85,Capa!$A:$Z,BE$5,0))))</f>
        <v/>
      </c>
      <c r="BF86" s="124" t="str">
        <f>IF(BF$6="","",IF(BF$3="Maior",iferror(VLOOKUP($R85,Capa!$A:$Z,BF$5,0),0),IF(ISERROR(1/VLOOKUP($R85,Capa!$A:$Z,BF$5,0)),0,1/VLOOKUP($R85,Capa!$A:$Z,BF$5,0))))</f>
        <v/>
      </c>
      <c r="BG86" s="124" t="str">
        <f>IF(BG$6="","",IF(BG$3="Maior",iferror(VLOOKUP($R85,Capa!$A:$Z,BG$5,0),0),IF(ISERROR(1/VLOOKUP($R85,Capa!$A:$Z,BG$5,0)),0,1/VLOOKUP($R85,Capa!$A:$Z,BG$5,0))))</f>
        <v/>
      </c>
      <c r="BH86" s="124" t="str">
        <f>IF(BH$6="","",IF(BH$3="Maior",iferror(VLOOKUP($R85,Capa!$A:$Z,BH$5,0),0),IF(ISERROR(1/VLOOKUP($R85,Capa!$A:$Z,BH$5,0)),0,1/VLOOKUP($R85,Capa!$A:$Z,BH$5,0))))</f>
        <v/>
      </c>
      <c r="BI86" s="124" t="str">
        <f>IF(BI$6="","",IF(BI$3="Maior",iferror(VLOOKUP($R85,Capa!$A:$Z,BI$5,0),0),IF(ISERROR(1/VLOOKUP($R85,Capa!$A:$Z,BI$5,0)),0,1/VLOOKUP($R85,Capa!$A:$Z,BI$5,0))))</f>
        <v/>
      </c>
      <c r="BJ86" s="124" t="str">
        <f>IF(BJ$6="","",IF(BJ$3="Maior",iferror(VLOOKUP($R85,Capa!$A:$Z,BJ$5,0),0),IF(ISERROR(1/VLOOKUP($R85,Capa!$A:$Z,BJ$5,0)),0,1/VLOOKUP($R85,Capa!$A:$Z,BJ$5,0))))</f>
        <v/>
      </c>
      <c r="BK86" s="124" t="str">
        <f>IF(BK$6="","",IF(BK$3="Maior",iferror(VLOOKUP($R85,Capa!$A:$Z,BK$5,0),0),IF(ISERROR(1/VLOOKUP($R85,Capa!$A:$Z,BK$5,0)),0,1/VLOOKUP($R85,Capa!$A:$Z,BK$5,0))))</f>
        <v/>
      </c>
      <c r="BL86" s="124" t="str">
        <f>IF(BL$6="","",IF(BL$3="Maior",iferror(VLOOKUP($R85,Capa!$A:$Z,BL$5,0),0),IF(ISERROR(1/VLOOKUP($R85,Capa!$A:$Z,BL$5,0)),0,1/VLOOKUP($R85,Capa!$A:$Z,BL$5,0))))</f>
        <v/>
      </c>
      <c r="BM86" s="124" t="str">
        <f>IF(BM$6="","",IF(BM$3="Maior",iferror(VLOOKUP($R85,Capa!$A:$Z,BM$5,0),0),IF(ISERROR(1/VLOOKUP($R85,Capa!$A:$Z,BM$5,0)),0,1/VLOOKUP($R85,Capa!$A:$Z,BM$5,0))))</f>
        <v/>
      </c>
      <c r="BN86" s="124" t="str">
        <f>IF(BN$6="","",IF(BN$3="Maior",iferror(VLOOKUP($R85,Capa!$A:$Z,BN$5,0),0),IF(ISERROR(1/VLOOKUP($R85,Capa!$A:$Z,BN$5,0)),0,1/VLOOKUP($R85,Capa!$A:$Z,BN$5,0))))</f>
        <v/>
      </c>
      <c r="BO86" s="124" t="str">
        <f>IF(BO$6="","",IF(BO$3="Maior",iferror(VLOOKUP($R85,Capa!$A:$Z,BO$5,0),0),IF(ISERROR(1/VLOOKUP($R85,Capa!$A:$Z,BO$5,0)),0,1/VLOOKUP($R85,Capa!$A:$Z,BO$5,0))))</f>
        <v/>
      </c>
      <c r="BP86" s="124" t="str">
        <f>IF(BP$6="","",IF(BP$3="Maior",iferror(VLOOKUP($R85,Capa!$A:$Z,BP$5,0),0),IF(ISERROR(1/VLOOKUP($R85,Capa!$A:$Z,BP$5,0)),0,1/VLOOKUP($R85,Capa!$A:$Z,BP$5,0))))</f>
        <v/>
      </c>
      <c r="BQ86" s="124" t="str">
        <f>IF(BQ$6="","",IF(BQ$3="Maior",iferror(VLOOKUP($R85,Capa!$A:$Z,BQ$5,0),0),IF(ISERROR(1/VLOOKUP($R85,Capa!$A:$Z,BQ$5,0)),0,1/VLOOKUP($R85,Capa!$A:$Z,BQ$5,0))))</f>
        <v/>
      </c>
      <c r="BR86" s="125" t="str">
        <f>IF(BR$6="","",IF(BR$3="Maior",iferror(VLOOKUP($R85,Capa!$A:$Z,BR$5,0),0),IF(ISERROR(1/VLOOKUP($R85,Capa!$A:$Z,BR$5,0)),0,1/VLOOKUP($R85,Capa!$A:$Z,BR$5,0))))</f>
        <v/>
      </c>
      <c r="BS86" s="88"/>
    </row>
    <row r="87">
      <c r="G87" s="9"/>
      <c r="H87" s="7">
        <v>81.0</v>
      </c>
      <c r="I87" s="111" t="str">
        <f t="shared" si="7"/>
        <v>RNGO11</v>
      </c>
      <c r="J87" s="112" t="str">
        <f>VLOOKUP(I87,Capa!A:G,7,0)</f>
        <v>Lajes Comerciais</v>
      </c>
      <c r="K87" s="113">
        <f t="shared" si="8"/>
        <v>0.552733119</v>
      </c>
      <c r="L87" s="113">
        <f t="shared" si="9"/>
        <v>0.1077829582</v>
      </c>
      <c r="M87" s="113" t="str">
        <f t="shared" si="10"/>
        <v/>
      </c>
      <c r="N87" s="113" t="str">
        <f t="shared" si="11"/>
        <v/>
      </c>
      <c r="O87" s="114">
        <f t="shared" si="12"/>
        <v>72474.7</v>
      </c>
      <c r="P87" s="9"/>
      <c r="Q87" s="9"/>
      <c r="R87" s="115" t="s">
        <v>127</v>
      </c>
      <c r="S87" s="116">
        <f t="shared" si="13"/>
        <v>1162.004122</v>
      </c>
      <c r="T87" s="117">
        <f>MID(VLOOKUP($R87,'Dados ClubeFII'!$A:$AU,23,0),3,100)/1</f>
        <v>595377.07</v>
      </c>
      <c r="U87" s="118">
        <f t="shared" si="14"/>
        <v>40.004</v>
      </c>
      <c r="V87" s="118">
        <f t="shared" si="15"/>
        <v>122.000122</v>
      </c>
      <c r="W87" s="118" t="str">
        <f t="shared" ref="W87:AS87" si="96">IF(AV87="","", RANK(AV87,AV$7:AV$405,0))</f>
        <v/>
      </c>
      <c r="X87" s="118" t="str">
        <f t="shared" si="96"/>
        <v/>
      </c>
      <c r="Y87" s="118" t="str">
        <f t="shared" si="96"/>
        <v/>
      </c>
      <c r="Z87" s="118" t="str">
        <f t="shared" si="96"/>
        <v/>
      </c>
      <c r="AA87" s="118" t="str">
        <f t="shared" si="96"/>
        <v/>
      </c>
      <c r="AB87" s="118" t="str">
        <f t="shared" si="96"/>
        <v/>
      </c>
      <c r="AC87" s="118" t="str">
        <f t="shared" si="96"/>
        <v/>
      </c>
      <c r="AD87" s="118" t="str">
        <f t="shared" si="96"/>
        <v/>
      </c>
      <c r="AE87" s="118" t="str">
        <f t="shared" si="96"/>
        <v/>
      </c>
      <c r="AF87" s="118" t="str">
        <f t="shared" si="96"/>
        <v/>
      </c>
      <c r="AG87" s="118" t="str">
        <f t="shared" si="96"/>
        <v/>
      </c>
      <c r="AH87" s="118" t="str">
        <f t="shared" si="96"/>
        <v/>
      </c>
      <c r="AI87" s="118" t="str">
        <f t="shared" si="96"/>
        <v/>
      </c>
      <c r="AJ87" s="118" t="str">
        <f t="shared" si="96"/>
        <v/>
      </c>
      <c r="AK87" s="118" t="str">
        <f t="shared" si="96"/>
        <v/>
      </c>
      <c r="AL87" s="118" t="str">
        <f t="shared" si="96"/>
        <v/>
      </c>
      <c r="AM87" s="118" t="str">
        <f t="shared" si="96"/>
        <v/>
      </c>
      <c r="AN87" s="118" t="str">
        <f t="shared" si="96"/>
        <v/>
      </c>
      <c r="AO87" s="118" t="str">
        <f t="shared" si="96"/>
        <v/>
      </c>
      <c r="AP87" s="118" t="str">
        <f t="shared" si="96"/>
        <v/>
      </c>
      <c r="AQ87" s="118" t="str">
        <f t="shared" si="96"/>
        <v/>
      </c>
      <c r="AR87" s="118" t="str">
        <f t="shared" si="96"/>
        <v/>
      </c>
      <c r="AS87" s="118" t="str">
        <f t="shared" si="96"/>
        <v/>
      </c>
      <c r="AT87" s="123">
        <f>IF(AT$6="","",IF(AT$3="Maior",iferror(VLOOKUP($R87,Capa!$A:$Z,AT$5,0),0),IF(ISERROR(1/VLOOKUP($R87,Capa!$A:$Z,AT$5,0)),0,1/VLOOKUP($R87,Capa!$A:$Z,AT$5,0))))</f>
        <v>1.521068859</v>
      </c>
      <c r="AU87" s="124">
        <f>IF(AU$6="","",IF(AU$3="Maior",iferror(VLOOKUP($R87,Capa!$A:$Z,AU$5,0),0),IF(ISERROR(1/VLOOKUP($R87,Capa!$A:$Z,AU$5,0)),0,1/VLOOKUP($R87,Capa!$A:$Z,AU$5,0))))</f>
        <v>0.09776959459</v>
      </c>
      <c r="AV87" s="124" t="str">
        <f>IF(AV$6="","",IF(AV$3="Maior",iferror(VLOOKUP($R86,Capa!$A:$Z,AV$5,0),0),IF(ISERROR(1/VLOOKUP($R86,Capa!$A:$Z,AV$5,0)),0,1/VLOOKUP($R86,Capa!$A:$Z,AV$5,0))))</f>
        <v/>
      </c>
      <c r="AW87" s="124" t="str">
        <f>IF(AW$6="","",IF(AW$3="Maior",iferror(VLOOKUP($R86,Capa!$A:$Z,AW$5,0),0),IF(ISERROR(1/VLOOKUP($R86,Capa!$A:$Z,AW$5,0)),0,1/VLOOKUP($R86,Capa!$A:$Z,AW$5,0))))</f>
        <v/>
      </c>
      <c r="AX87" s="124" t="str">
        <f>IF(AX$6="","",IF(AX$3="Maior",iferror(VLOOKUP($R86,Capa!$A:$Z,AX$5,0),0),IF(ISERROR(1/VLOOKUP($R86,Capa!$A:$Z,AX$5,0)),0,1/VLOOKUP($R86,Capa!$A:$Z,AX$5,0))))</f>
        <v/>
      </c>
      <c r="AY87" s="124" t="str">
        <f>IF(AY$6="","",IF(AY$3="Maior",iferror(VLOOKUP($R86,Capa!$A:$Z,AY$5,0),0),IF(ISERROR(1/VLOOKUP($R86,Capa!$A:$Z,AY$5,0)),0,1/VLOOKUP($R86,Capa!$A:$Z,AY$5,0))))</f>
        <v/>
      </c>
      <c r="AZ87" s="124" t="str">
        <f>IF(AZ$6="","",IF(AZ$3="Maior",iferror(VLOOKUP($R86,Capa!$A:$Z,AZ$5,0),0),IF(ISERROR(1/VLOOKUP($R86,Capa!$A:$Z,AZ$5,0)),0,1/VLOOKUP($R86,Capa!$A:$Z,AZ$5,0))))</f>
        <v/>
      </c>
      <c r="BA87" s="124" t="str">
        <f>IF(BA$6="","",IF(BA$3="Maior",iferror(VLOOKUP($R86,Capa!$A:$Z,BA$5,0),0),IF(ISERROR(1/VLOOKUP($R86,Capa!$A:$Z,BA$5,0)),0,1/VLOOKUP($R86,Capa!$A:$Z,BA$5,0))))</f>
        <v/>
      </c>
      <c r="BB87" s="124" t="str">
        <f>IF(BB$6="","",IF(BB$3="Maior",iferror(VLOOKUP($R86,Capa!$A:$Z,BB$5,0),0),IF(ISERROR(1/VLOOKUP($R86,Capa!$A:$Z,BB$5,0)),0,1/VLOOKUP($R86,Capa!$A:$Z,BB$5,0))))</f>
        <v/>
      </c>
      <c r="BC87" s="124" t="str">
        <f>IF(BC$6="","",IF(BC$3="Maior",iferror(VLOOKUP($R86,Capa!$A:$Z,BC$5,0),0),IF(ISERROR(1/VLOOKUP($R86,Capa!$A:$Z,BC$5,0)),0,1/VLOOKUP($R86,Capa!$A:$Z,BC$5,0))))</f>
        <v/>
      </c>
      <c r="BD87" s="124" t="str">
        <f>IF(BD$6="","",IF(BD$3="Maior",iferror(VLOOKUP($R86,Capa!$A:$Z,BD$5,0),0),IF(ISERROR(1/VLOOKUP($R86,Capa!$A:$Z,BD$5,0)),0,1/VLOOKUP($R86,Capa!$A:$Z,BD$5,0))))</f>
        <v/>
      </c>
      <c r="BE87" s="124" t="str">
        <f>IF(BE$6="","",IF(BE$3="Maior",iferror(VLOOKUP($R86,Capa!$A:$Z,BE$5,0),0),IF(ISERROR(1/VLOOKUP($R86,Capa!$A:$Z,BE$5,0)),0,1/VLOOKUP($R86,Capa!$A:$Z,BE$5,0))))</f>
        <v/>
      </c>
      <c r="BF87" s="124" t="str">
        <f>IF(BF$6="","",IF(BF$3="Maior",iferror(VLOOKUP($R86,Capa!$A:$Z,BF$5,0),0),IF(ISERROR(1/VLOOKUP($R86,Capa!$A:$Z,BF$5,0)),0,1/VLOOKUP($R86,Capa!$A:$Z,BF$5,0))))</f>
        <v/>
      </c>
      <c r="BG87" s="124" t="str">
        <f>IF(BG$6="","",IF(BG$3="Maior",iferror(VLOOKUP($R86,Capa!$A:$Z,BG$5,0),0),IF(ISERROR(1/VLOOKUP($R86,Capa!$A:$Z,BG$5,0)),0,1/VLOOKUP($R86,Capa!$A:$Z,BG$5,0))))</f>
        <v/>
      </c>
      <c r="BH87" s="124" t="str">
        <f>IF(BH$6="","",IF(BH$3="Maior",iferror(VLOOKUP($R86,Capa!$A:$Z,BH$5,0),0),IF(ISERROR(1/VLOOKUP($R86,Capa!$A:$Z,BH$5,0)),0,1/VLOOKUP($R86,Capa!$A:$Z,BH$5,0))))</f>
        <v/>
      </c>
      <c r="BI87" s="124" t="str">
        <f>IF(BI$6="","",IF(BI$3="Maior",iferror(VLOOKUP($R86,Capa!$A:$Z,BI$5,0),0),IF(ISERROR(1/VLOOKUP($R86,Capa!$A:$Z,BI$5,0)),0,1/VLOOKUP($R86,Capa!$A:$Z,BI$5,0))))</f>
        <v/>
      </c>
      <c r="BJ87" s="124" t="str">
        <f>IF(BJ$6="","",IF(BJ$3="Maior",iferror(VLOOKUP($R86,Capa!$A:$Z,BJ$5,0),0),IF(ISERROR(1/VLOOKUP($R86,Capa!$A:$Z,BJ$5,0)),0,1/VLOOKUP($R86,Capa!$A:$Z,BJ$5,0))))</f>
        <v/>
      </c>
      <c r="BK87" s="124" t="str">
        <f>IF(BK$6="","",IF(BK$3="Maior",iferror(VLOOKUP($R86,Capa!$A:$Z,BK$5,0),0),IF(ISERROR(1/VLOOKUP($R86,Capa!$A:$Z,BK$5,0)),0,1/VLOOKUP($R86,Capa!$A:$Z,BK$5,0))))</f>
        <v/>
      </c>
      <c r="BL87" s="124" t="str">
        <f>IF(BL$6="","",IF(BL$3="Maior",iferror(VLOOKUP($R86,Capa!$A:$Z,BL$5,0),0),IF(ISERROR(1/VLOOKUP($R86,Capa!$A:$Z,BL$5,0)),0,1/VLOOKUP($R86,Capa!$A:$Z,BL$5,0))))</f>
        <v/>
      </c>
      <c r="BM87" s="124" t="str">
        <f>IF(BM$6="","",IF(BM$3="Maior",iferror(VLOOKUP($R86,Capa!$A:$Z,BM$5,0),0),IF(ISERROR(1/VLOOKUP($R86,Capa!$A:$Z,BM$5,0)),0,1/VLOOKUP($R86,Capa!$A:$Z,BM$5,0))))</f>
        <v/>
      </c>
      <c r="BN87" s="124" t="str">
        <f>IF(BN$6="","",IF(BN$3="Maior",iferror(VLOOKUP($R86,Capa!$A:$Z,BN$5,0),0),IF(ISERROR(1/VLOOKUP($R86,Capa!$A:$Z,BN$5,0)),0,1/VLOOKUP($R86,Capa!$A:$Z,BN$5,0))))</f>
        <v/>
      </c>
      <c r="BO87" s="124" t="str">
        <f>IF(BO$6="","",IF(BO$3="Maior",iferror(VLOOKUP($R86,Capa!$A:$Z,BO$5,0),0),IF(ISERROR(1/VLOOKUP($R86,Capa!$A:$Z,BO$5,0)),0,1/VLOOKUP($R86,Capa!$A:$Z,BO$5,0))))</f>
        <v/>
      </c>
      <c r="BP87" s="124" t="str">
        <f>IF(BP$6="","",IF(BP$3="Maior",iferror(VLOOKUP($R86,Capa!$A:$Z,BP$5,0),0),IF(ISERROR(1/VLOOKUP($R86,Capa!$A:$Z,BP$5,0)),0,1/VLOOKUP($R86,Capa!$A:$Z,BP$5,0))))</f>
        <v/>
      </c>
      <c r="BQ87" s="124" t="str">
        <f>IF(BQ$6="","",IF(BQ$3="Maior",iferror(VLOOKUP($R86,Capa!$A:$Z,BQ$5,0),0),IF(ISERROR(1/VLOOKUP($R86,Capa!$A:$Z,BQ$5,0)),0,1/VLOOKUP($R86,Capa!$A:$Z,BQ$5,0))))</f>
        <v/>
      </c>
      <c r="BR87" s="125" t="str">
        <f>IF(BR$6="","",IF(BR$3="Maior",iferror(VLOOKUP($R86,Capa!$A:$Z,BR$5,0),0),IF(ISERROR(1/VLOOKUP($R86,Capa!$A:$Z,BR$5,0)),0,1/VLOOKUP($R86,Capa!$A:$Z,BR$5,0))))</f>
        <v/>
      </c>
      <c r="BS87" s="88"/>
    </row>
    <row r="88">
      <c r="G88" s="9"/>
      <c r="H88" s="7">
        <v>82.0</v>
      </c>
      <c r="I88" s="111" t="str">
        <f t="shared" si="7"/>
        <v>CXCE11B</v>
      </c>
      <c r="J88" s="112" t="str">
        <f>VLOOKUP(I88,Capa!A:G,7,0)</f>
        <v>Lajes Comerciais</v>
      </c>
      <c r="K88" s="113">
        <f t="shared" si="8"/>
        <v>0.5917617989</v>
      </c>
      <c r="L88" s="113">
        <f t="shared" si="9"/>
        <v>0.1101064986</v>
      </c>
      <c r="M88" s="113" t="str">
        <f t="shared" si="10"/>
        <v/>
      </c>
      <c r="N88" s="113" t="str">
        <f t="shared" si="11"/>
        <v/>
      </c>
      <c r="O88" s="114">
        <f t="shared" si="12"/>
        <v>16221.52</v>
      </c>
      <c r="P88" s="9"/>
      <c r="Q88" s="9"/>
      <c r="R88" s="126" t="s">
        <v>244</v>
      </c>
      <c r="S88" s="116">
        <f t="shared" si="13"/>
        <v>1367.018781</v>
      </c>
      <c r="T88" s="117">
        <f>MID(VLOOKUP($R88,'Dados ClubeFII'!$A:$AU,23,0),3,100)/1</f>
        <v>278262.08</v>
      </c>
      <c r="U88" s="118">
        <f t="shared" si="14"/>
        <v>186.0186</v>
      </c>
      <c r="V88" s="118">
        <f t="shared" si="15"/>
        <v>181.000181</v>
      </c>
      <c r="W88" s="118" t="str">
        <f t="shared" ref="W88:AS88" si="97">IF(AV88="","", RANK(AV88,AV$7:AV$405,0))</f>
        <v/>
      </c>
      <c r="X88" s="118" t="str">
        <f t="shared" si="97"/>
        <v/>
      </c>
      <c r="Y88" s="118" t="str">
        <f t="shared" si="97"/>
        <v/>
      </c>
      <c r="Z88" s="118" t="str">
        <f t="shared" si="97"/>
        <v/>
      </c>
      <c r="AA88" s="118" t="str">
        <f t="shared" si="97"/>
        <v/>
      </c>
      <c r="AB88" s="118" t="str">
        <f t="shared" si="97"/>
        <v/>
      </c>
      <c r="AC88" s="118" t="str">
        <f t="shared" si="97"/>
        <v/>
      </c>
      <c r="AD88" s="118" t="str">
        <f t="shared" si="97"/>
        <v/>
      </c>
      <c r="AE88" s="118" t="str">
        <f t="shared" si="97"/>
        <v/>
      </c>
      <c r="AF88" s="118" t="str">
        <f t="shared" si="97"/>
        <v/>
      </c>
      <c r="AG88" s="118" t="str">
        <f t="shared" si="97"/>
        <v/>
      </c>
      <c r="AH88" s="118" t="str">
        <f t="shared" si="97"/>
        <v/>
      </c>
      <c r="AI88" s="118" t="str">
        <f t="shared" si="97"/>
        <v/>
      </c>
      <c r="AJ88" s="118" t="str">
        <f t="shared" si="97"/>
        <v/>
      </c>
      <c r="AK88" s="118" t="str">
        <f t="shared" si="97"/>
        <v/>
      </c>
      <c r="AL88" s="118" t="str">
        <f t="shared" si="97"/>
        <v/>
      </c>
      <c r="AM88" s="118" t="str">
        <f t="shared" si="97"/>
        <v/>
      </c>
      <c r="AN88" s="118" t="str">
        <f t="shared" si="97"/>
        <v/>
      </c>
      <c r="AO88" s="118" t="str">
        <f t="shared" si="97"/>
        <v/>
      </c>
      <c r="AP88" s="118" t="str">
        <f t="shared" si="97"/>
        <v/>
      </c>
      <c r="AQ88" s="118" t="str">
        <f t="shared" si="97"/>
        <v/>
      </c>
      <c r="AR88" s="118" t="str">
        <f t="shared" si="97"/>
        <v/>
      </c>
      <c r="AS88" s="118" t="str">
        <f t="shared" si="97"/>
        <v/>
      </c>
      <c r="AT88" s="123">
        <f>IF(AT$6="","",IF(AT$3="Maior",iferror(VLOOKUP($R88,Capa!$A:$Z,AT$5,0),0),IF(ISERROR(1/VLOOKUP($R88,Capa!$A:$Z,AT$5,0)),0,1/VLOOKUP($R88,Capa!$A:$Z,AT$5,0))))</f>
        <v>0</v>
      </c>
      <c r="AU88" s="124">
        <f>IF(AU$6="","",IF(AU$3="Maior",iferror(VLOOKUP($R88,Capa!$A:$Z,AU$5,0),0),IF(ISERROR(1/VLOOKUP($R88,Capa!$A:$Z,AU$5,0)),0,1/VLOOKUP($R88,Capa!$A:$Z,AU$5,0))))</f>
        <v>0</v>
      </c>
      <c r="AV88" s="124" t="str">
        <f>IF(AV$6="","",IF(AV$3="Maior",iferror(VLOOKUP(#REF!,Capa!$A:$Z,AV$5,0),0),IF(ISERROR(1/VLOOKUP(#REF!,Capa!$A:$Z,AV$5,0)),0,1/VLOOKUP(#REF!,Capa!$A:$Z,AV$5,0))))</f>
        <v/>
      </c>
      <c r="AW88" s="124" t="str">
        <f>IF(AW$6="","",IF(AW$3="Maior",iferror(VLOOKUP(#REF!,Capa!$A:$Z,AW$5,0),0),IF(ISERROR(1/VLOOKUP(#REF!,Capa!$A:$Z,AW$5,0)),0,1/VLOOKUP(#REF!,Capa!$A:$Z,AW$5,0))))</f>
        <v/>
      </c>
      <c r="AX88" s="124" t="str">
        <f>IF(AX$6="","",IF(AX$3="Maior",iferror(VLOOKUP(#REF!,Capa!$A:$Z,AX$5,0),0),IF(ISERROR(1/VLOOKUP(#REF!,Capa!$A:$Z,AX$5,0)),0,1/VLOOKUP(#REF!,Capa!$A:$Z,AX$5,0))))</f>
        <v/>
      </c>
      <c r="AY88" s="124" t="str">
        <f>IF(AY$6="","",IF(AY$3="Maior",iferror(VLOOKUP(#REF!,Capa!$A:$Z,AY$5,0),0),IF(ISERROR(1/VLOOKUP(#REF!,Capa!$A:$Z,AY$5,0)),0,1/VLOOKUP(#REF!,Capa!$A:$Z,AY$5,0))))</f>
        <v/>
      </c>
      <c r="AZ88" s="124" t="str">
        <f>IF(AZ$6="","",IF(AZ$3="Maior",iferror(VLOOKUP(#REF!,Capa!$A:$Z,AZ$5,0),0),IF(ISERROR(1/VLOOKUP(#REF!,Capa!$A:$Z,AZ$5,0)),0,1/VLOOKUP(#REF!,Capa!$A:$Z,AZ$5,0))))</f>
        <v/>
      </c>
      <c r="BA88" s="124" t="str">
        <f>IF(BA$6="","",IF(BA$3="Maior",iferror(VLOOKUP(#REF!,Capa!$A:$Z,BA$5,0),0),IF(ISERROR(1/VLOOKUP(#REF!,Capa!$A:$Z,BA$5,0)),0,1/VLOOKUP(#REF!,Capa!$A:$Z,BA$5,0))))</f>
        <v/>
      </c>
      <c r="BB88" s="124" t="str">
        <f>IF(BB$6="","",IF(BB$3="Maior",iferror(VLOOKUP(#REF!,Capa!$A:$Z,BB$5,0),0),IF(ISERROR(1/VLOOKUP(#REF!,Capa!$A:$Z,BB$5,0)),0,1/VLOOKUP(#REF!,Capa!$A:$Z,BB$5,0))))</f>
        <v/>
      </c>
      <c r="BC88" s="124" t="str">
        <f>IF(BC$6="","",IF(BC$3="Maior",iferror(VLOOKUP(#REF!,Capa!$A:$Z,BC$5,0),0),IF(ISERROR(1/VLOOKUP(#REF!,Capa!$A:$Z,BC$5,0)),0,1/VLOOKUP(#REF!,Capa!$A:$Z,BC$5,0))))</f>
        <v/>
      </c>
      <c r="BD88" s="124" t="str">
        <f>IF(BD$6="","",IF(BD$3="Maior",iferror(VLOOKUP(#REF!,Capa!$A:$Z,BD$5,0),0),IF(ISERROR(1/VLOOKUP(#REF!,Capa!$A:$Z,BD$5,0)),0,1/VLOOKUP(#REF!,Capa!$A:$Z,BD$5,0))))</f>
        <v/>
      </c>
      <c r="BE88" s="124" t="str">
        <f>IF(BE$6="","",IF(BE$3="Maior",iferror(VLOOKUP(#REF!,Capa!$A:$Z,BE$5,0),0),IF(ISERROR(1/VLOOKUP(#REF!,Capa!$A:$Z,BE$5,0)),0,1/VLOOKUP(#REF!,Capa!$A:$Z,BE$5,0))))</f>
        <v/>
      </c>
      <c r="BF88" s="124" t="str">
        <f>IF(BF$6="","",IF(BF$3="Maior",iferror(VLOOKUP(#REF!,Capa!$A:$Z,BF$5,0),0),IF(ISERROR(1/VLOOKUP(#REF!,Capa!$A:$Z,BF$5,0)),0,1/VLOOKUP(#REF!,Capa!$A:$Z,BF$5,0))))</f>
        <v/>
      </c>
      <c r="BG88" s="124" t="str">
        <f>IF(BG$6="","",IF(BG$3="Maior",iferror(VLOOKUP(#REF!,Capa!$A:$Z,BG$5,0),0),IF(ISERROR(1/VLOOKUP(#REF!,Capa!$A:$Z,BG$5,0)),0,1/VLOOKUP(#REF!,Capa!$A:$Z,BG$5,0))))</f>
        <v/>
      </c>
      <c r="BH88" s="124" t="str">
        <f>IF(BH$6="","",IF(BH$3="Maior",iferror(VLOOKUP(#REF!,Capa!$A:$Z,BH$5,0),0),IF(ISERROR(1/VLOOKUP(#REF!,Capa!$A:$Z,BH$5,0)),0,1/VLOOKUP(#REF!,Capa!$A:$Z,BH$5,0))))</f>
        <v/>
      </c>
      <c r="BI88" s="124" t="str">
        <f>IF(BI$6="","",IF(BI$3="Maior",iferror(VLOOKUP(#REF!,Capa!$A:$Z,BI$5,0),0),IF(ISERROR(1/VLOOKUP(#REF!,Capa!$A:$Z,BI$5,0)),0,1/VLOOKUP(#REF!,Capa!$A:$Z,BI$5,0))))</f>
        <v/>
      </c>
      <c r="BJ88" s="124" t="str">
        <f>IF(BJ$6="","",IF(BJ$3="Maior",iferror(VLOOKUP(#REF!,Capa!$A:$Z,BJ$5,0),0),IF(ISERROR(1/VLOOKUP(#REF!,Capa!$A:$Z,BJ$5,0)),0,1/VLOOKUP(#REF!,Capa!$A:$Z,BJ$5,0))))</f>
        <v/>
      </c>
      <c r="BK88" s="124" t="str">
        <f>IF(BK$6="","",IF(BK$3="Maior",iferror(VLOOKUP(#REF!,Capa!$A:$Z,BK$5,0),0),IF(ISERROR(1/VLOOKUP(#REF!,Capa!$A:$Z,BK$5,0)),0,1/VLOOKUP(#REF!,Capa!$A:$Z,BK$5,0))))</f>
        <v/>
      </c>
      <c r="BL88" s="124" t="str">
        <f>IF(BL$6="","",IF(BL$3="Maior",iferror(VLOOKUP(#REF!,Capa!$A:$Z,BL$5,0),0),IF(ISERROR(1/VLOOKUP(#REF!,Capa!$A:$Z,BL$5,0)),0,1/VLOOKUP(#REF!,Capa!$A:$Z,BL$5,0))))</f>
        <v/>
      </c>
      <c r="BM88" s="124" t="str">
        <f>IF(BM$6="","",IF(BM$3="Maior",iferror(VLOOKUP(#REF!,Capa!$A:$Z,BM$5,0),0),IF(ISERROR(1/VLOOKUP(#REF!,Capa!$A:$Z,BM$5,0)),0,1/VLOOKUP(#REF!,Capa!$A:$Z,BM$5,0))))</f>
        <v/>
      </c>
      <c r="BN88" s="124" t="str">
        <f>IF(BN$6="","",IF(BN$3="Maior",iferror(VLOOKUP(#REF!,Capa!$A:$Z,BN$5,0),0),IF(ISERROR(1/VLOOKUP(#REF!,Capa!$A:$Z,BN$5,0)),0,1/VLOOKUP(#REF!,Capa!$A:$Z,BN$5,0))))</f>
        <v/>
      </c>
      <c r="BO88" s="124" t="str">
        <f>IF(BO$6="","",IF(BO$3="Maior",iferror(VLOOKUP(#REF!,Capa!$A:$Z,BO$5,0),0),IF(ISERROR(1/VLOOKUP(#REF!,Capa!$A:$Z,BO$5,0)),0,1/VLOOKUP(#REF!,Capa!$A:$Z,BO$5,0))))</f>
        <v/>
      </c>
      <c r="BP88" s="124" t="str">
        <f>IF(BP$6="","",IF(BP$3="Maior",iferror(VLOOKUP(#REF!,Capa!$A:$Z,BP$5,0),0),IF(ISERROR(1/VLOOKUP(#REF!,Capa!$A:$Z,BP$5,0)),0,1/VLOOKUP(#REF!,Capa!$A:$Z,BP$5,0))))</f>
        <v/>
      </c>
      <c r="BQ88" s="124" t="str">
        <f>IF(BQ$6="","",IF(BQ$3="Maior",iferror(VLOOKUP(#REF!,Capa!$A:$Z,BQ$5,0),0),IF(ISERROR(1/VLOOKUP(#REF!,Capa!$A:$Z,BQ$5,0)),0,1/VLOOKUP(#REF!,Capa!$A:$Z,BQ$5,0))))</f>
        <v/>
      </c>
      <c r="BR88" s="125" t="str">
        <f>IF(BR$6="","",IF(BR$3="Maior",iferror(VLOOKUP(#REF!,Capa!$A:$Z,BR$5,0),0),IF(ISERROR(1/VLOOKUP(#REF!,Capa!$A:$Z,BR$5,0)),0,1/VLOOKUP(#REF!,Capa!$A:$Z,BR$5,0))))</f>
        <v/>
      </c>
      <c r="BS88" s="88"/>
    </row>
    <row r="89">
      <c r="G89" s="9"/>
      <c r="H89" s="7">
        <v>83.0</v>
      </c>
      <c r="I89" s="111" t="str">
        <f t="shared" si="7"/>
        <v>PORD11</v>
      </c>
      <c r="J89" s="112" t="str">
        <f>VLOOKUP(I89,Capa!A:G,7,0)</f>
        <v>Recebíveis Imobiliários</v>
      </c>
      <c r="K89" s="113">
        <f t="shared" si="8"/>
        <v>0.8613522156</v>
      </c>
      <c r="L89" s="113">
        <f t="shared" si="9"/>
        <v>0.1592544541</v>
      </c>
      <c r="M89" s="113" t="str">
        <f t="shared" si="10"/>
        <v/>
      </c>
      <c r="N89" s="113" t="str">
        <f t="shared" si="11"/>
        <v/>
      </c>
      <c r="O89" s="114">
        <f t="shared" si="12"/>
        <v>519397.49</v>
      </c>
      <c r="P89" s="9"/>
      <c r="Q89" s="9"/>
      <c r="R89" s="115" t="s">
        <v>112</v>
      </c>
      <c r="S89" s="116">
        <f t="shared" si="13"/>
        <v>1069.003831</v>
      </c>
      <c r="T89" s="117">
        <f>MID(VLOOKUP($R89,'Dados ClubeFII'!$A:$AU,23,0),3,100)/1</f>
        <v>382880.34</v>
      </c>
      <c r="U89" s="118">
        <f t="shared" si="14"/>
        <v>38.0038</v>
      </c>
      <c r="V89" s="118">
        <f t="shared" si="15"/>
        <v>31.000031</v>
      </c>
      <c r="W89" s="118" t="str">
        <f t="shared" ref="W89:AS89" si="98">IF(AV89="","", RANK(AV89,AV$7:AV$405,0))</f>
        <v/>
      </c>
      <c r="X89" s="118" t="str">
        <f t="shared" si="98"/>
        <v/>
      </c>
      <c r="Y89" s="118" t="str">
        <f t="shared" si="98"/>
        <v/>
      </c>
      <c r="Z89" s="118" t="str">
        <f t="shared" si="98"/>
        <v/>
      </c>
      <c r="AA89" s="118" t="str">
        <f t="shared" si="98"/>
        <v/>
      </c>
      <c r="AB89" s="118" t="str">
        <f t="shared" si="98"/>
        <v/>
      </c>
      <c r="AC89" s="118" t="str">
        <f t="shared" si="98"/>
        <v/>
      </c>
      <c r="AD89" s="118" t="str">
        <f t="shared" si="98"/>
        <v/>
      </c>
      <c r="AE89" s="118" t="str">
        <f t="shared" si="98"/>
        <v/>
      </c>
      <c r="AF89" s="118" t="str">
        <f t="shared" si="98"/>
        <v/>
      </c>
      <c r="AG89" s="118" t="str">
        <f t="shared" si="98"/>
        <v/>
      </c>
      <c r="AH89" s="118" t="str">
        <f t="shared" si="98"/>
        <v/>
      </c>
      <c r="AI89" s="118" t="str">
        <f t="shared" si="98"/>
        <v/>
      </c>
      <c r="AJ89" s="118" t="str">
        <f t="shared" si="98"/>
        <v/>
      </c>
      <c r="AK89" s="118" t="str">
        <f t="shared" si="98"/>
        <v/>
      </c>
      <c r="AL89" s="118" t="str">
        <f t="shared" si="98"/>
        <v/>
      </c>
      <c r="AM89" s="118" t="str">
        <f t="shared" si="98"/>
        <v/>
      </c>
      <c r="AN89" s="118" t="str">
        <f t="shared" si="98"/>
        <v/>
      </c>
      <c r="AO89" s="118" t="str">
        <f t="shared" si="98"/>
        <v/>
      </c>
      <c r="AP89" s="118" t="str">
        <f t="shared" si="98"/>
        <v/>
      </c>
      <c r="AQ89" s="118" t="str">
        <f t="shared" si="98"/>
        <v/>
      </c>
      <c r="AR89" s="118" t="str">
        <f t="shared" si="98"/>
        <v/>
      </c>
      <c r="AS89" s="118" t="str">
        <f t="shared" si="98"/>
        <v/>
      </c>
      <c r="AT89" s="123">
        <f>IF(AT$6="","",IF(AT$3="Maior",iferror(VLOOKUP($R89,Capa!$A:$Z,AT$5,0),0),IF(ISERROR(1/VLOOKUP($R89,Capa!$A:$Z,AT$5,0)),0,1/VLOOKUP($R89,Capa!$A:$Z,AT$5,0))))</f>
        <v>1.54763676</v>
      </c>
      <c r="AU89" s="124">
        <f>IF(AU$6="","",IF(AU$3="Maior",iferror(VLOOKUP($R89,Capa!$A:$Z,AU$5,0),0),IF(ISERROR(1/VLOOKUP($R89,Capa!$A:$Z,AU$5,0)),0,1/VLOOKUP($R89,Capa!$A:$Z,AU$5,0))))</f>
        <v>0.1482220798</v>
      </c>
      <c r="AV89" s="124" t="str">
        <f>IF(AV$6="","",IF(AV$3="Maior",iferror(VLOOKUP(#REF!,Capa!$A:$Z,AV$5,0),0),IF(ISERROR(1/VLOOKUP(#REF!,Capa!$A:$Z,AV$5,0)),0,1/VLOOKUP(#REF!,Capa!$A:$Z,AV$5,0))))</f>
        <v/>
      </c>
      <c r="AW89" s="124" t="str">
        <f>IF(AW$6="","",IF(AW$3="Maior",iferror(VLOOKUP(#REF!,Capa!$A:$Z,AW$5,0),0),IF(ISERROR(1/VLOOKUP(#REF!,Capa!$A:$Z,AW$5,0)),0,1/VLOOKUP(#REF!,Capa!$A:$Z,AW$5,0))))</f>
        <v/>
      </c>
      <c r="AX89" s="124" t="str">
        <f>IF(AX$6="","",IF(AX$3="Maior",iferror(VLOOKUP(#REF!,Capa!$A:$Z,AX$5,0),0),IF(ISERROR(1/VLOOKUP(#REF!,Capa!$A:$Z,AX$5,0)),0,1/VLOOKUP(#REF!,Capa!$A:$Z,AX$5,0))))</f>
        <v/>
      </c>
      <c r="AY89" s="124" t="str">
        <f>IF(AY$6="","",IF(AY$3="Maior",iferror(VLOOKUP(#REF!,Capa!$A:$Z,AY$5,0),0),IF(ISERROR(1/VLOOKUP(#REF!,Capa!$A:$Z,AY$5,0)),0,1/VLOOKUP(#REF!,Capa!$A:$Z,AY$5,0))))</f>
        <v/>
      </c>
      <c r="AZ89" s="124" t="str">
        <f>IF(AZ$6="","",IF(AZ$3="Maior",iferror(VLOOKUP(#REF!,Capa!$A:$Z,AZ$5,0),0),IF(ISERROR(1/VLOOKUP(#REF!,Capa!$A:$Z,AZ$5,0)),0,1/VLOOKUP(#REF!,Capa!$A:$Z,AZ$5,0))))</f>
        <v/>
      </c>
      <c r="BA89" s="124" t="str">
        <f>IF(BA$6="","",IF(BA$3="Maior",iferror(VLOOKUP(#REF!,Capa!$A:$Z,BA$5,0),0),IF(ISERROR(1/VLOOKUP(#REF!,Capa!$A:$Z,BA$5,0)),0,1/VLOOKUP(#REF!,Capa!$A:$Z,BA$5,0))))</f>
        <v/>
      </c>
      <c r="BB89" s="124" t="str">
        <f>IF(BB$6="","",IF(BB$3="Maior",iferror(VLOOKUP(#REF!,Capa!$A:$Z,BB$5,0),0),IF(ISERROR(1/VLOOKUP(#REF!,Capa!$A:$Z,BB$5,0)),0,1/VLOOKUP(#REF!,Capa!$A:$Z,BB$5,0))))</f>
        <v/>
      </c>
      <c r="BC89" s="124" t="str">
        <f>IF(BC$6="","",IF(BC$3="Maior",iferror(VLOOKUP(#REF!,Capa!$A:$Z,BC$5,0),0),IF(ISERROR(1/VLOOKUP(#REF!,Capa!$A:$Z,BC$5,0)),0,1/VLOOKUP(#REF!,Capa!$A:$Z,BC$5,0))))</f>
        <v/>
      </c>
      <c r="BD89" s="124" t="str">
        <f>IF(BD$6="","",IF(BD$3="Maior",iferror(VLOOKUP(#REF!,Capa!$A:$Z,BD$5,0),0),IF(ISERROR(1/VLOOKUP(#REF!,Capa!$A:$Z,BD$5,0)),0,1/VLOOKUP(#REF!,Capa!$A:$Z,BD$5,0))))</f>
        <v/>
      </c>
      <c r="BE89" s="124" t="str">
        <f>IF(BE$6="","",IF(BE$3="Maior",iferror(VLOOKUP(#REF!,Capa!$A:$Z,BE$5,0),0),IF(ISERROR(1/VLOOKUP(#REF!,Capa!$A:$Z,BE$5,0)),0,1/VLOOKUP(#REF!,Capa!$A:$Z,BE$5,0))))</f>
        <v/>
      </c>
      <c r="BF89" s="124" t="str">
        <f>IF(BF$6="","",IF(BF$3="Maior",iferror(VLOOKUP(#REF!,Capa!$A:$Z,BF$5,0),0),IF(ISERROR(1/VLOOKUP(#REF!,Capa!$A:$Z,BF$5,0)),0,1/VLOOKUP(#REF!,Capa!$A:$Z,BF$5,0))))</f>
        <v/>
      </c>
      <c r="BG89" s="124" t="str">
        <f>IF(BG$6="","",IF(BG$3="Maior",iferror(VLOOKUP(#REF!,Capa!$A:$Z,BG$5,0),0),IF(ISERROR(1/VLOOKUP(#REF!,Capa!$A:$Z,BG$5,0)),0,1/VLOOKUP(#REF!,Capa!$A:$Z,BG$5,0))))</f>
        <v/>
      </c>
      <c r="BH89" s="124" t="str">
        <f>IF(BH$6="","",IF(BH$3="Maior",iferror(VLOOKUP(#REF!,Capa!$A:$Z,BH$5,0),0),IF(ISERROR(1/VLOOKUP(#REF!,Capa!$A:$Z,BH$5,0)),0,1/VLOOKUP(#REF!,Capa!$A:$Z,BH$5,0))))</f>
        <v/>
      </c>
      <c r="BI89" s="124" t="str">
        <f>IF(BI$6="","",IF(BI$3="Maior",iferror(VLOOKUP(#REF!,Capa!$A:$Z,BI$5,0),0),IF(ISERROR(1/VLOOKUP(#REF!,Capa!$A:$Z,BI$5,0)),0,1/VLOOKUP(#REF!,Capa!$A:$Z,BI$5,0))))</f>
        <v/>
      </c>
      <c r="BJ89" s="124" t="str">
        <f>IF(BJ$6="","",IF(BJ$3="Maior",iferror(VLOOKUP(#REF!,Capa!$A:$Z,BJ$5,0),0),IF(ISERROR(1/VLOOKUP(#REF!,Capa!$A:$Z,BJ$5,0)),0,1/VLOOKUP(#REF!,Capa!$A:$Z,BJ$5,0))))</f>
        <v/>
      </c>
      <c r="BK89" s="124" t="str">
        <f>IF(BK$6="","",IF(BK$3="Maior",iferror(VLOOKUP(#REF!,Capa!$A:$Z,BK$5,0),0),IF(ISERROR(1/VLOOKUP(#REF!,Capa!$A:$Z,BK$5,0)),0,1/VLOOKUP(#REF!,Capa!$A:$Z,BK$5,0))))</f>
        <v/>
      </c>
      <c r="BL89" s="124" t="str">
        <f>IF(BL$6="","",IF(BL$3="Maior",iferror(VLOOKUP(#REF!,Capa!$A:$Z,BL$5,0),0),IF(ISERROR(1/VLOOKUP(#REF!,Capa!$A:$Z,BL$5,0)),0,1/VLOOKUP(#REF!,Capa!$A:$Z,BL$5,0))))</f>
        <v/>
      </c>
      <c r="BM89" s="124" t="str">
        <f>IF(BM$6="","",IF(BM$3="Maior",iferror(VLOOKUP(#REF!,Capa!$A:$Z,BM$5,0),0),IF(ISERROR(1/VLOOKUP(#REF!,Capa!$A:$Z,BM$5,0)),0,1/VLOOKUP(#REF!,Capa!$A:$Z,BM$5,0))))</f>
        <v/>
      </c>
      <c r="BN89" s="124" t="str">
        <f>IF(BN$6="","",IF(BN$3="Maior",iferror(VLOOKUP(#REF!,Capa!$A:$Z,BN$5,0),0),IF(ISERROR(1/VLOOKUP(#REF!,Capa!$A:$Z,BN$5,0)),0,1/VLOOKUP(#REF!,Capa!$A:$Z,BN$5,0))))</f>
        <v/>
      </c>
      <c r="BO89" s="124" t="str">
        <f>IF(BO$6="","",IF(BO$3="Maior",iferror(VLOOKUP(#REF!,Capa!$A:$Z,BO$5,0),0),IF(ISERROR(1/VLOOKUP(#REF!,Capa!$A:$Z,BO$5,0)),0,1/VLOOKUP(#REF!,Capa!$A:$Z,BO$5,0))))</f>
        <v/>
      </c>
      <c r="BP89" s="124" t="str">
        <f>IF(BP$6="","",IF(BP$3="Maior",iferror(VLOOKUP(#REF!,Capa!$A:$Z,BP$5,0),0),IF(ISERROR(1/VLOOKUP(#REF!,Capa!$A:$Z,BP$5,0)),0,1/VLOOKUP(#REF!,Capa!$A:$Z,BP$5,0))))</f>
        <v/>
      </c>
      <c r="BQ89" s="124" t="str">
        <f>IF(BQ$6="","",IF(BQ$3="Maior",iferror(VLOOKUP(#REF!,Capa!$A:$Z,BQ$5,0),0),IF(ISERROR(1/VLOOKUP(#REF!,Capa!$A:$Z,BQ$5,0)),0,1/VLOOKUP(#REF!,Capa!$A:$Z,BQ$5,0))))</f>
        <v/>
      </c>
      <c r="BR89" s="125" t="str">
        <f>IF(BR$6="","",IF(BR$3="Maior",iferror(VLOOKUP(#REF!,Capa!$A:$Z,BR$5,0),0),IF(ISERROR(1/VLOOKUP(#REF!,Capa!$A:$Z,BR$5,0)),0,1/VLOOKUP(#REF!,Capa!$A:$Z,BR$5,0))))</f>
        <v/>
      </c>
      <c r="BS89" s="88"/>
    </row>
    <row r="90">
      <c r="G90" s="9"/>
      <c r="H90" s="7">
        <v>84.0</v>
      </c>
      <c r="I90" s="129" t="str">
        <f t="shared" si="7"/>
        <v>HREC11</v>
      </c>
      <c r="J90" s="112" t="str">
        <f>VLOOKUP(I90,Capa!A:G,7,0)</f>
        <v>Recebíveis Imobiliários</v>
      </c>
      <c r="K90" s="113">
        <f t="shared" si="8"/>
        <v>0.8702192691</v>
      </c>
      <c r="L90" s="113">
        <f t="shared" si="9"/>
        <v>0.1630893289</v>
      </c>
      <c r="M90" s="113" t="str">
        <f t="shared" si="10"/>
        <v/>
      </c>
      <c r="N90" s="113" t="str">
        <f t="shared" si="11"/>
        <v/>
      </c>
      <c r="O90" s="114">
        <f t="shared" si="12"/>
        <v>131680.87</v>
      </c>
      <c r="P90" s="9"/>
      <c r="Q90" s="9"/>
      <c r="R90" s="127" t="s">
        <v>171</v>
      </c>
      <c r="S90" s="116">
        <f t="shared" si="13"/>
        <v>1056.000848</v>
      </c>
      <c r="T90" s="117">
        <f>MID(VLOOKUP($R90,'Dados ClubeFII'!$A:$AU,23,0),3,100)/1</f>
        <v>14166.78</v>
      </c>
      <c r="U90" s="118">
        <f t="shared" si="14"/>
        <v>8.0008</v>
      </c>
      <c r="V90" s="118">
        <f t="shared" si="15"/>
        <v>48.000048</v>
      </c>
      <c r="W90" s="118" t="str">
        <f t="shared" ref="W90:AS90" si="99">IF(AV90="","", RANK(AV90,AV$7:AV$405,0))</f>
        <v/>
      </c>
      <c r="X90" s="118" t="str">
        <f t="shared" si="99"/>
        <v/>
      </c>
      <c r="Y90" s="118" t="str">
        <f t="shared" si="99"/>
        <v/>
      </c>
      <c r="Z90" s="118" t="str">
        <f t="shared" si="99"/>
        <v/>
      </c>
      <c r="AA90" s="118" t="str">
        <f t="shared" si="99"/>
        <v/>
      </c>
      <c r="AB90" s="118" t="str">
        <f t="shared" si="99"/>
        <v/>
      </c>
      <c r="AC90" s="118" t="str">
        <f t="shared" si="99"/>
        <v/>
      </c>
      <c r="AD90" s="118" t="str">
        <f t="shared" si="99"/>
        <v/>
      </c>
      <c r="AE90" s="118" t="str">
        <f t="shared" si="99"/>
        <v/>
      </c>
      <c r="AF90" s="118" t="str">
        <f t="shared" si="99"/>
        <v/>
      </c>
      <c r="AG90" s="118" t="str">
        <f t="shared" si="99"/>
        <v/>
      </c>
      <c r="AH90" s="118" t="str">
        <f t="shared" si="99"/>
        <v/>
      </c>
      <c r="AI90" s="118" t="str">
        <f t="shared" si="99"/>
        <v/>
      </c>
      <c r="AJ90" s="118" t="str">
        <f t="shared" si="99"/>
        <v/>
      </c>
      <c r="AK90" s="118" t="str">
        <f t="shared" si="99"/>
        <v/>
      </c>
      <c r="AL90" s="118" t="str">
        <f t="shared" si="99"/>
        <v/>
      </c>
      <c r="AM90" s="118" t="str">
        <f t="shared" si="99"/>
        <v/>
      </c>
      <c r="AN90" s="118" t="str">
        <f t="shared" si="99"/>
        <v/>
      </c>
      <c r="AO90" s="118" t="str">
        <f t="shared" si="99"/>
        <v/>
      </c>
      <c r="AP90" s="118" t="str">
        <f t="shared" si="99"/>
        <v/>
      </c>
      <c r="AQ90" s="118" t="str">
        <f t="shared" si="99"/>
        <v/>
      </c>
      <c r="AR90" s="118" t="str">
        <f t="shared" si="99"/>
        <v/>
      </c>
      <c r="AS90" s="118" t="str">
        <f t="shared" si="99"/>
        <v/>
      </c>
      <c r="AT90" s="123">
        <f>IF(AT$6="","",IF(AT$3="Maior",iferror(VLOOKUP($R90,Capa!$A:$Z,AT$5,0),0),IF(ISERROR(1/VLOOKUP($R90,Capa!$A:$Z,AT$5,0)),0,1/VLOOKUP($R90,Capa!$A:$Z,AT$5,0))))</f>
        <v>2.79656275</v>
      </c>
      <c r="AU90" s="124">
        <f>IF(AU$6="","",IF(AU$3="Maior",iferror(VLOOKUP($R90,Capa!$A:$Z,AU$5,0),0),IF(ISERROR(1/VLOOKUP($R90,Capa!$A:$Z,AU$5,0)),0,1/VLOOKUP($R90,Capa!$A:$Z,AU$5,0))))</f>
        <v>0.1394569101</v>
      </c>
      <c r="AV90" s="124" t="str">
        <f>IF(AV$6="","",IF(AV$3="Maior",iferror(VLOOKUP($R89,Capa!$A:$Z,AV$5,0),0),IF(ISERROR(1/VLOOKUP($R89,Capa!$A:$Z,AV$5,0)),0,1/VLOOKUP($R89,Capa!$A:$Z,AV$5,0))))</f>
        <v/>
      </c>
      <c r="AW90" s="124" t="str">
        <f>IF(AW$6="","",IF(AW$3="Maior",iferror(VLOOKUP($R89,Capa!$A:$Z,AW$5,0),0),IF(ISERROR(1/VLOOKUP($R89,Capa!$A:$Z,AW$5,0)),0,1/VLOOKUP($R89,Capa!$A:$Z,AW$5,0))))</f>
        <v/>
      </c>
      <c r="AX90" s="124" t="str">
        <f>IF(AX$6="","",IF(AX$3="Maior",iferror(VLOOKUP($R89,Capa!$A:$Z,AX$5,0),0),IF(ISERROR(1/VLOOKUP($R89,Capa!$A:$Z,AX$5,0)),0,1/VLOOKUP($R89,Capa!$A:$Z,AX$5,0))))</f>
        <v/>
      </c>
      <c r="AY90" s="124" t="str">
        <f>IF(AY$6="","",IF(AY$3="Maior",iferror(VLOOKUP($R89,Capa!$A:$Z,AY$5,0),0),IF(ISERROR(1/VLOOKUP($R89,Capa!$A:$Z,AY$5,0)),0,1/VLOOKUP($R89,Capa!$A:$Z,AY$5,0))))</f>
        <v/>
      </c>
      <c r="AZ90" s="124" t="str">
        <f>IF(AZ$6="","",IF(AZ$3="Maior",iferror(VLOOKUP($R89,Capa!$A:$Z,AZ$5,0),0),IF(ISERROR(1/VLOOKUP($R89,Capa!$A:$Z,AZ$5,0)),0,1/VLOOKUP($R89,Capa!$A:$Z,AZ$5,0))))</f>
        <v/>
      </c>
      <c r="BA90" s="124" t="str">
        <f>IF(BA$6="","",IF(BA$3="Maior",iferror(VLOOKUP($R89,Capa!$A:$Z,BA$5,0),0),IF(ISERROR(1/VLOOKUP($R89,Capa!$A:$Z,BA$5,0)),0,1/VLOOKUP($R89,Capa!$A:$Z,BA$5,0))))</f>
        <v/>
      </c>
      <c r="BB90" s="124" t="str">
        <f>IF(BB$6="","",IF(BB$3="Maior",iferror(VLOOKUP($R89,Capa!$A:$Z,BB$5,0),0),IF(ISERROR(1/VLOOKUP($R89,Capa!$A:$Z,BB$5,0)),0,1/VLOOKUP($R89,Capa!$A:$Z,BB$5,0))))</f>
        <v/>
      </c>
      <c r="BC90" s="124" t="str">
        <f>IF(BC$6="","",IF(BC$3="Maior",iferror(VLOOKUP($R89,Capa!$A:$Z,BC$5,0),0),IF(ISERROR(1/VLOOKUP($R89,Capa!$A:$Z,BC$5,0)),0,1/VLOOKUP($R89,Capa!$A:$Z,BC$5,0))))</f>
        <v/>
      </c>
      <c r="BD90" s="124" t="str">
        <f>IF(BD$6="","",IF(BD$3="Maior",iferror(VLOOKUP($R89,Capa!$A:$Z,BD$5,0),0),IF(ISERROR(1/VLOOKUP($R89,Capa!$A:$Z,BD$5,0)),0,1/VLOOKUP($R89,Capa!$A:$Z,BD$5,0))))</f>
        <v/>
      </c>
      <c r="BE90" s="124" t="str">
        <f>IF(BE$6="","",IF(BE$3="Maior",iferror(VLOOKUP($R89,Capa!$A:$Z,BE$5,0),0),IF(ISERROR(1/VLOOKUP($R89,Capa!$A:$Z,BE$5,0)),0,1/VLOOKUP($R89,Capa!$A:$Z,BE$5,0))))</f>
        <v/>
      </c>
      <c r="BF90" s="124" t="str">
        <f>IF(BF$6="","",IF(BF$3="Maior",iferror(VLOOKUP($R89,Capa!$A:$Z,BF$5,0),0),IF(ISERROR(1/VLOOKUP($R89,Capa!$A:$Z,BF$5,0)),0,1/VLOOKUP($R89,Capa!$A:$Z,BF$5,0))))</f>
        <v/>
      </c>
      <c r="BG90" s="124" t="str">
        <f>IF(BG$6="","",IF(BG$3="Maior",iferror(VLOOKUP($R89,Capa!$A:$Z,BG$5,0),0),IF(ISERROR(1/VLOOKUP($R89,Capa!$A:$Z,BG$5,0)),0,1/VLOOKUP($R89,Capa!$A:$Z,BG$5,0))))</f>
        <v/>
      </c>
      <c r="BH90" s="124" t="str">
        <f>IF(BH$6="","",IF(BH$3="Maior",iferror(VLOOKUP($R89,Capa!$A:$Z,BH$5,0),0),IF(ISERROR(1/VLOOKUP($R89,Capa!$A:$Z,BH$5,0)),0,1/VLOOKUP($R89,Capa!$A:$Z,BH$5,0))))</f>
        <v/>
      </c>
      <c r="BI90" s="124" t="str">
        <f>IF(BI$6="","",IF(BI$3="Maior",iferror(VLOOKUP($R89,Capa!$A:$Z,BI$5,0),0),IF(ISERROR(1/VLOOKUP($R89,Capa!$A:$Z,BI$5,0)),0,1/VLOOKUP($R89,Capa!$A:$Z,BI$5,0))))</f>
        <v/>
      </c>
      <c r="BJ90" s="124" t="str">
        <f>IF(BJ$6="","",IF(BJ$3="Maior",iferror(VLOOKUP($R89,Capa!$A:$Z,BJ$5,0),0),IF(ISERROR(1/VLOOKUP($R89,Capa!$A:$Z,BJ$5,0)),0,1/VLOOKUP($R89,Capa!$A:$Z,BJ$5,0))))</f>
        <v/>
      </c>
      <c r="BK90" s="124" t="str">
        <f>IF(BK$6="","",IF(BK$3="Maior",iferror(VLOOKUP($R89,Capa!$A:$Z,BK$5,0),0),IF(ISERROR(1/VLOOKUP($R89,Capa!$A:$Z,BK$5,0)),0,1/VLOOKUP($R89,Capa!$A:$Z,BK$5,0))))</f>
        <v/>
      </c>
      <c r="BL90" s="124" t="str">
        <f>IF(BL$6="","",IF(BL$3="Maior",iferror(VLOOKUP($R89,Capa!$A:$Z,BL$5,0),0),IF(ISERROR(1/VLOOKUP($R89,Capa!$A:$Z,BL$5,0)),0,1/VLOOKUP($R89,Capa!$A:$Z,BL$5,0))))</f>
        <v/>
      </c>
      <c r="BM90" s="124" t="str">
        <f>IF(BM$6="","",IF(BM$3="Maior",iferror(VLOOKUP($R89,Capa!$A:$Z,BM$5,0),0),IF(ISERROR(1/VLOOKUP($R89,Capa!$A:$Z,BM$5,0)),0,1/VLOOKUP($R89,Capa!$A:$Z,BM$5,0))))</f>
        <v/>
      </c>
      <c r="BN90" s="124" t="str">
        <f>IF(BN$6="","",IF(BN$3="Maior",iferror(VLOOKUP($R89,Capa!$A:$Z,BN$5,0),0),IF(ISERROR(1/VLOOKUP($R89,Capa!$A:$Z,BN$5,0)),0,1/VLOOKUP($R89,Capa!$A:$Z,BN$5,0))))</f>
        <v/>
      </c>
      <c r="BO90" s="124" t="str">
        <f>IF(BO$6="","",IF(BO$3="Maior",iferror(VLOOKUP($R89,Capa!$A:$Z,BO$5,0),0),IF(ISERROR(1/VLOOKUP($R89,Capa!$A:$Z,BO$5,0)),0,1/VLOOKUP($R89,Capa!$A:$Z,BO$5,0))))</f>
        <v/>
      </c>
      <c r="BP90" s="124" t="str">
        <f>IF(BP$6="","",IF(BP$3="Maior",iferror(VLOOKUP($R89,Capa!$A:$Z,BP$5,0),0),IF(ISERROR(1/VLOOKUP($R89,Capa!$A:$Z,BP$5,0)),0,1/VLOOKUP($R89,Capa!$A:$Z,BP$5,0))))</f>
        <v/>
      </c>
      <c r="BQ90" s="124" t="str">
        <f>IF(BQ$6="","",IF(BQ$3="Maior",iferror(VLOOKUP($R89,Capa!$A:$Z,BQ$5,0),0),IF(ISERROR(1/VLOOKUP($R89,Capa!$A:$Z,BQ$5,0)),0,1/VLOOKUP($R89,Capa!$A:$Z,BQ$5,0))))</f>
        <v/>
      </c>
      <c r="BR90" s="125" t="str">
        <f>IF(BR$6="","",IF(BR$3="Maior",iferror(VLOOKUP($R89,Capa!$A:$Z,BR$5,0),0),IF(ISERROR(1/VLOOKUP($R89,Capa!$A:$Z,BR$5,0)),0,1/VLOOKUP($R89,Capa!$A:$Z,BR$5,0))))</f>
        <v/>
      </c>
      <c r="BS90" s="88"/>
    </row>
    <row r="91">
      <c r="G91" s="9"/>
      <c r="H91" s="7">
        <v>85.0</v>
      </c>
      <c r="I91" s="111" t="str">
        <f t="shared" si="7"/>
        <v>OUFF11</v>
      </c>
      <c r="J91" s="112" t="str">
        <f>VLOOKUP(I91,Capa!A:G,7,0)</f>
        <v>Fundo de Fundos</v>
      </c>
      <c r="K91" s="113">
        <f t="shared" si="8"/>
        <v>0.8254031601</v>
      </c>
      <c r="L91" s="113">
        <f t="shared" si="9"/>
        <v>0.1404179834</v>
      </c>
      <c r="M91" s="113" t="str">
        <f t="shared" si="10"/>
        <v/>
      </c>
      <c r="N91" s="113" t="str">
        <f t="shared" si="11"/>
        <v/>
      </c>
      <c r="O91" s="114">
        <f t="shared" si="12"/>
        <v>186799.97</v>
      </c>
      <c r="P91" s="9"/>
      <c r="Q91" s="9"/>
      <c r="R91" s="127" t="s">
        <v>95</v>
      </c>
      <c r="S91" s="116">
        <f t="shared" si="13"/>
        <v>1093.001776</v>
      </c>
      <c r="T91" s="117">
        <f>MID(VLOOKUP($R91,'Dados ClubeFII'!$A:$AU,23,0),3,100)/1</f>
        <v>82613.67</v>
      </c>
      <c r="U91" s="118">
        <f t="shared" si="14"/>
        <v>17.0017</v>
      </c>
      <c r="V91" s="118">
        <f t="shared" si="15"/>
        <v>76.000076</v>
      </c>
      <c r="W91" s="118" t="str">
        <f t="shared" ref="W91:AS91" si="100">IF(AV91="","", RANK(AV91,AV$7:AV$405,0))</f>
        <v/>
      </c>
      <c r="X91" s="118" t="str">
        <f t="shared" si="100"/>
        <v/>
      </c>
      <c r="Y91" s="118" t="str">
        <f t="shared" si="100"/>
        <v/>
      </c>
      <c r="Z91" s="118" t="str">
        <f t="shared" si="100"/>
        <v/>
      </c>
      <c r="AA91" s="118" t="str">
        <f t="shared" si="100"/>
        <v/>
      </c>
      <c r="AB91" s="118" t="str">
        <f t="shared" si="100"/>
        <v/>
      </c>
      <c r="AC91" s="118" t="str">
        <f t="shared" si="100"/>
        <v/>
      </c>
      <c r="AD91" s="118" t="str">
        <f t="shared" si="100"/>
        <v/>
      </c>
      <c r="AE91" s="118" t="str">
        <f t="shared" si="100"/>
        <v/>
      </c>
      <c r="AF91" s="118" t="str">
        <f t="shared" si="100"/>
        <v/>
      </c>
      <c r="AG91" s="118" t="str">
        <f t="shared" si="100"/>
        <v/>
      </c>
      <c r="AH91" s="118" t="str">
        <f t="shared" si="100"/>
        <v/>
      </c>
      <c r="AI91" s="118" t="str">
        <f t="shared" si="100"/>
        <v/>
      </c>
      <c r="AJ91" s="118" t="str">
        <f t="shared" si="100"/>
        <v/>
      </c>
      <c r="AK91" s="118" t="str">
        <f t="shared" si="100"/>
        <v/>
      </c>
      <c r="AL91" s="118" t="str">
        <f t="shared" si="100"/>
        <v/>
      </c>
      <c r="AM91" s="118" t="str">
        <f t="shared" si="100"/>
        <v/>
      </c>
      <c r="AN91" s="118" t="str">
        <f t="shared" si="100"/>
        <v/>
      </c>
      <c r="AO91" s="118" t="str">
        <f t="shared" si="100"/>
        <v/>
      </c>
      <c r="AP91" s="118" t="str">
        <f t="shared" si="100"/>
        <v/>
      </c>
      <c r="AQ91" s="118" t="str">
        <f t="shared" si="100"/>
        <v/>
      </c>
      <c r="AR91" s="118" t="str">
        <f t="shared" si="100"/>
        <v/>
      </c>
      <c r="AS91" s="118" t="str">
        <f t="shared" si="100"/>
        <v/>
      </c>
      <c r="AT91" s="123">
        <f>IF(AT$6="","",IF(AT$3="Maior",iferror(VLOOKUP($R91,Capa!$A:$Z,AT$5,0),0),IF(ISERROR(1/VLOOKUP($R91,Capa!$A:$Z,AT$5,0)),0,1/VLOOKUP($R91,Capa!$A:$Z,AT$5,0))))</f>
        <v>1.887379364</v>
      </c>
      <c r="AU91" s="124">
        <f>IF(AU$6="","",IF(AU$3="Maior",iferror(VLOOKUP($R91,Capa!$A:$Z,AU$5,0),0),IF(ISERROR(1/VLOOKUP($R91,Capa!$A:$Z,AU$5,0)),0,1/VLOOKUP($R91,Capa!$A:$Z,AU$5,0))))</f>
        <v>0.1210399352</v>
      </c>
      <c r="AV91" s="124" t="str">
        <f>IF(AV$6="","",IF(AV$3="Maior",iferror(VLOOKUP($R90,Capa!$A:$Z,AV$5,0),0),IF(ISERROR(1/VLOOKUP($R90,Capa!$A:$Z,AV$5,0)),0,1/VLOOKUP($R90,Capa!$A:$Z,AV$5,0))))</f>
        <v/>
      </c>
      <c r="AW91" s="124" t="str">
        <f>IF(AW$6="","",IF(AW$3="Maior",iferror(VLOOKUP($R90,Capa!$A:$Z,AW$5,0),0),IF(ISERROR(1/VLOOKUP($R90,Capa!$A:$Z,AW$5,0)),0,1/VLOOKUP($R90,Capa!$A:$Z,AW$5,0))))</f>
        <v/>
      </c>
      <c r="AX91" s="124" t="str">
        <f>IF(AX$6="","",IF(AX$3="Maior",iferror(VLOOKUP($R90,Capa!$A:$Z,AX$5,0),0),IF(ISERROR(1/VLOOKUP($R90,Capa!$A:$Z,AX$5,0)),0,1/VLOOKUP($R90,Capa!$A:$Z,AX$5,0))))</f>
        <v/>
      </c>
      <c r="AY91" s="124" t="str">
        <f>IF(AY$6="","",IF(AY$3="Maior",iferror(VLOOKUP($R90,Capa!$A:$Z,AY$5,0),0),IF(ISERROR(1/VLOOKUP($R90,Capa!$A:$Z,AY$5,0)),0,1/VLOOKUP($R90,Capa!$A:$Z,AY$5,0))))</f>
        <v/>
      </c>
      <c r="AZ91" s="124" t="str">
        <f>IF(AZ$6="","",IF(AZ$3="Maior",iferror(VLOOKUP($R90,Capa!$A:$Z,AZ$5,0),0),IF(ISERROR(1/VLOOKUP($R90,Capa!$A:$Z,AZ$5,0)),0,1/VLOOKUP($R90,Capa!$A:$Z,AZ$5,0))))</f>
        <v/>
      </c>
      <c r="BA91" s="124" t="str">
        <f>IF(BA$6="","",IF(BA$3="Maior",iferror(VLOOKUP($R90,Capa!$A:$Z,BA$5,0),0),IF(ISERROR(1/VLOOKUP($R90,Capa!$A:$Z,BA$5,0)),0,1/VLOOKUP($R90,Capa!$A:$Z,BA$5,0))))</f>
        <v/>
      </c>
      <c r="BB91" s="124" t="str">
        <f>IF(BB$6="","",IF(BB$3="Maior",iferror(VLOOKUP($R90,Capa!$A:$Z,BB$5,0),0),IF(ISERROR(1/VLOOKUP($R90,Capa!$A:$Z,BB$5,0)),0,1/VLOOKUP($R90,Capa!$A:$Z,BB$5,0))))</f>
        <v/>
      </c>
      <c r="BC91" s="124" t="str">
        <f>IF(BC$6="","",IF(BC$3="Maior",iferror(VLOOKUP($R90,Capa!$A:$Z,BC$5,0),0),IF(ISERROR(1/VLOOKUP($R90,Capa!$A:$Z,BC$5,0)),0,1/VLOOKUP($R90,Capa!$A:$Z,BC$5,0))))</f>
        <v/>
      </c>
      <c r="BD91" s="124" t="str">
        <f>IF(BD$6="","",IF(BD$3="Maior",iferror(VLOOKUP($R90,Capa!$A:$Z,BD$5,0),0),IF(ISERROR(1/VLOOKUP($R90,Capa!$A:$Z,BD$5,0)),0,1/VLOOKUP($R90,Capa!$A:$Z,BD$5,0))))</f>
        <v/>
      </c>
      <c r="BE91" s="124" t="str">
        <f>IF(BE$6="","",IF(BE$3="Maior",iferror(VLOOKUP($R90,Capa!$A:$Z,BE$5,0),0),IF(ISERROR(1/VLOOKUP($R90,Capa!$A:$Z,BE$5,0)),0,1/VLOOKUP($R90,Capa!$A:$Z,BE$5,0))))</f>
        <v/>
      </c>
      <c r="BF91" s="124" t="str">
        <f>IF(BF$6="","",IF(BF$3="Maior",iferror(VLOOKUP($R90,Capa!$A:$Z,BF$5,0),0),IF(ISERROR(1/VLOOKUP($R90,Capa!$A:$Z,BF$5,0)),0,1/VLOOKUP($R90,Capa!$A:$Z,BF$5,0))))</f>
        <v/>
      </c>
      <c r="BG91" s="124" t="str">
        <f>IF(BG$6="","",IF(BG$3="Maior",iferror(VLOOKUP($R90,Capa!$A:$Z,BG$5,0),0),IF(ISERROR(1/VLOOKUP($R90,Capa!$A:$Z,BG$5,0)),0,1/VLOOKUP($R90,Capa!$A:$Z,BG$5,0))))</f>
        <v/>
      </c>
      <c r="BH91" s="124" t="str">
        <f>IF(BH$6="","",IF(BH$3="Maior",iferror(VLOOKUP($R90,Capa!$A:$Z,BH$5,0),0),IF(ISERROR(1/VLOOKUP($R90,Capa!$A:$Z,BH$5,0)),0,1/VLOOKUP($R90,Capa!$A:$Z,BH$5,0))))</f>
        <v/>
      </c>
      <c r="BI91" s="124" t="str">
        <f>IF(BI$6="","",IF(BI$3="Maior",iferror(VLOOKUP($R90,Capa!$A:$Z,BI$5,0),0),IF(ISERROR(1/VLOOKUP($R90,Capa!$A:$Z,BI$5,0)),0,1/VLOOKUP($R90,Capa!$A:$Z,BI$5,0))))</f>
        <v/>
      </c>
      <c r="BJ91" s="124" t="str">
        <f>IF(BJ$6="","",IF(BJ$3="Maior",iferror(VLOOKUP($R90,Capa!$A:$Z,BJ$5,0),0),IF(ISERROR(1/VLOOKUP($R90,Capa!$A:$Z,BJ$5,0)),0,1/VLOOKUP($R90,Capa!$A:$Z,BJ$5,0))))</f>
        <v/>
      </c>
      <c r="BK91" s="124" t="str">
        <f>IF(BK$6="","",IF(BK$3="Maior",iferror(VLOOKUP($R90,Capa!$A:$Z,BK$5,0),0),IF(ISERROR(1/VLOOKUP($R90,Capa!$A:$Z,BK$5,0)),0,1/VLOOKUP($R90,Capa!$A:$Z,BK$5,0))))</f>
        <v/>
      </c>
      <c r="BL91" s="124" t="str">
        <f>IF(BL$6="","",IF(BL$3="Maior",iferror(VLOOKUP($R90,Capa!$A:$Z,BL$5,0),0),IF(ISERROR(1/VLOOKUP($R90,Capa!$A:$Z,BL$5,0)),0,1/VLOOKUP($R90,Capa!$A:$Z,BL$5,0))))</f>
        <v/>
      </c>
      <c r="BM91" s="124" t="str">
        <f>IF(BM$6="","",IF(BM$3="Maior",iferror(VLOOKUP($R90,Capa!$A:$Z,BM$5,0),0),IF(ISERROR(1/VLOOKUP($R90,Capa!$A:$Z,BM$5,0)),0,1/VLOOKUP($R90,Capa!$A:$Z,BM$5,0))))</f>
        <v/>
      </c>
      <c r="BN91" s="124" t="str">
        <f>IF(BN$6="","",IF(BN$3="Maior",iferror(VLOOKUP($R90,Capa!$A:$Z,BN$5,0),0),IF(ISERROR(1/VLOOKUP($R90,Capa!$A:$Z,BN$5,0)),0,1/VLOOKUP($R90,Capa!$A:$Z,BN$5,0))))</f>
        <v/>
      </c>
      <c r="BO91" s="124" t="str">
        <f>IF(BO$6="","",IF(BO$3="Maior",iferror(VLOOKUP($R90,Capa!$A:$Z,BO$5,0),0),IF(ISERROR(1/VLOOKUP($R90,Capa!$A:$Z,BO$5,0)),0,1/VLOOKUP($R90,Capa!$A:$Z,BO$5,0))))</f>
        <v/>
      </c>
      <c r="BP91" s="124" t="str">
        <f>IF(BP$6="","",IF(BP$3="Maior",iferror(VLOOKUP($R90,Capa!$A:$Z,BP$5,0),0),IF(ISERROR(1/VLOOKUP($R90,Capa!$A:$Z,BP$5,0)),0,1/VLOOKUP($R90,Capa!$A:$Z,BP$5,0))))</f>
        <v/>
      </c>
      <c r="BQ91" s="124" t="str">
        <f>IF(BQ$6="","",IF(BQ$3="Maior",iferror(VLOOKUP($R90,Capa!$A:$Z,BQ$5,0),0),IF(ISERROR(1/VLOOKUP($R90,Capa!$A:$Z,BQ$5,0)),0,1/VLOOKUP($R90,Capa!$A:$Z,BQ$5,0))))</f>
        <v/>
      </c>
      <c r="BR91" s="125" t="str">
        <f>IF(BR$6="","",IF(BR$3="Maior",iferror(VLOOKUP($R90,Capa!$A:$Z,BR$5,0),0),IF(ISERROR(1/VLOOKUP($R90,Capa!$A:$Z,BR$5,0)),0,1/VLOOKUP($R90,Capa!$A:$Z,BR$5,0))))</f>
        <v/>
      </c>
      <c r="BS91" s="88"/>
    </row>
    <row r="92">
      <c r="G92" s="9"/>
      <c r="H92" s="7">
        <v>86.0</v>
      </c>
      <c r="I92" s="111" t="str">
        <f t="shared" si="7"/>
        <v>RDPD11</v>
      </c>
      <c r="J92" s="112" t="str">
        <f>VLOOKUP(I92,Capa!A:G,7,0)</f>
        <v>Recebíveis Imobiliários</v>
      </c>
      <c r="K92" s="113">
        <f t="shared" si="8"/>
        <v>0.8895131086</v>
      </c>
      <c r="L92" s="113">
        <f t="shared" si="9"/>
        <v>0.2220037453</v>
      </c>
      <c r="M92" s="113" t="str">
        <f t="shared" si="10"/>
        <v/>
      </c>
      <c r="N92" s="113" t="str">
        <f t="shared" si="11"/>
        <v/>
      </c>
      <c r="O92" s="114">
        <f t="shared" si="12"/>
        <v>22343.49</v>
      </c>
      <c r="P92" s="9"/>
      <c r="Q92" s="9"/>
      <c r="R92" s="115" t="s">
        <v>159</v>
      </c>
      <c r="S92" s="116">
        <f t="shared" si="13"/>
        <v>1150.003219</v>
      </c>
      <c r="T92" s="117">
        <f>MID(VLOOKUP($R92,'Dados ClubeFII'!$A:$AU,23,0),3,100)/1</f>
        <v>110727.48</v>
      </c>
      <c r="U92" s="118">
        <f t="shared" si="14"/>
        <v>31.0031</v>
      </c>
      <c r="V92" s="118">
        <f t="shared" si="15"/>
        <v>119.000119</v>
      </c>
      <c r="W92" s="118" t="str">
        <f t="shared" ref="W92:AS92" si="101">IF(AV92="","", RANK(AV92,AV$7:AV$405,0))</f>
        <v/>
      </c>
      <c r="X92" s="118" t="str">
        <f t="shared" si="101"/>
        <v/>
      </c>
      <c r="Y92" s="118" t="str">
        <f t="shared" si="101"/>
        <v/>
      </c>
      <c r="Z92" s="118" t="str">
        <f t="shared" si="101"/>
        <v/>
      </c>
      <c r="AA92" s="118" t="str">
        <f t="shared" si="101"/>
        <v/>
      </c>
      <c r="AB92" s="118" t="str">
        <f t="shared" si="101"/>
        <v/>
      </c>
      <c r="AC92" s="118" t="str">
        <f t="shared" si="101"/>
        <v/>
      </c>
      <c r="AD92" s="118" t="str">
        <f t="shared" si="101"/>
        <v/>
      </c>
      <c r="AE92" s="118" t="str">
        <f t="shared" si="101"/>
        <v/>
      </c>
      <c r="AF92" s="118" t="str">
        <f t="shared" si="101"/>
        <v/>
      </c>
      <c r="AG92" s="118" t="str">
        <f t="shared" si="101"/>
        <v/>
      </c>
      <c r="AH92" s="118" t="str">
        <f t="shared" si="101"/>
        <v/>
      </c>
      <c r="AI92" s="118" t="str">
        <f t="shared" si="101"/>
        <v/>
      </c>
      <c r="AJ92" s="118" t="str">
        <f t="shared" si="101"/>
        <v/>
      </c>
      <c r="AK92" s="118" t="str">
        <f t="shared" si="101"/>
        <v/>
      </c>
      <c r="AL92" s="118" t="str">
        <f t="shared" si="101"/>
        <v/>
      </c>
      <c r="AM92" s="118" t="str">
        <f t="shared" si="101"/>
        <v/>
      </c>
      <c r="AN92" s="118" t="str">
        <f t="shared" si="101"/>
        <v/>
      </c>
      <c r="AO92" s="118" t="str">
        <f t="shared" si="101"/>
        <v/>
      </c>
      <c r="AP92" s="118" t="str">
        <f t="shared" si="101"/>
        <v/>
      </c>
      <c r="AQ92" s="118" t="str">
        <f t="shared" si="101"/>
        <v/>
      </c>
      <c r="AR92" s="118" t="str">
        <f t="shared" si="101"/>
        <v/>
      </c>
      <c r="AS92" s="118" t="str">
        <f t="shared" si="101"/>
        <v/>
      </c>
      <c r="AT92" s="123">
        <f>IF(AT$6="","",IF(AT$3="Maior",iferror(VLOOKUP($R92,Capa!$A:$Z,AT$5,0),0),IF(ISERROR(1/VLOOKUP($R92,Capa!$A:$Z,AT$5,0)),0,1/VLOOKUP($R92,Capa!$A:$Z,AT$5,0))))</f>
        <v>1.623030652</v>
      </c>
      <c r="AU92" s="124">
        <f>IF(AU$6="","",IF(AU$3="Maior",iferror(VLOOKUP($R92,Capa!$A:$Z,AU$5,0),0),IF(ISERROR(1/VLOOKUP($R92,Capa!$A:$Z,AU$5,0)),0,1/VLOOKUP($R92,Capa!$A:$Z,AU$5,0))))</f>
        <v>0.09969206587</v>
      </c>
      <c r="AV92" s="124" t="str">
        <f>IF(AV$6="","",IF(AV$3="Maior",iferror(VLOOKUP($R91,Capa!$A:$Z,AV$5,0),0),IF(ISERROR(1/VLOOKUP($R91,Capa!$A:$Z,AV$5,0)),0,1/VLOOKUP($R91,Capa!$A:$Z,AV$5,0))))</f>
        <v/>
      </c>
      <c r="AW92" s="124" t="str">
        <f>IF(AW$6="","",IF(AW$3="Maior",iferror(VLOOKUP($R91,Capa!$A:$Z,AW$5,0),0),IF(ISERROR(1/VLOOKUP($R91,Capa!$A:$Z,AW$5,0)),0,1/VLOOKUP($R91,Capa!$A:$Z,AW$5,0))))</f>
        <v/>
      </c>
      <c r="AX92" s="124" t="str">
        <f>IF(AX$6="","",IF(AX$3="Maior",iferror(VLOOKUP($R91,Capa!$A:$Z,AX$5,0),0),IF(ISERROR(1/VLOOKUP($R91,Capa!$A:$Z,AX$5,0)),0,1/VLOOKUP($R91,Capa!$A:$Z,AX$5,0))))</f>
        <v/>
      </c>
      <c r="AY92" s="124" t="str">
        <f>IF(AY$6="","",IF(AY$3="Maior",iferror(VLOOKUP($R91,Capa!$A:$Z,AY$5,0),0),IF(ISERROR(1/VLOOKUP($R91,Capa!$A:$Z,AY$5,0)),0,1/VLOOKUP($R91,Capa!$A:$Z,AY$5,0))))</f>
        <v/>
      </c>
      <c r="AZ92" s="124" t="str">
        <f>IF(AZ$6="","",IF(AZ$3="Maior",iferror(VLOOKUP($R91,Capa!$A:$Z,AZ$5,0),0),IF(ISERROR(1/VLOOKUP($R91,Capa!$A:$Z,AZ$5,0)),0,1/VLOOKUP($R91,Capa!$A:$Z,AZ$5,0))))</f>
        <v/>
      </c>
      <c r="BA92" s="124" t="str">
        <f>IF(BA$6="","",IF(BA$3="Maior",iferror(VLOOKUP($R91,Capa!$A:$Z,BA$5,0),0),IF(ISERROR(1/VLOOKUP($R91,Capa!$A:$Z,BA$5,0)),0,1/VLOOKUP($R91,Capa!$A:$Z,BA$5,0))))</f>
        <v/>
      </c>
      <c r="BB92" s="124" t="str">
        <f>IF(BB$6="","",IF(BB$3="Maior",iferror(VLOOKUP($R91,Capa!$A:$Z,BB$5,0),0),IF(ISERROR(1/VLOOKUP($R91,Capa!$A:$Z,BB$5,0)),0,1/VLOOKUP($R91,Capa!$A:$Z,BB$5,0))))</f>
        <v/>
      </c>
      <c r="BC92" s="124" t="str">
        <f>IF(BC$6="","",IF(BC$3="Maior",iferror(VLOOKUP($R91,Capa!$A:$Z,BC$5,0),0),IF(ISERROR(1/VLOOKUP($R91,Capa!$A:$Z,BC$5,0)),0,1/VLOOKUP($R91,Capa!$A:$Z,BC$5,0))))</f>
        <v/>
      </c>
      <c r="BD92" s="124" t="str">
        <f>IF(BD$6="","",IF(BD$3="Maior",iferror(VLOOKUP($R91,Capa!$A:$Z,BD$5,0),0),IF(ISERROR(1/VLOOKUP($R91,Capa!$A:$Z,BD$5,0)),0,1/VLOOKUP($R91,Capa!$A:$Z,BD$5,0))))</f>
        <v/>
      </c>
      <c r="BE92" s="124" t="str">
        <f>IF(BE$6="","",IF(BE$3="Maior",iferror(VLOOKUP($R91,Capa!$A:$Z,BE$5,0),0),IF(ISERROR(1/VLOOKUP($R91,Capa!$A:$Z,BE$5,0)),0,1/VLOOKUP($R91,Capa!$A:$Z,BE$5,0))))</f>
        <v/>
      </c>
      <c r="BF92" s="124" t="str">
        <f>IF(BF$6="","",IF(BF$3="Maior",iferror(VLOOKUP($R91,Capa!$A:$Z,BF$5,0),0),IF(ISERROR(1/VLOOKUP($R91,Capa!$A:$Z,BF$5,0)),0,1/VLOOKUP($R91,Capa!$A:$Z,BF$5,0))))</f>
        <v/>
      </c>
      <c r="BG92" s="124" t="str">
        <f>IF(BG$6="","",IF(BG$3="Maior",iferror(VLOOKUP($R91,Capa!$A:$Z,BG$5,0),0),IF(ISERROR(1/VLOOKUP($R91,Capa!$A:$Z,BG$5,0)),0,1/VLOOKUP($R91,Capa!$A:$Z,BG$5,0))))</f>
        <v/>
      </c>
      <c r="BH92" s="124" t="str">
        <f>IF(BH$6="","",IF(BH$3="Maior",iferror(VLOOKUP($R91,Capa!$A:$Z,BH$5,0),0),IF(ISERROR(1/VLOOKUP($R91,Capa!$A:$Z,BH$5,0)),0,1/VLOOKUP($R91,Capa!$A:$Z,BH$5,0))))</f>
        <v/>
      </c>
      <c r="BI92" s="124" t="str">
        <f>IF(BI$6="","",IF(BI$3="Maior",iferror(VLOOKUP($R91,Capa!$A:$Z,BI$5,0),0),IF(ISERROR(1/VLOOKUP($R91,Capa!$A:$Z,BI$5,0)),0,1/VLOOKUP($R91,Capa!$A:$Z,BI$5,0))))</f>
        <v/>
      </c>
      <c r="BJ92" s="124" t="str">
        <f>IF(BJ$6="","",IF(BJ$3="Maior",iferror(VLOOKUP($R91,Capa!$A:$Z,BJ$5,0),0),IF(ISERROR(1/VLOOKUP($R91,Capa!$A:$Z,BJ$5,0)),0,1/VLOOKUP($R91,Capa!$A:$Z,BJ$5,0))))</f>
        <v/>
      </c>
      <c r="BK92" s="124" t="str">
        <f>IF(BK$6="","",IF(BK$3="Maior",iferror(VLOOKUP($R91,Capa!$A:$Z,BK$5,0),0),IF(ISERROR(1/VLOOKUP($R91,Capa!$A:$Z,BK$5,0)),0,1/VLOOKUP($R91,Capa!$A:$Z,BK$5,0))))</f>
        <v/>
      </c>
      <c r="BL92" s="124" t="str">
        <f>IF(BL$6="","",IF(BL$3="Maior",iferror(VLOOKUP($R91,Capa!$A:$Z,BL$5,0),0),IF(ISERROR(1/VLOOKUP($R91,Capa!$A:$Z,BL$5,0)),0,1/VLOOKUP($R91,Capa!$A:$Z,BL$5,0))))</f>
        <v/>
      </c>
      <c r="BM92" s="124" t="str">
        <f>IF(BM$6="","",IF(BM$3="Maior",iferror(VLOOKUP($R91,Capa!$A:$Z,BM$5,0),0),IF(ISERROR(1/VLOOKUP($R91,Capa!$A:$Z,BM$5,0)),0,1/VLOOKUP($R91,Capa!$A:$Z,BM$5,0))))</f>
        <v/>
      </c>
      <c r="BN92" s="124" t="str">
        <f>IF(BN$6="","",IF(BN$3="Maior",iferror(VLOOKUP($R91,Capa!$A:$Z,BN$5,0),0),IF(ISERROR(1/VLOOKUP($R91,Capa!$A:$Z,BN$5,0)),0,1/VLOOKUP($R91,Capa!$A:$Z,BN$5,0))))</f>
        <v/>
      </c>
      <c r="BO92" s="124" t="str">
        <f>IF(BO$6="","",IF(BO$3="Maior",iferror(VLOOKUP($R91,Capa!$A:$Z,BO$5,0),0),IF(ISERROR(1/VLOOKUP($R91,Capa!$A:$Z,BO$5,0)),0,1/VLOOKUP($R91,Capa!$A:$Z,BO$5,0))))</f>
        <v/>
      </c>
      <c r="BP92" s="124" t="str">
        <f>IF(BP$6="","",IF(BP$3="Maior",iferror(VLOOKUP($R91,Capa!$A:$Z,BP$5,0),0),IF(ISERROR(1/VLOOKUP($R91,Capa!$A:$Z,BP$5,0)),0,1/VLOOKUP($R91,Capa!$A:$Z,BP$5,0))))</f>
        <v/>
      </c>
      <c r="BQ92" s="124" t="str">
        <f>IF(BQ$6="","",IF(BQ$3="Maior",iferror(VLOOKUP($R91,Capa!$A:$Z,BQ$5,0),0),IF(ISERROR(1/VLOOKUP($R91,Capa!$A:$Z,BQ$5,0)),0,1/VLOOKUP($R91,Capa!$A:$Z,BQ$5,0))))</f>
        <v/>
      </c>
      <c r="BR92" s="125" t="str">
        <f>IF(BR$6="","",IF(BR$3="Maior",iferror(VLOOKUP($R91,Capa!$A:$Z,BR$5,0),0),IF(ISERROR(1/VLOOKUP($R91,Capa!$A:$Z,BR$5,0)),0,1/VLOOKUP($R91,Capa!$A:$Z,BR$5,0))))</f>
        <v/>
      </c>
      <c r="BS92" s="88"/>
    </row>
    <row r="93">
      <c r="G93" s="9"/>
      <c r="H93" s="7">
        <v>87.0</v>
      </c>
      <c r="I93" s="111" t="str">
        <f t="shared" si="7"/>
        <v>BLMR11</v>
      </c>
      <c r="J93" s="112" t="str">
        <f>VLOOKUP(I93,Capa!A:G,7,0)</f>
        <v>Fundo de Fundos</v>
      </c>
      <c r="K93" s="113">
        <f t="shared" si="8"/>
        <v>0.83</v>
      </c>
      <c r="L93" s="113">
        <f t="shared" si="9"/>
        <v>0.1422</v>
      </c>
      <c r="M93" s="113" t="str">
        <f t="shared" si="10"/>
        <v/>
      </c>
      <c r="N93" s="113" t="str">
        <f t="shared" si="11"/>
        <v/>
      </c>
      <c r="O93" s="114">
        <f t="shared" si="12"/>
        <v>370154.11</v>
      </c>
      <c r="P93" s="9"/>
      <c r="Q93" s="9"/>
      <c r="R93" s="127" t="s">
        <v>143</v>
      </c>
      <c r="S93" s="116">
        <f t="shared" si="13"/>
        <v>194.017024</v>
      </c>
      <c r="T93" s="117">
        <f>MID(VLOOKUP($R93,'Dados ClubeFII'!$A:$AU,23,0),3,100)/1</f>
        <v>4040957.93</v>
      </c>
      <c r="U93" s="118">
        <f t="shared" si="14"/>
        <v>170.017</v>
      </c>
      <c r="V93" s="118">
        <f t="shared" si="15"/>
        <v>24.000024</v>
      </c>
      <c r="W93" s="118" t="str">
        <f t="shared" ref="W93:AS93" si="102">IF(AV93="","", RANK(AV93,AV$7:AV$405,0))</f>
        <v/>
      </c>
      <c r="X93" s="118" t="str">
        <f t="shared" si="102"/>
        <v/>
      </c>
      <c r="Y93" s="118" t="str">
        <f t="shared" si="102"/>
        <v/>
      </c>
      <c r="Z93" s="118" t="str">
        <f t="shared" si="102"/>
        <v/>
      </c>
      <c r="AA93" s="118" t="str">
        <f t="shared" si="102"/>
        <v/>
      </c>
      <c r="AB93" s="118" t="str">
        <f t="shared" si="102"/>
        <v/>
      </c>
      <c r="AC93" s="118" t="str">
        <f t="shared" si="102"/>
        <v/>
      </c>
      <c r="AD93" s="118" t="str">
        <f t="shared" si="102"/>
        <v/>
      </c>
      <c r="AE93" s="118" t="str">
        <f t="shared" si="102"/>
        <v/>
      </c>
      <c r="AF93" s="118" t="str">
        <f t="shared" si="102"/>
        <v/>
      </c>
      <c r="AG93" s="118" t="str">
        <f t="shared" si="102"/>
        <v/>
      </c>
      <c r="AH93" s="118" t="str">
        <f t="shared" si="102"/>
        <v/>
      </c>
      <c r="AI93" s="118" t="str">
        <f t="shared" si="102"/>
        <v/>
      </c>
      <c r="AJ93" s="118" t="str">
        <f t="shared" si="102"/>
        <v/>
      </c>
      <c r="AK93" s="118" t="str">
        <f t="shared" si="102"/>
        <v/>
      </c>
      <c r="AL93" s="118" t="str">
        <f t="shared" si="102"/>
        <v/>
      </c>
      <c r="AM93" s="118" t="str">
        <f t="shared" si="102"/>
        <v/>
      </c>
      <c r="AN93" s="118" t="str">
        <f t="shared" si="102"/>
        <v/>
      </c>
      <c r="AO93" s="118" t="str">
        <f t="shared" si="102"/>
        <v/>
      </c>
      <c r="AP93" s="118" t="str">
        <f t="shared" si="102"/>
        <v/>
      </c>
      <c r="AQ93" s="118" t="str">
        <f t="shared" si="102"/>
        <v/>
      </c>
      <c r="AR93" s="118" t="str">
        <f t="shared" si="102"/>
        <v/>
      </c>
      <c r="AS93" s="118" t="str">
        <f t="shared" si="102"/>
        <v/>
      </c>
      <c r="AT93" s="123">
        <f>IF(AT$6="","",IF(AT$3="Maior",iferror(VLOOKUP($R93,Capa!$A:$Z,AT$5,0),0),IF(ISERROR(1/VLOOKUP($R93,Capa!$A:$Z,AT$5,0)),0,1/VLOOKUP($R93,Capa!$A:$Z,AT$5,0))))</f>
        <v>1.014145765</v>
      </c>
      <c r="AU93" s="124">
        <f>IF(AU$6="","",IF(AU$3="Maior",iferror(VLOOKUP($R93,Capa!$A:$Z,AU$5,0),0),IF(ISERROR(1/VLOOKUP($R93,Capa!$A:$Z,AU$5,0)),0,1/VLOOKUP($R93,Capa!$A:$Z,AU$5,0))))</f>
        <v>0.1510318557</v>
      </c>
      <c r="AV93" s="124" t="str">
        <f>IF(AV$6="","",IF(AV$3="Maior",iferror(VLOOKUP($R92,Capa!$A:$Z,AV$5,0),0),IF(ISERROR(1/VLOOKUP($R92,Capa!$A:$Z,AV$5,0)),0,1/VLOOKUP($R92,Capa!$A:$Z,AV$5,0))))</f>
        <v/>
      </c>
      <c r="AW93" s="124" t="str">
        <f>IF(AW$6="","",IF(AW$3="Maior",iferror(VLOOKUP($R92,Capa!$A:$Z,AW$5,0),0),IF(ISERROR(1/VLOOKUP($R92,Capa!$A:$Z,AW$5,0)),0,1/VLOOKUP($R92,Capa!$A:$Z,AW$5,0))))</f>
        <v/>
      </c>
      <c r="AX93" s="124" t="str">
        <f>IF(AX$6="","",IF(AX$3="Maior",iferror(VLOOKUP($R92,Capa!$A:$Z,AX$5,0),0),IF(ISERROR(1/VLOOKUP($R92,Capa!$A:$Z,AX$5,0)),0,1/VLOOKUP($R92,Capa!$A:$Z,AX$5,0))))</f>
        <v/>
      </c>
      <c r="AY93" s="124" t="str">
        <f>IF(AY$6="","",IF(AY$3="Maior",iferror(VLOOKUP($R92,Capa!$A:$Z,AY$5,0),0),IF(ISERROR(1/VLOOKUP($R92,Capa!$A:$Z,AY$5,0)),0,1/VLOOKUP($R92,Capa!$A:$Z,AY$5,0))))</f>
        <v/>
      </c>
      <c r="AZ93" s="124" t="str">
        <f>IF(AZ$6="","",IF(AZ$3="Maior",iferror(VLOOKUP($R92,Capa!$A:$Z,AZ$5,0),0),IF(ISERROR(1/VLOOKUP($R92,Capa!$A:$Z,AZ$5,0)),0,1/VLOOKUP($R92,Capa!$A:$Z,AZ$5,0))))</f>
        <v/>
      </c>
      <c r="BA93" s="124" t="str">
        <f>IF(BA$6="","",IF(BA$3="Maior",iferror(VLOOKUP($R92,Capa!$A:$Z,BA$5,0),0),IF(ISERROR(1/VLOOKUP($R92,Capa!$A:$Z,BA$5,0)),0,1/VLOOKUP($R92,Capa!$A:$Z,BA$5,0))))</f>
        <v/>
      </c>
      <c r="BB93" s="124" t="str">
        <f>IF(BB$6="","",IF(BB$3="Maior",iferror(VLOOKUP($R92,Capa!$A:$Z,BB$5,0),0),IF(ISERROR(1/VLOOKUP($R92,Capa!$A:$Z,BB$5,0)),0,1/VLOOKUP($R92,Capa!$A:$Z,BB$5,0))))</f>
        <v/>
      </c>
      <c r="BC93" s="124" t="str">
        <f>IF(BC$6="","",IF(BC$3="Maior",iferror(VLOOKUP($R92,Capa!$A:$Z,BC$5,0),0),IF(ISERROR(1/VLOOKUP($R92,Capa!$A:$Z,BC$5,0)),0,1/VLOOKUP($R92,Capa!$A:$Z,BC$5,0))))</f>
        <v/>
      </c>
      <c r="BD93" s="124" t="str">
        <f>IF(BD$6="","",IF(BD$3="Maior",iferror(VLOOKUP($R92,Capa!$A:$Z,BD$5,0),0),IF(ISERROR(1/VLOOKUP($R92,Capa!$A:$Z,BD$5,0)),0,1/VLOOKUP($R92,Capa!$A:$Z,BD$5,0))))</f>
        <v/>
      </c>
      <c r="BE93" s="124" t="str">
        <f>IF(BE$6="","",IF(BE$3="Maior",iferror(VLOOKUP($R92,Capa!$A:$Z,BE$5,0),0),IF(ISERROR(1/VLOOKUP($R92,Capa!$A:$Z,BE$5,0)),0,1/VLOOKUP($R92,Capa!$A:$Z,BE$5,0))))</f>
        <v/>
      </c>
      <c r="BF93" s="124" t="str">
        <f>IF(BF$6="","",IF(BF$3="Maior",iferror(VLOOKUP($R92,Capa!$A:$Z,BF$5,0),0),IF(ISERROR(1/VLOOKUP($R92,Capa!$A:$Z,BF$5,0)),0,1/VLOOKUP($R92,Capa!$A:$Z,BF$5,0))))</f>
        <v/>
      </c>
      <c r="BG93" s="124" t="str">
        <f>IF(BG$6="","",IF(BG$3="Maior",iferror(VLOOKUP($R92,Capa!$A:$Z,BG$5,0),0),IF(ISERROR(1/VLOOKUP($R92,Capa!$A:$Z,BG$5,0)),0,1/VLOOKUP($R92,Capa!$A:$Z,BG$5,0))))</f>
        <v/>
      </c>
      <c r="BH93" s="124" t="str">
        <f>IF(BH$6="","",IF(BH$3="Maior",iferror(VLOOKUP($R92,Capa!$A:$Z,BH$5,0),0),IF(ISERROR(1/VLOOKUP($R92,Capa!$A:$Z,BH$5,0)),0,1/VLOOKUP($R92,Capa!$A:$Z,BH$5,0))))</f>
        <v/>
      </c>
      <c r="BI93" s="124" t="str">
        <f>IF(BI$6="","",IF(BI$3="Maior",iferror(VLOOKUP($R92,Capa!$A:$Z,BI$5,0),0),IF(ISERROR(1/VLOOKUP($R92,Capa!$A:$Z,BI$5,0)),0,1/VLOOKUP($R92,Capa!$A:$Z,BI$5,0))))</f>
        <v/>
      </c>
      <c r="BJ93" s="124" t="str">
        <f>IF(BJ$6="","",IF(BJ$3="Maior",iferror(VLOOKUP($R92,Capa!$A:$Z,BJ$5,0),0),IF(ISERROR(1/VLOOKUP($R92,Capa!$A:$Z,BJ$5,0)),0,1/VLOOKUP($R92,Capa!$A:$Z,BJ$5,0))))</f>
        <v/>
      </c>
      <c r="BK93" s="124" t="str">
        <f>IF(BK$6="","",IF(BK$3="Maior",iferror(VLOOKUP($R92,Capa!$A:$Z,BK$5,0),0),IF(ISERROR(1/VLOOKUP($R92,Capa!$A:$Z,BK$5,0)),0,1/VLOOKUP($R92,Capa!$A:$Z,BK$5,0))))</f>
        <v/>
      </c>
      <c r="BL93" s="124" t="str">
        <f>IF(BL$6="","",IF(BL$3="Maior",iferror(VLOOKUP($R92,Capa!$A:$Z,BL$5,0),0),IF(ISERROR(1/VLOOKUP($R92,Capa!$A:$Z,BL$5,0)),0,1/VLOOKUP($R92,Capa!$A:$Z,BL$5,0))))</f>
        <v/>
      </c>
      <c r="BM93" s="124" t="str">
        <f>IF(BM$6="","",IF(BM$3="Maior",iferror(VLOOKUP($R92,Capa!$A:$Z,BM$5,0),0),IF(ISERROR(1/VLOOKUP($R92,Capa!$A:$Z,BM$5,0)),0,1/VLOOKUP($R92,Capa!$A:$Z,BM$5,0))))</f>
        <v/>
      </c>
      <c r="BN93" s="124" t="str">
        <f>IF(BN$6="","",IF(BN$3="Maior",iferror(VLOOKUP($R92,Capa!$A:$Z,BN$5,0),0),IF(ISERROR(1/VLOOKUP($R92,Capa!$A:$Z,BN$5,0)),0,1/VLOOKUP($R92,Capa!$A:$Z,BN$5,0))))</f>
        <v/>
      </c>
      <c r="BO93" s="124" t="str">
        <f>IF(BO$6="","",IF(BO$3="Maior",iferror(VLOOKUP($R92,Capa!$A:$Z,BO$5,0),0),IF(ISERROR(1/VLOOKUP($R92,Capa!$A:$Z,BO$5,0)),0,1/VLOOKUP($R92,Capa!$A:$Z,BO$5,0))))</f>
        <v/>
      </c>
      <c r="BP93" s="124" t="str">
        <f>IF(BP$6="","",IF(BP$3="Maior",iferror(VLOOKUP($R92,Capa!$A:$Z,BP$5,0),0),IF(ISERROR(1/VLOOKUP($R92,Capa!$A:$Z,BP$5,0)),0,1/VLOOKUP($R92,Capa!$A:$Z,BP$5,0))))</f>
        <v/>
      </c>
      <c r="BQ93" s="124" t="str">
        <f>IF(BQ$6="","",IF(BQ$3="Maior",iferror(VLOOKUP($R92,Capa!$A:$Z,BQ$5,0),0),IF(ISERROR(1/VLOOKUP($R92,Capa!$A:$Z,BQ$5,0)),0,1/VLOOKUP($R92,Capa!$A:$Z,BQ$5,0))))</f>
        <v/>
      </c>
      <c r="BR93" s="125" t="str">
        <f>IF(BR$6="","",IF(BR$3="Maior",iferror(VLOOKUP($R92,Capa!$A:$Z,BR$5,0),0),IF(ISERROR(1/VLOOKUP($R92,Capa!$A:$Z,BR$5,0)),0,1/VLOOKUP($R92,Capa!$A:$Z,BR$5,0))))</f>
        <v/>
      </c>
      <c r="BS93" s="88"/>
    </row>
    <row r="94">
      <c r="G94" s="9"/>
      <c r="H94" s="7">
        <v>88.0</v>
      </c>
      <c r="I94" s="111" t="str">
        <f t="shared" si="7"/>
        <v>MGCR11</v>
      </c>
      <c r="J94" s="112" t="str">
        <f>VLOOKUP(I94,Capa!A:G,7,0)</f>
        <v>Recebíveis Imobiliários</v>
      </c>
      <c r="K94" s="113">
        <f t="shared" si="8"/>
        <v>0.886718412</v>
      </c>
      <c r="L94" s="113">
        <f t="shared" si="9"/>
        <v>0.166864283</v>
      </c>
      <c r="M94" s="113" t="str">
        <f t="shared" si="10"/>
        <v/>
      </c>
      <c r="N94" s="113" t="str">
        <f t="shared" si="11"/>
        <v/>
      </c>
      <c r="O94" s="114">
        <f t="shared" si="12"/>
        <v>74834.32</v>
      </c>
      <c r="P94" s="9"/>
      <c r="Q94" s="9"/>
      <c r="R94" s="115" t="s">
        <v>88</v>
      </c>
      <c r="S94" s="116">
        <f t="shared" si="13"/>
        <v>169.015316</v>
      </c>
      <c r="T94" s="117">
        <f>MID(VLOOKUP($R94,'Dados ClubeFII'!$A:$AU,23,0),3,100)/1</f>
        <v>4428370.74</v>
      </c>
      <c r="U94" s="118">
        <f t="shared" si="14"/>
        <v>153.0153</v>
      </c>
      <c r="V94" s="118">
        <f t="shared" si="15"/>
        <v>16.000016</v>
      </c>
      <c r="W94" s="118" t="str">
        <f t="shared" ref="W94:AS94" si="103">IF(AV94="","", RANK(AV94,AV$7:AV$405,0))</f>
        <v/>
      </c>
      <c r="X94" s="118" t="str">
        <f t="shared" si="103"/>
        <v/>
      </c>
      <c r="Y94" s="118" t="str">
        <f t="shared" si="103"/>
        <v/>
      </c>
      <c r="Z94" s="118" t="str">
        <f t="shared" si="103"/>
        <v/>
      </c>
      <c r="AA94" s="118" t="str">
        <f t="shared" si="103"/>
        <v/>
      </c>
      <c r="AB94" s="118" t="str">
        <f t="shared" si="103"/>
        <v/>
      </c>
      <c r="AC94" s="118" t="str">
        <f t="shared" si="103"/>
        <v/>
      </c>
      <c r="AD94" s="118" t="str">
        <f t="shared" si="103"/>
        <v/>
      </c>
      <c r="AE94" s="118" t="str">
        <f t="shared" si="103"/>
        <v/>
      </c>
      <c r="AF94" s="118" t="str">
        <f t="shared" si="103"/>
        <v/>
      </c>
      <c r="AG94" s="118" t="str">
        <f t="shared" si="103"/>
        <v/>
      </c>
      <c r="AH94" s="118" t="str">
        <f t="shared" si="103"/>
        <v/>
      </c>
      <c r="AI94" s="118" t="str">
        <f t="shared" si="103"/>
        <v/>
      </c>
      <c r="AJ94" s="118" t="str">
        <f t="shared" si="103"/>
        <v/>
      </c>
      <c r="AK94" s="118" t="str">
        <f t="shared" si="103"/>
        <v/>
      </c>
      <c r="AL94" s="118" t="str">
        <f t="shared" si="103"/>
        <v/>
      </c>
      <c r="AM94" s="118" t="str">
        <f t="shared" si="103"/>
        <v/>
      </c>
      <c r="AN94" s="118" t="str">
        <f t="shared" si="103"/>
        <v/>
      </c>
      <c r="AO94" s="118" t="str">
        <f t="shared" si="103"/>
        <v/>
      </c>
      <c r="AP94" s="118" t="str">
        <f t="shared" si="103"/>
        <v/>
      </c>
      <c r="AQ94" s="118" t="str">
        <f t="shared" si="103"/>
        <v/>
      </c>
      <c r="AR94" s="118" t="str">
        <f t="shared" si="103"/>
        <v/>
      </c>
      <c r="AS94" s="118" t="str">
        <f t="shared" si="103"/>
        <v/>
      </c>
      <c r="AT94" s="123">
        <f>IF(AT$6="","",IF(AT$3="Maior",iferror(VLOOKUP($R94,Capa!$A:$Z,AT$5,0),0),IF(ISERROR(1/VLOOKUP($R94,Capa!$A:$Z,AT$5,0)),0,1/VLOOKUP($R94,Capa!$A:$Z,AT$5,0))))</f>
        <v>1.062424517</v>
      </c>
      <c r="AU94" s="124">
        <f>IF(AU$6="","",IF(AU$3="Maior",iferror(VLOOKUP($R94,Capa!$A:$Z,AU$5,0),0),IF(ISERROR(1/VLOOKUP($R94,Capa!$A:$Z,AU$5,0)),0,1/VLOOKUP($R94,Capa!$A:$Z,AU$5,0))))</f>
        <v>0.1551005329</v>
      </c>
      <c r="AV94" s="124" t="str">
        <f>IF(AV$6="","",IF(AV$3="Maior",iferror(VLOOKUP(#REF!,Capa!$A:$Z,AV$5,0),0),IF(ISERROR(1/VLOOKUP(#REF!,Capa!$A:$Z,AV$5,0)),0,1/VLOOKUP(#REF!,Capa!$A:$Z,AV$5,0))))</f>
        <v/>
      </c>
      <c r="AW94" s="124" t="str">
        <f>IF(AW$6="","",IF(AW$3="Maior",iferror(VLOOKUP(#REF!,Capa!$A:$Z,AW$5,0),0),IF(ISERROR(1/VLOOKUP(#REF!,Capa!$A:$Z,AW$5,0)),0,1/VLOOKUP(#REF!,Capa!$A:$Z,AW$5,0))))</f>
        <v/>
      </c>
      <c r="AX94" s="124" t="str">
        <f>IF(AX$6="","",IF(AX$3="Maior",iferror(VLOOKUP(#REF!,Capa!$A:$Z,AX$5,0),0),IF(ISERROR(1/VLOOKUP(#REF!,Capa!$A:$Z,AX$5,0)),0,1/VLOOKUP(#REF!,Capa!$A:$Z,AX$5,0))))</f>
        <v/>
      </c>
      <c r="AY94" s="124" t="str">
        <f>IF(AY$6="","",IF(AY$3="Maior",iferror(VLOOKUP(#REF!,Capa!$A:$Z,AY$5,0),0),IF(ISERROR(1/VLOOKUP(#REF!,Capa!$A:$Z,AY$5,0)),0,1/VLOOKUP(#REF!,Capa!$A:$Z,AY$5,0))))</f>
        <v/>
      </c>
      <c r="AZ94" s="124" t="str">
        <f>IF(AZ$6="","",IF(AZ$3="Maior",iferror(VLOOKUP(#REF!,Capa!$A:$Z,AZ$5,0),0),IF(ISERROR(1/VLOOKUP(#REF!,Capa!$A:$Z,AZ$5,0)),0,1/VLOOKUP(#REF!,Capa!$A:$Z,AZ$5,0))))</f>
        <v/>
      </c>
      <c r="BA94" s="124" t="str">
        <f>IF(BA$6="","",IF(BA$3="Maior",iferror(VLOOKUP(#REF!,Capa!$A:$Z,BA$5,0),0),IF(ISERROR(1/VLOOKUP(#REF!,Capa!$A:$Z,BA$5,0)),0,1/VLOOKUP(#REF!,Capa!$A:$Z,BA$5,0))))</f>
        <v/>
      </c>
      <c r="BB94" s="124" t="str">
        <f>IF(BB$6="","",IF(BB$3="Maior",iferror(VLOOKUP(#REF!,Capa!$A:$Z,BB$5,0),0),IF(ISERROR(1/VLOOKUP(#REF!,Capa!$A:$Z,BB$5,0)),0,1/VLOOKUP(#REF!,Capa!$A:$Z,BB$5,0))))</f>
        <v/>
      </c>
      <c r="BC94" s="124" t="str">
        <f>IF(BC$6="","",IF(BC$3="Maior",iferror(VLOOKUP(#REF!,Capa!$A:$Z,BC$5,0),0),IF(ISERROR(1/VLOOKUP(#REF!,Capa!$A:$Z,BC$5,0)),0,1/VLOOKUP(#REF!,Capa!$A:$Z,BC$5,0))))</f>
        <v/>
      </c>
      <c r="BD94" s="124" t="str">
        <f>IF(BD$6="","",IF(BD$3="Maior",iferror(VLOOKUP(#REF!,Capa!$A:$Z,BD$5,0),0),IF(ISERROR(1/VLOOKUP(#REF!,Capa!$A:$Z,BD$5,0)),0,1/VLOOKUP(#REF!,Capa!$A:$Z,BD$5,0))))</f>
        <v/>
      </c>
      <c r="BE94" s="124" t="str">
        <f>IF(BE$6="","",IF(BE$3="Maior",iferror(VLOOKUP(#REF!,Capa!$A:$Z,BE$5,0),0),IF(ISERROR(1/VLOOKUP(#REF!,Capa!$A:$Z,BE$5,0)),0,1/VLOOKUP(#REF!,Capa!$A:$Z,BE$5,0))))</f>
        <v/>
      </c>
      <c r="BF94" s="124" t="str">
        <f>IF(BF$6="","",IF(BF$3="Maior",iferror(VLOOKUP(#REF!,Capa!$A:$Z,BF$5,0),0),IF(ISERROR(1/VLOOKUP(#REF!,Capa!$A:$Z,BF$5,0)),0,1/VLOOKUP(#REF!,Capa!$A:$Z,BF$5,0))))</f>
        <v/>
      </c>
      <c r="BG94" s="124" t="str">
        <f>IF(BG$6="","",IF(BG$3="Maior",iferror(VLOOKUP(#REF!,Capa!$A:$Z,BG$5,0),0),IF(ISERROR(1/VLOOKUP(#REF!,Capa!$A:$Z,BG$5,0)),0,1/VLOOKUP(#REF!,Capa!$A:$Z,BG$5,0))))</f>
        <v/>
      </c>
      <c r="BH94" s="124" t="str">
        <f>IF(BH$6="","",IF(BH$3="Maior",iferror(VLOOKUP(#REF!,Capa!$A:$Z,BH$5,0),0),IF(ISERROR(1/VLOOKUP(#REF!,Capa!$A:$Z,BH$5,0)),0,1/VLOOKUP(#REF!,Capa!$A:$Z,BH$5,0))))</f>
        <v/>
      </c>
      <c r="BI94" s="124" t="str">
        <f>IF(BI$6="","",IF(BI$3="Maior",iferror(VLOOKUP(#REF!,Capa!$A:$Z,BI$5,0),0),IF(ISERROR(1/VLOOKUP(#REF!,Capa!$A:$Z,BI$5,0)),0,1/VLOOKUP(#REF!,Capa!$A:$Z,BI$5,0))))</f>
        <v/>
      </c>
      <c r="BJ94" s="124" t="str">
        <f>IF(BJ$6="","",IF(BJ$3="Maior",iferror(VLOOKUP(#REF!,Capa!$A:$Z,BJ$5,0),0),IF(ISERROR(1/VLOOKUP(#REF!,Capa!$A:$Z,BJ$5,0)),0,1/VLOOKUP(#REF!,Capa!$A:$Z,BJ$5,0))))</f>
        <v/>
      </c>
      <c r="BK94" s="124" t="str">
        <f>IF(BK$6="","",IF(BK$3="Maior",iferror(VLOOKUP(#REF!,Capa!$A:$Z,BK$5,0),0),IF(ISERROR(1/VLOOKUP(#REF!,Capa!$A:$Z,BK$5,0)),0,1/VLOOKUP(#REF!,Capa!$A:$Z,BK$5,0))))</f>
        <v/>
      </c>
      <c r="BL94" s="124" t="str">
        <f>IF(BL$6="","",IF(BL$3="Maior",iferror(VLOOKUP(#REF!,Capa!$A:$Z,BL$5,0),0),IF(ISERROR(1/VLOOKUP(#REF!,Capa!$A:$Z,BL$5,0)),0,1/VLOOKUP(#REF!,Capa!$A:$Z,BL$5,0))))</f>
        <v/>
      </c>
      <c r="BM94" s="124" t="str">
        <f>IF(BM$6="","",IF(BM$3="Maior",iferror(VLOOKUP(#REF!,Capa!$A:$Z,BM$5,0),0),IF(ISERROR(1/VLOOKUP(#REF!,Capa!$A:$Z,BM$5,0)),0,1/VLOOKUP(#REF!,Capa!$A:$Z,BM$5,0))))</f>
        <v/>
      </c>
      <c r="BN94" s="124" t="str">
        <f>IF(BN$6="","",IF(BN$3="Maior",iferror(VLOOKUP(#REF!,Capa!$A:$Z,BN$5,0),0),IF(ISERROR(1/VLOOKUP(#REF!,Capa!$A:$Z,BN$5,0)),0,1/VLOOKUP(#REF!,Capa!$A:$Z,BN$5,0))))</f>
        <v/>
      </c>
      <c r="BO94" s="124" t="str">
        <f>IF(BO$6="","",IF(BO$3="Maior",iferror(VLOOKUP(#REF!,Capa!$A:$Z,BO$5,0),0),IF(ISERROR(1/VLOOKUP(#REF!,Capa!$A:$Z,BO$5,0)),0,1/VLOOKUP(#REF!,Capa!$A:$Z,BO$5,0))))</f>
        <v/>
      </c>
      <c r="BP94" s="124" t="str">
        <f>IF(BP$6="","",IF(BP$3="Maior",iferror(VLOOKUP(#REF!,Capa!$A:$Z,BP$5,0),0),IF(ISERROR(1/VLOOKUP(#REF!,Capa!$A:$Z,BP$5,0)),0,1/VLOOKUP(#REF!,Capa!$A:$Z,BP$5,0))))</f>
        <v/>
      </c>
      <c r="BQ94" s="124" t="str">
        <f>IF(BQ$6="","",IF(BQ$3="Maior",iferror(VLOOKUP(#REF!,Capa!$A:$Z,BQ$5,0),0),IF(ISERROR(1/VLOOKUP(#REF!,Capa!$A:$Z,BQ$5,0)),0,1/VLOOKUP(#REF!,Capa!$A:$Z,BQ$5,0))))</f>
        <v/>
      </c>
      <c r="BR94" s="125" t="str">
        <f>IF(BR$6="","",IF(BR$3="Maior",iferror(VLOOKUP(#REF!,Capa!$A:$Z,BR$5,0),0),IF(ISERROR(1/VLOOKUP(#REF!,Capa!$A:$Z,BR$5,0)),0,1/VLOOKUP(#REF!,Capa!$A:$Z,BR$5,0))))</f>
        <v/>
      </c>
      <c r="BS94" s="88"/>
    </row>
    <row r="95">
      <c r="G95" s="9"/>
      <c r="H95" s="7">
        <v>89.0</v>
      </c>
      <c r="I95" s="111" t="str">
        <f t="shared" si="7"/>
        <v>NCHB11</v>
      </c>
      <c r="J95" s="112" t="str">
        <f>VLOOKUP(I95,Capa!A:G,7,0)</f>
        <v>Recebíveis Imobiliários</v>
      </c>
      <c r="K95" s="113">
        <f t="shared" si="8"/>
        <v>0.8993717525</v>
      </c>
      <c r="L95" s="113">
        <f t="shared" si="9"/>
        <v>0.1756645253</v>
      </c>
      <c r="M95" s="113" t="str">
        <f t="shared" si="10"/>
        <v/>
      </c>
      <c r="N95" s="113" t="str">
        <f t="shared" si="11"/>
        <v/>
      </c>
      <c r="O95" s="114">
        <f t="shared" si="12"/>
        <v>362237.62</v>
      </c>
      <c r="P95" s="9"/>
      <c r="Q95" s="9"/>
      <c r="R95" s="127" t="s">
        <v>113</v>
      </c>
      <c r="S95" s="116">
        <f t="shared" si="13"/>
        <v>1314.017837</v>
      </c>
      <c r="T95" s="117">
        <f>MID(VLOOKUP($R95,'Dados ClubeFII'!$A:$AU,23,0),3,100)/1</f>
        <v>3087.14</v>
      </c>
      <c r="U95" s="118">
        <f t="shared" si="14"/>
        <v>177.0177</v>
      </c>
      <c r="V95" s="118">
        <f t="shared" si="15"/>
        <v>137.000137</v>
      </c>
      <c r="W95" s="118" t="str">
        <f t="shared" ref="W95:AS95" si="104">IF(AV95="","", RANK(AV95,AV$7:AV$405,0))</f>
        <v/>
      </c>
      <c r="X95" s="118" t="str">
        <f t="shared" si="104"/>
        <v/>
      </c>
      <c r="Y95" s="118" t="str">
        <f t="shared" si="104"/>
        <v/>
      </c>
      <c r="Z95" s="118" t="str">
        <f t="shared" si="104"/>
        <v/>
      </c>
      <c r="AA95" s="118" t="str">
        <f t="shared" si="104"/>
        <v/>
      </c>
      <c r="AB95" s="118" t="str">
        <f t="shared" si="104"/>
        <v/>
      </c>
      <c r="AC95" s="118" t="str">
        <f t="shared" si="104"/>
        <v/>
      </c>
      <c r="AD95" s="118" t="str">
        <f t="shared" si="104"/>
        <v/>
      </c>
      <c r="AE95" s="118" t="str">
        <f t="shared" si="104"/>
        <v/>
      </c>
      <c r="AF95" s="118" t="str">
        <f t="shared" si="104"/>
        <v/>
      </c>
      <c r="AG95" s="118" t="str">
        <f t="shared" si="104"/>
        <v/>
      </c>
      <c r="AH95" s="118" t="str">
        <f t="shared" si="104"/>
        <v/>
      </c>
      <c r="AI95" s="118" t="str">
        <f t="shared" si="104"/>
        <v/>
      </c>
      <c r="AJ95" s="118" t="str">
        <f t="shared" si="104"/>
        <v/>
      </c>
      <c r="AK95" s="118" t="str">
        <f t="shared" si="104"/>
        <v/>
      </c>
      <c r="AL95" s="118" t="str">
        <f t="shared" si="104"/>
        <v/>
      </c>
      <c r="AM95" s="118" t="str">
        <f t="shared" si="104"/>
        <v/>
      </c>
      <c r="AN95" s="118" t="str">
        <f t="shared" si="104"/>
        <v/>
      </c>
      <c r="AO95" s="118" t="str">
        <f t="shared" si="104"/>
        <v/>
      </c>
      <c r="AP95" s="118" t="str">
        <f t="shared" si="104"/>
        <v/>
      </c>
      <c r="AQ95" s="118" t="str">
        <f t="shared" si="104"/>
        <v/>
      </c>
      <c r="AR95" s="118" t="str">
        <f t="shared" si="104"/>
        <v/>
      </c>
      <c r="AS95" s="118" t="str">
        <f t="shared" si="104"/>
        <v/>
      </c>
      <c r="AT95" s="123">
        <f>IF(AT$6="","",IF(AT$3="Maior",iferror(VLOOKUP($R95,Capa!$A:$Z,AT$5,0),0),IF(ISERROR(1/VLOOKUP($R95,Capa!$A:$Z,AT$5,0)),0,1/VLOOKUP($R95,Capa!$A:$Z,AT$5,0))))</f>
        <v>0.9843805451</v>
      </c>
      <c r="AU95" s="124">
        <f>IF(AU$6="","",IF(AU$3="Maior",iferror(VLOOKUP($R95,Capa!$A:$Z,AU$5,0),0),IF(ISERROR(1/VLOOKUP($R95,Capa!$A:$Z,AU$5,0)),0,1/VLOOKUP($R95,Capa!$A:$Z,AU$5,0))))</f>
        <v>0.09051286064</v>
      </c>
      <c r="AV95" s="124" t="str">
        <f>IF(AV$6="","",IF(AV$3="Maior",iferror(VLOOKUP($R94,Capa!$A:$Z,AV$5,0),0),IF(ISERROR(1/VLOOKUP($R94,Capa!$A:$Z,AV$5,0)),0,1/VLOOKUP($R94,Capa!$A:$Z,AV$5,0))))</f>
        <v/>
      </c>
      <c r="AW95" s="124" t="str">
        <f>IF(AW$6="","",IF(AW$3="Maior",iferror(VLOOKUP($R94,Capa!$A:$Z,AW$5,0),0),IF(ISERROR(1/VLOOKUP($R94,Capa!$A:$Z,AW$5,0)),0,1/VLOOKUP($R94,Capa!$A:$Z,AW$5,0))))</f>
        <v/>
      </c>
      <c r="AX95" s="124" t="str">
        <f>IF(AX$6="","",IF(AX$3="Maior",iferror(VLOOKUP($R94,Capa!$A:$Z,AX$5,0),0),IF(ISERROR(1/VLOOKUP($R94,Capa!$A:$Z,AX$5,0)),0,1/VLOOKUP($R94,Capa!$A:$Z,AX$5,0))))</f>
        <v/>
      </c>
      <c r="AY95" s="124" t="str">
        <f>IF(AY$6="","",IF(AY$3="Maior",iferror(VLOOKUP($R94,Capa!$A:$Z,AY$5,0),0),IF(ISERROR(1/VLOOKUP($R94,Capa!$A:$Z,AY$5,0)),0,1/VLOOKUP($R94,Capa!$A:$Z,AY$5,0))))</f>
        <v/>
      </c>
      <c r="AZ95" s="124" t="str">
        <f>IF(AZ$6="","",IF(AZ$3="Maior",iferror(VLOOKUP($R94,Capa!$A:$Z,AZ$5,0),0),IF(ISERROR(1/VLOOKUP($R94,Capa!$A:$Z,AZ$5,0)),0,1/VLOOKUP($R94,Capa!$A:$Z,AZ$5,0))))</f>
        <v/>
      </c>
      <c r="BA95" s="124" t="str">
        <f>IF(BA$6="","",IF(BA$3="Maior",iferror(VLOOKUP($R94,Capa!$A:$Z,BA$5,0),0),IF(ISERROR(1/VLOOKUP($R94,Capa!$A:$Z,BA$5,0)),0,1/VLOOKUP($R94,Capa!$A:$Z,BA$5,0))))</f>
        <v/>
      </c>
      <c r="BB95" s="124" t="str">
        <f>IF(BB$6="","",IF(BB$3="Maior",iferror(VLOOKUP($R94,Capa!$A:$Z,BB$5,0),0),IF(ISERROR(1/VLOOKUP($R94,Capa!$A:$Z,BB$5,0)),0,1/VLOOKUP($R94,Capa!$A:$Z,BB$5,0))))</f>
        <v/>
      </c>
      <c r="BC95" s="124" t="str">
        <f>IF(BC$6="","",IF(BC$3="Maior",iferror(VLOOKUP($R94,Capa!$A:$Z,BC$5,0),0),IF(ISERROR(1/VLOOKUP($R94,Capa!$A:$Z,BC$5,0)),0,1/VLOOKUP($R94,Capa!$A:$Z,BC$5,0))))</f>
        <v/>
      </c>
      <c r="BD95" s="124" t="str">
        <f>IF(BD$6="","",IF(BD$3="Maior",iferror(VLOOKUP($R94,Capa!$A:$Z,BD$5,0),0),IF(ISERROR(1/VLOOKUP($R94,Capa!$A:$Z,BD$5,0)),0,1/VLOOKUP($R94,Capa!$A:$Z,BD$5,0))))</f>
        <v/>
      </c>
      <c r="BE95" s="124" t="str">
        <f>IF(BE$6="","",IF(BE$3="Maior",iferror(VLOOKUP($R94,Capa!$A:$Z,BE$5,0),0),IF(ISERROR(1/VLOOKUP($R94,Capa!$A:$Z,BE$5,0)),0,1/VLOOKUP($R94,Capa!$A:$Z,BE$5,0))))</f>
        <v/>
      </c>
      <c r="BF95" s="124" t="str">
        <f>IF(BF$6="","",IF(BF$3="Maior",iferror(VLOOKUP($R94,Capa!$A:$Z,BF$5,0),0),IF(ISERROR(1/VLOOKUP($R94,Capa!$A:$Z,BF$5,0)),0,1/VLOOKUP($R94,Capa!$A:$Z,BF$5,0))))</f>
        <v/>
      </c>
      <c r="BG95" s="124" t="str">
        <f>IF(BG$6="","",IF(BG$3="Maior",iferror(VLOOKUP($R94,Capa!$A:$Z,BG$5,0),0),IF(ISERROR(1/VLOOKUP($R94,Capa!$A:$Z,BG$5,0)),0,1/VLOOKUP($R94,Capa!$A:$Z,BG$5,0))))</f>
        <v/>
      </c>
      <c r="BH95" s="124" t="str">
        <f>IF(BH$6="","",IF(BH$3="Maior",iferror(VLOOKUP($R94,Capa!$A:$Z,BH$5,0),0),IF(ISERROR(1/VLOOKUP($R94,Capa!$A:$Z,BH$5,0)),0,1/VLOOKUP($R94,Capa!$A:$Z,BH$5,0))))</f>
        <v/>
      </c>
      <c r="BI95" s="124" t="str">
        <f>IF(BI$6="","",IF(BI$3="Maior",iferror(VLOOKUP($R94,Capa!$A:$Z,BI$5,0),0),IF(ISERROR(1/VLOOKUP($R94,Capa!$A:$Z,BI$5,0)),0,1/VLOOKUP($R94,Capa!$A:$Z,BI$5,0))))</f>
        <v/>
      </c>
      <c r="BJ95" s="124" t="str">
        <f>IF(BJ$6="","",IF(BJ$3="Maior",iferror(VLOOKUP($R94,Capa!$A:$Z,BJ$5,0),0),IF(ISERROR(1/VLOOKUP($R94,Capa!$A:$Z,BJ$5,0)),0,1/VLOOKUP($R94,Capa!$A:$Z,BJ$5,0))))</f>
        <v/>
      </c>
      <c r="BK95" s="124" t="str">
        <f>IF(BK$6="","",IF(BK$3="Maior",iferror(VLOOKUP($R94,Capa!$A:$Z,BK$5,0),0),IF(ISERROR(1/VLOOKUP($R94,Capa!$A:$Z,BK$5,0)),0,1/VLOOKUP($R94,Capa!$A:$Z,BK$5,0))))</f>
        <v/>
      </c>
      <c r="BL95" s="124" t="str">
        <f>IF(BL$6="","",IF(BL$3="Maior",iferror(VLOOKUP($R94,Capa!$A:$Z,BL$5,0),0),IF(ISERROR(1/VLOOKUP($R94,Capa!$A:$Z,BL$5,0)),0,1/VLOOKUP($R94,Capa!$A:$Z,BL$5,0))))</f>
        <v/>
      </c>
      <c r="BM95" s="124" t="str">
        <f>IF(BM$6="","",IF(BM$3="Maior",iferror(VLOOKUP($R94,Capa!$A:$Z,BM$5,0),0),IF(ISERROR(1/VLOOKUP($R94,Capa!$A:$Z,BM$5,0)),0,1/VLOOKUP($R94,Capa!$A:$Z,BM$5,0))))</f>
        <v/>
      </c>
      <c r="BN95" s="124" t="str">
        <f>IF(BN$6="","",IF(BN$3="Maior",iferror(VLOOKUP($R94,Capa!$A:$Z,BN$5,0),0),IF(ISERROR(1/VLOOKUP($R94,Capa!$A:$Z,BN$5,0)),0,1/VLOOKUP($R94,Capa!$A:$Z,BN$5,0))))</f>
        <v/>
      </c>
      <c r="BO95" s="124" t="str">
        <f>IF(BO$6="","",IF(BO$3="Maior",iferror(VLOOKUP($R94,Capa!$A:$Z,BO$5,0),0),IF(ISERROR(1/VLOOKUP($R94,Capa!$A:$Z,BO$5,0)),0,1/VLOOKUP($R94,Capa!$A:$Z,BO$5,0))))</f>
        <v/>
      </c>
      <c r="BP95" s="124" t="str">
        <f>IF(BP$6="","",IF(BP$3="Maior",iferror(VLOOKUP($R94,Capa!$A:$Z,BP$5,0),0),IF(ISERROR(1/VLOOKUP($R94,Capa!$A:$Z,BP$5,0)),0,1/VLOOKUP($R94,Capa!$A:$Z,BP$5,0))))</f>
        <v/>
      </c>
      <c r="BQ95" s="124" t="str">
        <f>IF(BQ$6="","",IF(BQ$3="Maior",iferror(VLOOKUP($R94,Capa!$A:$Z,BQ$5,0),0),IF(ISERROR(1/VLOOKUP($R94,Capa!$A:$Z,BQ$5,0)),0,1/VLOOKUP($R94,Capa!$A:$Z,BQ$5,0))))</f>
        <v/>
      </c>
      <c r="BR95" s="125" t="str">
        <f>IF(BR$6="","",IF(BR$3="Maior",iferror(VLOOKUP($R94,Capa!$A:$Z,BR$5,0),0),IF(ISERROR(1/VLOOKUP($R94,Capa!$A:$Z,BR$5,0)),0,1/VLOOKUP($R94,Capa!$A:$Z,BR$5,0))))</f>
        <v/>
      </c>
      <c r="BS95" s="88"/>
    </row>
    <row r="96">
      <c r="G96" s="9"/>
      <c r="H96" s="7">
        <v>90.0</v>
      </c>
      <c r="I96" s="111" t="str">
        <f t="shared" si="7"/>
        <v>PATL11</v>
      </c>
      <c r="J96" s="112" t="str">
        <f>VLOOKUP(I96,Capa!A:G,7,0)</f>
        <v>Logisticos</v>
      </c>
      <c r="K96" s="113">
        <f t="shared" si="8"/>
        <v>0.6186666667</v>
      </c>
      <c r="L96" s="113">
        <f t="shared" si="9"/>
        <v>0.1072033333</v>
      </c>
      <c r="M96" s="113" t="str">
        <f t="shared" si="10"/>
        <v/>
      </c>
      <c r="N96" s="113" t="str">
        <f t="shared" si="11"/>
        <v/>
      </c>
      <c r="O96" s="114">
        <f t="shared" si="12"/>
        <v>867273.95</v>
      </c>
      <c r="P96" s="9"/>
      <c r="Q96" s="9"/>
      <c r="R96" s="115" t="s">
        <v>123</v>
      </c>
      <c r="S96" s="116">
        <f t="shared" si="13"/>
        <v>1184.004441</v>
      </c>
      <c r="T96" s="117">
        <f>MID(VLOOKUP($R96,'Dados ClubeFII'!$A:$AU,23,0),3,100)/1</f>
        <v>451577.65</v>
      </c>
      <c r="U96" s="118">
        <f t="shared" si="14"/>
        <v>43.0043</v>
      </c>
      <c r="V96" s="118">
        <f t="shared" si="15"/>
        <v>141.000141</v>
      </c>
      <c r="W96" s="118" t="str">
        <f t="shared" ref="W96:AS96" si="105">IF(AV96="","", RANK(AV96,AV$7:AV$405,0))</f>
        <v/>
      </c>
      <c r="X96" s="118" t="str">
        <f t="shared" si="105"/>
        <v/>
      </c>
      <c r="Y96" s="118" t="str">
        <f t="shared" si="105"/>
        <v/>
      </c>
      <c r="Z96" s="118" t="str">
        <f t="shared" si="105"/>
        <v/>
      </c>
      <c r="AA96" s="118" t="str">
        <f t="shared" si="105"/>
        <v/>
      </c>
      <c r="AB96" s="118" t="str">
        <f t="shared" si="105"/>
        <v/>
      </c>
      <c r="AC96" s="118" t="str">
        <f t="shared" si="105"/>
        <v/>
      </c>
      <c r="AD96" s="118" t="str">
        <f t="shared" si="105"/>
        <v/>
      </c>
      <c r="AE96" s="118" t="str">
        <f t="shared" si="105"/>
        <v/>
      </c>
      <c r="AF96" s="118" t="str">
        <f t="shared" si="105"/>
        <v/>
      </c>
      <c r="AG96" s="118" t="str">
        <f t="shared" si="105"/>
        <v/>
      </c>
      <c r="AH96" s="118" t="str">
        <f t="shared" si="105"/>
        <v/>
      </c>
      <c r="AI96" s="118" t="str">
        <f t="shared" si="105"/>
        <v/>
      </c>
      <c r="AJ96" s="118" t="str">
        <f t="shared" si="105"/>
        <v/>
      </c>
      <c r="AK96" s="118" t="str">
        <f t="shared" si="105"/>
        <v/>
      </c>
      <c r="AL96" s="118" t="str">
        <f t="shared" si="105"/>
        <v/>
      </c>
      <c r="AM96" s="118" t="str">
        <f t="shared" si="105"/>
        <v/>
      </c>
      <c r="AN96" s="118" t="str">
        <f t="shared" si="105"/>
        <v/>
      </c>
      <c r="AO96" s="118" t="str">
        <f t="shared" si="105"/>
        <v/>
      </c>
      <c r="AP96" s="118" t="str">
        <f t="shared" si="105"/>
        <v/>
      </c>
      <c r="AQ96" s="118" t="str">
        <f t="shared" si="105"/>
        <v/>
      </c>
      <c r="AR96" s="118" t="str">
        <f t="shared" si="105"/>
        <v/>
      </c>
      <c r="AS96" s="118" t="str">
        <f t="shared" si="105"/>
        <v/>
      </c>
      <c r="AT96" s="123">
        <f>IF(AT$6="","",IF(AT$3="Maior",iferror(VLOOKUP($R96,Capa!$A:$Z,AT$5,0),0),IF(ISERROR(1/VLOOKUP($R96,Capa!$A:$Z,AT$5,0)),0,1/VLOOKUP($R96,Capa!$A:$Z,AT$5,0))))</f>
        <v>1.472126278</v>
      </c>
      <c r="AU96" s="124">
        <f>IF(AU$6="","",IF(AU$3="Maior",iferror(VLOOKUP($R96,Capa!$A:$Z,AU$5,0),0),IF(ISERROR(1/VLOOKUP($R96,Capa!$A:$Z,AU$5,0)),0,1/VLOOKUP($R96,Capa!$A:$Z,AU$5,0))))</f>
        <v>0.08850453731</v>
      </c>
      <c r="AV96" s="124" t="str">
        <f>IF(AV$6="","",IF(AV$3="Maior",iferror(VLOOKUP($R95,Capa!$A:$Z,AV$5,0),0),IF(ISERROR(1/VLOOKUP($R95,Capa!$A:$Z,AV$5,0)),0,1/VLOOKUP($R95,Capa!$A:$Z,AV$5,0))))</f>
        <v/>
      </c>
      <c r="AW96" s="124" t="str">
        <f>IF(AW$6="","",IF(AW$3="Maior",iferror(VLOOKUP($R95,Capa!$A:$Z,AW$5,0),0),IF(ISERROR(1/VLOOKUP($R95,Capa!$A:$Z,AW$5,0)),0,1/VLOOKUP($R95,Capa!$A:$Z,AW$5,0))))</f>
        <v/>
      </c>
      <c r="AX96" s="124" t="str">
        <f>IF(AX$6="","",IF(AX$3="Maior",iferror(VLOOKUP($R95,Capa!$A:$Z,AX$5,0),0),IF(ISERROR(1/VLOOKUP($R95,Capa!$A:$Z,AX$5,0)),0,1/VLOOKUP($R95,Capa!$A:$Z,AX$5,0))))</f>
        <v/>
      </c>
      <c r="AY96" s="124" t="str">
        <f>IF(AY$6="","",IF(AY$3="Maior",iferror(VLOOKUP($R95,Capa!$A:$Z,AY$5,0),0),IF(ISERROR(1/VLOOKUP($R95,Capa!$A:$Z,AY$5,0)),0,1/VLOOKUP($R95,Capa!$A:$Z,AY$5,0))))</f>
        <v/>
      </c>
      <c r="AZ96" s="124" t="str">
        <f>IF(AZ$6="","",IF(AZ$3="Maior",iferror(VLOOKUP($R95,Capa!$A:$Z,AZ$5,0),0),IF(ISERROR(1/VLOOKUP($R95,Capa!$A:$Z,AZ$5,0)),0,1/VLOOKUP($R95,Capa!$A:$Z,AZ$5,0))))</f>
        <v/>
      </c>
      <c r="BA96" s="124" t="str">
        <f>IF(BA$6="","",IF(BA$3="Maior",iferror(VLOOKUP($R95,Capa!$A:$Z,BA$5,0),0),IF(ISERROR(1/VLOOKUP($R95,Capa!$A:$Z,BA$5,0)),0,1/VLOOKUP($R95,Capa!$A:$Z,BA$5,0))))</f>
        <v/>
      </c>
      <c r="BB96" s="124" t="str">
        <f>IF(BB$6="","",IF(BB$3="Maior",iferror(VLOOKUP($R95,Capa!$A:$Z,BB$5,0),0),IF(ISERROR(1/VLOOKUP($R95,Capa!$A:$Z,BB$5,0)),0,1/VLOOKUP($R95,Capa!$A:$Z,BB$5,0))))</f>
        <v/>
      </c>
      <c r="BC96" s="124" t="str">
        <f>IF(BC$6="","",IF(BC$3="Maior",iferror(VLOOKUP($R95,Capa!$A:$Z,BC$5,0),0),IF(ISERROR(1/VLOOKUP($R95,Capa!$A:$Z,BC$5,0)),0,1/VLOOKUP($R95,Capa!$A:$Z,BC$5,0))))</f>
        <v/>
      </c>
      <c r="BD96" s="124" t="str">
        <f>IF(BD$6="","",IF(BD$3="Maior",iferror(VLOOKUP($R95,Capa!$A:$Z,BD$5,0),0),IF(ISERROR(1/VLOOKUP($R95,Capa!$A:$Z,BD$5,0)),0,1/VLOOKUP($R95,Capa!$A:$Z,BD$5,0))))</f>
        <v/>
      </c>
      <c r="BE96" s="124" t="str">
        <f>IF(BE$6="","",IF(BE$3="Maior",iferror(VLOOKUP($R95,Capa!$A:$Z,BE$5,0),0),IF(ISERROR(1/VLOOKUP($R95,Capa!$A:$Z,BE$5,0)),0,1/VLOOKUP($R95,Capa!$A:$Z,BE$5,0))))</f>
        <v/>
      </c>
      <c r="BF96" s="124" t="str">
        <f>IF(BF$6="","",IF(BF$3="Maior",iferror(VLOOKUP($R95,Capa!$A:$Z,BF$5,0),0),IF(ISERROR(1/VLOOKUP($R95,Capa!$A:$Z,BF$5,0)),0,1/VLOOKUP($R95,Capa!$A:$Z,BF$5,0))))</f>
        <v/>
      </c>
      <c r="BG96" s="124" t="str">
        <f>IF(BG$6="","",IF(BG$3="Maior",iferror(VLOOKUP($R95,Capa!$A:$Z,BG$5,0),0),IF(ISERROR(1/VLOOKUP($R95,Capa!$A:$Z,BG$5,0)),0,1/VLOOKUP($R95,Capa!$A:$Z,BG$5,0))))</f>
        <v/>
      </c>
      <c r="BH96" s="124" t="str">
        <f>IF(BH$6="","",IF(BH$3="Maior",iferror(VLOOKUP($R95,Capa!$A:$Z,BH$5,0),0),IF(ISERROR(1/VLOOKUP($R95,Capa!$A:$Z,BH$5,0)),0,1/VLOOKUP($R95,Capa!$A:$Z,BH$5,0))))</f>
        <v/>
      </c>
      <c r="BI96" s="124" t="str">
        <f>IF(BI$6="","",IF(BI$3="Maior",iferror(VLOOKUP($R95,Capa!$A:$Z,BI$5,0),0),IF(ISERROR(1/VLOOKUP($R95,Capa!$A:$Z,BI$5,0)),0,1/VLOOKUP($R95,Capa!$A:$Z,BI$5,0))))</f>
        <v/>
      </c>
      <c r="BJ96" s="124" t="str">
        <f>IF(BJ$6="","",IF(BJ$3="Maior",iferror(VLOOKUP($R95,Capa!$A:$Z,BJ$5,0),0),IF(ISERROR(1/VLOOKUP($R95,Capa!$A:$Z,BJ$5,0)),0,1/VLOOKUP($R95,Capa!$A:$Z,BJ$5,0))))</f>
        <v/>
      </c>
      <c r="BK96" s="124" t="str">
        <f>IF(BK$6="","",IF(BK$3="Maior",iferror(VLOOKUP($R95,Capa!$A:$Z,BK$5,0),0),IF(ISERROR(1/VLOOKUP($R95,Capa!$A:$Z,BK$5,0)),0,1/VLOOKUP($R95,Capa!$A:$Z,BK$5,0))))</f>
        <v/>
      </c>
      <c r="BL96" s="124" t="str">
        <f>IF(BL$6="","",IF(BL$3="Maior",iferror(VLOOKUP($R95,Capa!$A:$Z,BL$5,0),0),IF(ISERROR(1/VLOOKUP($R95,Capa!$A:$Z,BL$5,0)),0,1/VLOOKUP($R95,Capa!$A:$Z,BL$5,0))))</f>
        <v/>
      </c>
      <c r="BM96" s="124" t="str">
        <f>IF(BM$6="","",IF(BM$3="Maior",iferror(VLOOKUP($R95,Capa!$A:$Z,BM$5,0),0),IF(ISERROR(1/VLOOKUP($R95,Capa!$A:$Z,BM$5,0)),0,1/VLOOKUP($R95,Capa!$A:$Z,BM$5,0))))</f>
        <v/>
      </c>
      <c r="BN96" s="124" t="str">
        <f>IF(BN$6="","",IF(BN$3="Maior",iferror(VLOOKUP($R95,Capa!$A:$Z,BN$5,0),0),IF(ISERROR(1/VLOOKUP($R95,Capa!$A:$Z,BN$5,0)),0,1/VLOOKUP($R95,Capa!$A:$Z,BN$5,0))))</f>
        <v/>
      </c>
      <c r="BO96" s="124" t="str">
        <f>IF(BO$6="","",IF(BO$3="Maior",iferror(VLOOKUP($R95,Capa!$A:$Z,BO$5,0),0),IF(ISERROR(1/VLOOKUP($R95,Capa!$A:$Z,BO$5,0)),0,1/VLOOKUP($R95,Capa!$A:$Z,BO$5,0))))</f>
        <v/>
      </c>
      <c r="BP96" s="124" t="str">
        <f>IF(BP$6="","",IF(BP$3="Maior",iferror(VLOOKUP($R95,Capa!$A:$Z,BP$5,0),0),IF(ISERROR(1/VLOOKUP($R95,Capa!$A:$Z,BP$5,0)),0,1/VLOOKUP($R95,Capa!$A:$Z,BP$5,0))))</f>
        <v/>
      </c>
      <c r="BQ96" s="124" t="str">
        <f>IF(BQ$6="","",IF(BQ$3="Maior",iferror(VLOOKUP($R95,Capa!$A:$Z,BQ$5,0),0),IF(ISERROR(1/VLOOKUP($R95,Capa!$A:$Z,BQ$5,0)),0,1/VLOOKUP($R95,Capa!$A:$Z,BQ$5,0))))</f>
        <v/>
      </c>
      <c r="BR96" s="125" t="str">
        <f>IF(BR$6="","",IF(BR$3="Maior",iferror(VLOOKUP($R95,Capa!$A:$Z,BR$5,0),0),IF(ISERROR(1/VLOOKUP($R95,Capa!$A:$Z,BR$5,0)),0,1/VLOOKUP($R95,Capa!$A:$Z,BR$5,0))))</f>
        <v/>
      </c>
      <c r="BS96" s="88"/>
    </row>
    <row r="97">
      <c r="G97" s="9"/>
      <c r="H97" s="7">
        <v>91.0</v>
      </c>
      <c r="I97" s="111" t="str">
        <f t="shared" si="7"/>
        <v>MGFF11</v>
      </c>
      <c r="J97" s="112" t="str">
        <f>VLOOKUP(I97,Capa!A:G,7,0)</f>
        <v>Fundo de Fundos</v>
      </c>
      <c r="K97" s="113">
        <f t="shared" si="8"/>
        <v>0.760058009</v>
      </c>
      <c r="L97" s="113">
        <f t="shared" si="9"/>
        <v>0.1224976609</v>
      </c>
      <c r="M97" s="113" t="str">
        <f t="shared" si="10"/>
        <v/>
      </c>
      <c r="N97" s="113" t="str">
        <f t="shared" si="11"/>
        <v/>
      </c>
      <c r="O97" s="114">
        <f t="shared" si="12"/>
        <v>723215.95</v>
      </c>
      <c r="P97" s="9"/>
      <c r="Q97" s="9"/>
      <c r="R97" s="115" t="s">
        <v>119</v>
      </c>
      <c r="S97" s="116">
        <f t="shared" si="13"/>
        <v>1243.014103</v>
      </c>
      <c r="T97" s="117">
        <f>MID(VLOOKUP($R97,'Dados ClubeFII'!$A:$AU,23,0),3,100)/1</f>
        <v>773804.93</v>
      </c>
      <c r="U97" s="118">
        <f t="shared" si="14"/>
        <v>140.014</v>
      </c>
      <c r="V97" s="118">
        <f t="shared" si="15"/>
        <v>103.000103</v>
      </c>
      <c r="W97" s="118" t="str">
        <f t="shared" ref="W97:AS97" si="106">IF(AV97="","", RANK(AV97,AV$7:AV$405,0))</f>
        <v/>
      </c>
      <c r="X97" s="118" t="str">
        <f t="shared" si="106"/>
        <v/>
      </c>
      <c r="Y97" s="118" t="str">
        <f t="shared" si="106"/>
        <v/>
      </c>
      <c r="Z97" s="118" t="str">
        <f t="shared" si="106"/>
        <v/>
      </c>
      <c r="AA97" s="118" t="str">
        <f t="shared" si="106"/>
        <v/>
      </c>
      <c r="AB97" s="118" t="str">
        <f t="shared" si="106"/>
        <v/>
      </c>
      <c r="AC97" s="118" t="str">
        <f t="shared" si="106"/>
        <v/>
      </c>
      <c r="AD97" s="118" t="str">
        <f t="shared" si="106"/>
        <v/>
      </c>
      <c r="AE97" s="118" t="str">
        <f t="shared" si="106"/>
        <v/>
      </c>
      <c r="AF97" s="118" t="str">
        <f t="shared" si="106"/>
        <v/>
      </c>
      <c r="AG97" s="118" t="str">
        <f t="shared" si="106"/>
        <v/>
      </c>
      <c r="AH97" s="118" t="str">
        <f t="shared" si="106"/>
        <v/>
      </c>
      <c r="AI97" s="118" t="str">
        <f t="shared" si="106"/>
        <v/>
      </c>
      <c r="AJ97" s="118" t="str">
        <f t="shared" si="106"/>
        <v/>
      </c>
      <c r="AK97" s="118" t="str">
        <f t="shared" si="106"/>
        <v/>
      </c>
      <c r="AL97" s="118" t="str">
        <f t="shared" si="106"/>
        <v/>
      </c>
      <c r="AM97" s="118" t="str">
        <f t="shared" si="106"/>
        <v/>
      </c>
      <c r="AN97" s="118" t="str">
        <f t="shared" si="106"/>
        <v/>
      </c>
      <c r="AO97" s="118" t="str">
        <f t="shared" si="106"/>
        <v/>
      </c>
      <c r="AP97" s="118" t="str">
        <f t="shared" si="106"/>
        <v/>
      </c>
      <c r="AQ97" s="118" t="str">
        <f t="shared" si="106"/>
        <v/>
      </c>
      <c r="AR97" s="118" t="str">
        <f t="shared" si="106"/>
        <v/>
      </c>
      <c r="AS97" s="118" t="str">
        <f t="shared" si="106"/>
        <v/>
      </c>
      <c r="AT97" s="123">
        <f>IF(AT$6="","",IF(AT$3="Maior",iferror(VLOOKUP($R97,Capa!$A:$Z,AT$5,0),0),IF(ISERROR(1/VLOOKUP($R97,Capa!$A:$Z,AT$5,0)),0,1/VLOOKUP($R97,Capa!$A:$Z,AT$5,0))))</f>
        <v>1.098434931</v>
      </c>
      <c r="AU97" s="124">
        <f>IF(AU$6="","",IF(AU$3="Maior",iferror(VLOOKUP($R97,Capa!$A:$Z,AU$5,0),0),IF(ISERROR(1/VLOOKUP($R97,Capa!$A:$Z,AU$5,0)),0,1/VLOOKUP($R97,Capa!$A:$Z,AU$5,0))))</f>
        <v>0.1080324954</v>
      </c>
      <c r="AV97" s="124" t="str">
        <f>IF(AV$6="","",IF(AV$3="Maior",iferror(VLOOKUP($R96,Capa!$A:$Z,AV$5,0),0),IF(ISERROR(1/VLOOKUP($R96,Capa!$A:$Z,AV$5,0)),0,1/VLOOKUP($R96,Capa!$A:$Z,AV$5,0))))</f>
        <v/>
      </c>
      <c r="AW97" s="124" t="str">
        <f>IF(AW$6="","",IF(AW$3="Maior",iferror(VLOOKUP($R96,Capa!$A:$Z,AW$5,0),0),IF(ISERROR(1/VLOOKUP($R96,Capa!$A:$Z,AW$5,0)),0,1/VLOOKUP($R96,Capa!$A:$Z,AW$5,0))))</f>
        <v/>
      </c>
      <c r="AX97" s="124" t="str">
        <f>IF(AX$6="","",IF(AX$3="Maior",iferror(VLOOKUP($R96,Capa!$A:$Z,AX$5,0),0),IF(ISERROR(1/VLOOKUP($R96,Capa!$A:$Z,AX$5,0)),0,1/VLOOKUP($R96,Capa!$A:$Z,AX$5,0))))</f>
        <v/>
      </c>
      <c r="AY97" s="124" t="str">
        <f>IF(AY$6="","",IF(AY$3="Maior",iferror(VLOOKUP($R96,Capa!$A:$Z,AY$5,0),0),IF(ISERROR(1/VLOOKUP($R96,Capa!$A:$Z,AY$5,0)),0,1/VLOOKUP($R96,Capa!$A:$Z,AY$5,0))))</f>
        <v/>
      </c>
      <c r="AZ97" s="124" t="str">
        <f>IF(AZ$6="","",IF(AZ$3="Maior",iferror(VLOOKUP($R96,Capa!$A:$Z,AZ$5,0),0),IF(ISERROR(1/VLOOKUP($R96,Capa!$A:$Z,AZ$5,0)),0,1/VLOOKUP($R96,Capa!$A:$Z,AZ$5,0))))</f>
        <v/>
      </c>
      <c r="BA97" s="124" t="str">
        <f>IF(BA$6="","",IF(BA$3="Maior",iferror(VLOOKUP($R96,Capa!$A:$Z,BA$5,0),0),IF(ISERROR(1/VLOOKUP($R96,Capa!$A:$Z,BA$5,0)),0,1/VLOOKUP($R96,Capa!$A:$Z,BA$5,0))))</f>
        <v/>
      </c>
      <c r="BB97" s="124" t="str">
        <f>IF(BB$6="","",IF(BB$3="Maior",iferror(VLOOKUP($R96,Capa!$A:$Z,BB$5,0),0),IF(ISERROR(1/VLOOKUP($R96,Capa!$A:$Z,BB$5,0)),0,1/VLOOKUP($R96,Capa!$A:$Z,BB$5,0))))</f>
        <v/>
      </c>
      <c r="BC97" s="124" t="str">
        <f>IF(BC$6="","",IF(BC$3="Maior",iferror(VLOOKUP($R96,Capa!$A:$Z,BC$5,0),0),IF(ISERROR(1/VLOOKUP($R96,Capa!$A:$Z,BC$5,0)),0,1/VLOOKUP($R96,Capa!$A:$Z,BC$5,0))))</f>
        <v/>
      </c>
      <c r="BD97" s="124" t="str">
        <f>IF(BD$6="","",IF(BD$3="Maior",iferror(VLOOKUP($R96,Capa!$A:$Z,BD$5,0),0),IF(ISERROR(1/VLOOKUP($R96,Capa!$A:$Z,BD$5,0)),0,1/VLOOKUP($R96,Capa!$A:$Z,BD$5,0))))</f>
        <v/>
      </c>
      <c r="BE97" s="124" t="str">
        <f>IF(BE$6="","",IF(BE$3="Maior",iferror(VLOOKUP($R96,Capa!$A:$Z,BE$5,0),0),IF(ISERROR(1/VLOOKUP($R96,Capa!$A:$Z,BE$5,0)),0,1/VLOOKUP($R96,Capa!$A:$Z,BE$5,0))))</f>
        <v/>
      </c>
      <c r="BF97" s="124" t="str">
        <f>IF(BF$6="","",IF(BF$3="Maior",iferror(VLOOKUP($R96,Capa!$A:$Z,BF$5,0),0),IF(ISERROR(1/VLOOKUP($R96,Capa!$A:$Z,BF$5,0)),0,1/VLOOKUP($R96,Capa!$A:$Z,BF$5,0))))</f>
        <v/>
      </c>
      <c r="BG97" s="124" t="str">
        <f>IF(BG$6="","",IF(BG$3="Maior",iferror(VLOOKUP($R96,Capa!$A:$Z,BG$5,0),0),IF(ISERROR(1/VLOOKUP($R96,Capa!$A:$Z,BG$5,0)),0,1/VLOOKUP($R96,Capa!$A:$Z,BG$5,0))))</f>
        <v/>
      </c>
      <c r="BH97" s="124" t="str">
        <f>IF(BH$6="","",IF(BH$3="Maior",iferror(VLOOKUP($R96,Capa!$A:$Z,BH$5,0),0),IF(ISERROR(1/VLOOKUP($R96,Capa!$A:$Z,BH$5,0)),0,1/VLOOKUP($R96,Capa!$A:$Z,BH$5,0))))</f>
        <v/>
      </c>
      <c r="BI97" s="124" t="str">
        <f>IF(BI$6="","",IF(BI$3="Maior",iferror(VLOOKUP($R96,Capa!$A:$Z,BI$5,0),0),IF(ISERROR(1/VLOOKUP($R96,Capa!$A:$Z,BI$5,0)),0,1/VLOOKUP($R96,Capa!$A:$Z,BI$5,0))))</f>
        <v/>
      </c>
      <c r="BJ97" s="124" t="str">
        <f>IF(BJ$6="","",IF(BJ$3="Maior",iferror(VLOOKUP($R96,Capa!$A:$Z,BJ$5,0),0),IF(ISERROR(1/VLOOKUP($R96,Capa!$A:$Z,BJ$5,0)),0,1/VLOOKUP($R96,Capa!$A:$Z,BJ$5,0))))</f>
        <v/>
      </c>
      <c r="BK97" s="124" t="str">
        <f>IF(BK$6="","",IF(BK$3="Maior",iferror(VLOOKUP($R96,Capa!$A:$Z,BK$5,0),0),IF(ISERROR(1/VLOOKUP($R96,Capa!$A:$Z,BK$5,0)),0,1/VLOOKUP($R96,Capa!$A:$Z,BK$5,0))))</f>
        <v/>
      </c>
      <c r="BL97" s="124" t="str">
        <f>IF(BL$6="","",IF(BL$3="Maior",iferror(VLOOKUP($R96,Capa!$A:$Z,BL$5,0),0),IF(ISERROR(1/VLOOKUP($R96,Capa!$A:$Z,BL$5,0)),0,1/VLOOKUP($R96,Capa!$A:$Z,BL$5,0))))</f>
        <v/>
      </c>
      <c r="BM97" s="124" t="str">
        <f>IF(BM$6="","",IF(BM$3="Maior",iferror(VLOOKUP($R96,Capa!$A:$Z,BM$5,0),0),IF(ISERROR(1/VLOOKUP($R96,Capa!$A:$Z,BM$5,0)),0,1/VLOOKUP($R96,Capa!$A:$Z,BM$5,0))))</f>
        <v/>
      </c>
      <c r="BN97" s="124" t="str">
        <f>IF(BN$6="","",IF(BN$3="Maior",iferror(VLOOKUP($R96,Capa!$A:$Z,BN$5,0),0),IF(ISERROR(1/VLOOKUP($R96,Capa!$A:$Z,BN$5,0)),0,1/VLOOKUP($R96,Capa!$A:$Z,BN$5,0))))</f>
        <v/>
      </c>
      <c r="BO97" s="124" t="str">
        <f>IF(BO$6="","",IF(BO$3="Maior",iferror(VLOOKUP($R96,Capa!$A:$Z,BO$5,0),0),IF(ISERROR(1/VLOOKUP($R96,Capa!$A:$Z,BO$5,0)),0,1/VLOOKUP($R96,Capa!$A:$Z,BO$5,0))))</f>
        <v/>
      </c>
      <c r="BP97" s="124" t="str">
        <f>IF(BP$6="","",IF(BP$3="Maior",iferror(VLOOKUP($R96,Capa!$A:$Z,BP$5,0),0),IF(ISERROR(1/VLOOKUP($R96,Capa!$A:$Z,BP$5,0)),0,1/VLOOKUP($R96,Capa!$A:$Z,BP$5,0))))</f>
        <v/>
      </c>
      <c r="BQ97" s="124" t="str">
        <f>IF(BQ$6="","",IF(BQ$3="Maior",iferror(VLOOKUP($R96,Capa!$A:$Z,BQ$5,0),0),IF(ISERROR(1/VLOOKUP($R96,Capa!$A:$Z,BQ$5,0)),0,1/VLOOKUP($R96,Capa!$A:$Z,BQ$5,0))))</f>
        <v/>
      </c>
      <c r="BR97" s="125" t="str">
        <f>IF(BR$6="","",IF(BR$3="Maior",iferror(VLOOKUP($R96,Capa!$A:$Z,BR$5,0),0),IF(ISERROR(1/VLOOKUP($R96,Capa!$A:$Z,BR$5,0)),0,1/VLOOKUP($R96,Capa!$A:$Z,BR$5,0))))</f>
        <v/>
      </c>
      <c r="BS97" s="88"/>
    </row>
    <row r="98">
      <c r="G98" s="9"/>
      <c r="H98" s="7">
        <v>92.0</v>
      </c>
      <c r="I98" s="129" t="str">
        <f t="shared" si="7"/>
        <v>QAGR11</v>
      </c>
      <c r="J98" s="112" t="str">
        <f>VLOOKUP(I98,Capa!A:G,7,0)</f>
        <v>Agronegócio</v>
      </c>
      <c r="K98" s="113">
        <f t="shared" si="8"/>
        <v>0.7383928571</v>
      </c>
      <c r="L98" s="113">
        <f t="shared" si="9"/>
        <v>0.1167458977</v>
      </c>
      <c r="M98" s="113" t="str">
        <f t="shared" si="10"/>
        <v/>
      </c>
      <c r="N98" s="113" t="str">
        <f t="shared" si="11"/>
        <v/>
      </c>
      <c r="O98" s="114">
        <f t="shared" si="12"/>
        <v>299963.4</v>
      </c>
      <c r="P98" s="9"/>
      <c r="Q98" s="9"/>
      <c r="R98" s="127" t="s">
        <v>107</v>
      </c>
      <c r="S98" s="116">
        <f t="shared" si="13"/>
        <v>1093.001677</v>
      </c>
      <c r="T98" s="117">
        <f>MID(VLOOKUP($R98,'Dados ClubeFII'!$A:$AU,23,0),3,100)/1</f>
        <v>245446</v>
      </c>
      <c r="U98" s="118">
        <f t="shared" si="14"/>
        <v>16.0016</v>
      </c>
      <c r="V98" s="118">
        <f t="shared" si="15"/>
        <v>77.000077</v>
      </c>
      <c r="W98" s="118" t="str">
        <f t="shared" ref="W98:AS98" si="107">IF(AV98="","", RANK(AV98,AV$7:AV$405,0))</f>
        <v/>
      </c>
      <c r="X98" s="118" t="str">
        <f t="shared" si="107"/>
        <v/>
      </c>
      <c r="Y98" s="118" t="str">
        <f t="shared" si="107"/>
        <v/>
      </c>
      <c r="Z98" s="118" t="str">
        <f t="shared" si="107"/>
        <v/>
      </c>
      <c r="AA98" s="118" t="str">
        <f t="shared" si="107"/>
        <v/>
      </c>
      <c r="AB98" s="118" t="str">
        <f t="shared" si="107"/>
        <v/>
      </c>
      <c r="AC98" s="118" t="str">
        <f t="shared" si="107"/>
        <v/>
      </c>
      <c r="AD98" s="118" t="str">
        <f t="shared" si="107"/>
        <v/>
      </c>
      <c r="AE98" s="118" t="str">
        <f t="shared" si="107"/>
        <v/>
      </c>
      <c r="AF98" s="118" t="str">
        <f t="shared" si="107"/>
        <v/>
      </c>
      <c r="AG98" s="118" t="str">
        <f t="shared" si="107"/>
        <v/>
      </c>
      <c r="AH98" s="118" t="str">
        <f t="shared" si="107"/>
        <v/>
      </c>
      <c r="AI98" s="118" t="str">
        <f t="shared" si="107"/>
        <v/>
      </c>
      <c r="AJ98" s="118" t="str">
        <f t="shared" si="107"/>
        <v/>
      </c>
      <c r="AK98" s="118" t="str">
        <f t="shared" si="107"/>
        <v/>
      </c>
      <c r="AL98" s="118" t="str">
        <f t="shared" si="107"/>
        <v/>
      </c>
      <c r="AM98" s="118" t="str">
        <f t="shared" si="107"/>
        <v/>
      </c>
      <c r="AN98" s="118" t="str">
        <f t="shared" si="107"/>
        <v/>
      </c>
      <c r="AO98" s="118" t="str">
        <f t="shared" si="107"/>
        <v/>
      </c>
      <c r="AP98" s="118" t="str">
        <f t="shared" si="107"/>
        <v/>
      </c>
      <c r="AQ98" s="118" t="str">
        <f t="shared" si="107"/>
        <v/>
      </c>
      <c r="AR98" s="118" t="str">
        <f t="shared" si="107"/>
        <v/>
      </c>
      <c r="AS98" s="118" t="str">
        <f t="shared" si="107"/>
        <v/>
      </c>
      <c r="AT98" s="123">
        <f>IF(AT$6="","",IF(AT$3="Maior",iferror(VLOOKUP($R98,Capa!$A:$Z,AT$5,0),0),IF(ISERROR(1/VLOOKUP($R98,Capa!$A:$Z,AT$5,0)),0,1/VLOOKUP($R98,Capa!$A:$Z,AT$5,0))))</f>
        <v>1.963917526</v>
      </c>
      <c r="AU98" s="124">
        <f>IF(AU$6="","",IF(AU$3="Maior",iferror(VLOOKUP($R98,Capa!$A:$Z,AU$5,0),0),IF(ISERROR(1/VLOOKUP($R98,Capa!$A:$Z,AU$5,0)),0,1/VLOOKUP($R98,Capa!$A:$Z,AU$5,0))))</f>
        <v>0.1205753281</v>
      </c>
      <c r="AV98" s="124" t="str">
        <f>IF(AV$6="","",IF(AV$3="Maior",iferror(VLOOKUP($R97,Capa!$A:$Z,AV$5,0),0),IF(ISERROR(1/VLOOKUP($R97,Capa!$A:$Z,AV$5,0)),0,1/VLOOKUP($R97,Capa!$A:$Z,AV$5,0))))</f>
        <v/>
      </c>
      <c r="AW98" s="124" t="str">
        <f>IF(AW$6="","",IF(AW$3="Maior",iferror(VLOOKUP($R97,Capa!$A:$Z,AW$5,0),0),IF(ISERROR(1/VLOOKUP($R97,Capa!$A:$Z,AW$5,0)),0,1/VLOOKUP($R97,Capa!$A:$Z,AW$5,0))))</f>
        <v/>
      </c>
      <c r="AX98" s="124" t="str">
        <f>IF(AX$6="","",IF(AX$3="Maior",iferror(VLOOKUP($R97,Capa!$A:$Z,AX$5,0),0),IF(ISERROR(1/VLOOKUP($R97,Capa!$A:$Z,AX$5,0)),0,1/VLOOKUP($R97,Capa!$A:$Z,AX$5,0))))</f>
        <v/>
      </c>
      <c r="AY98" s="124" t="str">
        <f>IF(AY$6="","",IF(AY$3="Maior",iferror(VLOOKUP($R97,Capa!$A:$Z,AY$5,0),0),IF(ISERROR(1/VLOOKUP($R97,Capa!$A:$Z,AY$5,0)),0,1/VLOOKUP($R97,Capa!$A:$Z,AY$5,0))))</f>
        <v/>
      </c>
      <c r="AZ98" s="124" t="str">
        <f>IF(AZ$6="","",IF(AZ$3="Maior",iferror(VLOOKUP($R97,Capa!$A:$Z,AZ$5,0),0),IF(ISERROR(1/VLOOKUP($R97,Capa!$A:$Z,AZ$5,0)),0,1/VLOOKUP($R97,Capa!$A:$Z,AZ$5,0))))</f>
        <v/>
      </c>
      <c r="BA98" s="124" t="str">
        <f>IF(BA$6="","",IF(BA$3="Maior",iferror(VLOOKUP($R97,Capa!$A:$Z,BA$5,0),0),IF(ISERROR(1/VLOOKUP($R97,Capa!$A:$Z,BA$5,0)),0,1/VLOOKUP($R97,Capa!$A:$Z,BA$5,0))))</f>
        <v/>
      </c>
      <c r="BB98" s="124" t="str">
        <f>IF(BB$6="","",IF(BB$3="Maior",iferror(VLOOKUP($R97,Capa!$A:$Z,BB$5,0),0),IF(ISERROR(1/VLOOKUP($R97,Capa!$A:$Z,BB$5,0)),0,1/VLOOKUP($R97,Capa!$A:$Z,BB$5,0))))</f>
        <v/>
      </c>
      <c r="BC98" s="124" t="str">
        <f>IF(BC$6="","",IF(BC$3="Maior",iferror(VLOOKUP($R97,Capa!$A:$Z,BC$5,0),0),IF(ISERROR(1/VLOOKUP($R97,Capa!$A:$Z,BC$5,0)),0,1/VLOOKUP($R97,Capa!$A:$Z,BC$5,0))))</f>
        <v/>
      </c>
      <c r="BD98" s="124" t="str">
        <f>IF(BD$6="","",IF(BD$3="Maior",iferror(VLOOKUP($R97,Capa!$A:$Z,BD$5,0),0),IF(ISERROR(1/VLOOKUP($R97,Capa!$A:$Z,BD$5,0)),0,1/VLOOKUP($R97,Capa!$A:$Z,BD$5,0))))</f>
        <v/>
      </c>
      <c r="BE98" s="124" t="str">
        <f>IF(BE$6="","",IF(BE$3="Maior",iferror(VLOOKUP($R97,Capa!$A:$Z,BE$5,0),0),IF(ISERROR(1/VLOOKUP($R97,Capa!$A:$Z,BE$5,0)),0,1/VLOOKUP($R97,Capa!$A:$Z,BE$5,0))))</f>
        <v/>
      </c>
      <c r="BF98" s="124" t="str">
        <f>IF(BF$6="","",IF(BF$3="Maior",iferror(VLOOKUP($R97,Capa!$A:$Z,BF$5,0),0),IF(ISERROR(1/VLOOKUP($R97,Capa!$A:$Z,BF$5,0)),0,1/VLOOKUP($R97,Capa!$A:$Z,BF$5,0))))</f>
        <v/>
      </c>
      <c r="BG98" s="124" t="str">
        <f>IF(BG$6="","",IF(BG$3="Maior",iferror(VLOOKUP($R97,Capa!$A:$Z,BG$5,0),0),IF(ISERROR(1/VLOOKUP($R97,Capa!$A:$Z,BG$5,0)),0,1/VLOOKUP($R97,Capa!$A:$Z,BG$5,0))))</f>
        <v/>
      </c>
      <c r="BH98" s="124" t="str">
        <f>IF(BH$6="","",IF(BH$3="Maior",iferror(VLOOKUP($R97,Capa!$A:$Z,BH$5,0),0),IF(ISERROR(1/VLOOKUP($R97,Capa!$A:$Z,BH$5,0)),0,1/VLOOKUP($R97,Capa!$A:$Z,BH$5,0))))</f>
        <v/>
      </c>
      <c r="BI98" s="124" t="str">
        <f>IF(BI$6="","",IF(BI$3="Maior",iferror(VLOOKUP($R97,Capa!$A:$Z,BI$5,0),0),IF(ISERROR(1/VLOOKUP($R97,Capa!$A:$Z,BI$5,0)),0,1/VLOOKUP($R97,Capa!$A:$Z,BI$5,0))))</f>
        <v/>
      </c>
      <c r="BJ98" s="124" t="str">
        <f>IF(BJ$6="","",IF(BJ$3="Maior",iferror(VLOOKUP($R97,Capa!$A:$Z,BJ$5,0),0),IF(ISERROR(1/VLOOKUP($R97,Capa!$A:$Z,BJ$5,0)),0,1/VLOOKUP($R97,Capa!$A:$Z,BJ$5,0))))</f>
        <v/>
      </c>
      <c r="BK98" s="124" t="str">
        <f>IF(BK$6="","",IF(BK$3="Maior",iferror(VLOOKUP($R97,Capa!$A:$Z,BK$5,0),0),IF(ISERROR(1/VLOOKUP($R97,Capa!$A:$Z,BK$5,0)),0,1/VLOOKUP($R97,Capa!$A:$Z,BK$5,0))))</f>
        <v/>
      </c>
      <c r="BL98" s="124" t="str">
        <f>IF(BL$6="","",IF(BL$3="Maior",iferror(VLOOKUP($R97,Capa!$A:$Z,BL$5,0),0),IF(ISERROR(1/VLOOKUP($R97,Capa!$A:$Z,BL$5,0)),0,1/VLOOKUP($R97,Capa!$A:$Z,BL$5,0))))</f>
        <v/>
      </c>
      <c r="BM98" s="124" t="str">
        <f>IF(BM$6="","",IF(BM$3="Maior",iferror(VLOOKUP($R97,Capa!$A:$Z,BM$5,0),0),IF(ISERROR(1/VLOOKUP($R97,Capa!$A:$Z,BM$5,0)),0,1/VLOOKUP($R97,Capa!$A:$Z,BM$5,0))))</f>
        <v/>
      </c>
      <c r="BN98" s="124" t="str">
        <f>IF(BN$6="","",IF(BN$3="Maior",iferror(VLOOKUP($R97,Capa!$A:$Z,BN$5,0),0),IF(ISERROR(1/VLOOKUP($R97,Capa!$A:$Z,BN$5,0)),0,1/VLOOKUP($R97,Capa!$A:$Z,BN$5,0))))</f>
        <v/>
      </c>
      <c r="BO98" s="124" t="str">
        <f>IF(BO$6="","",IF(BO$3="Maior",iferror(VLOOKUP($R97,Capa!$A:$Z,BO$5,0),0),IF(ISERROR(1/VLOOKUP($R97,Capa!$A:$Z,BO$5,0)),0,1/VLOOKUP($R97,Capa!$A:$Z,BO$5,0))))</f>
        <v/>
      </c>
      <c r="BP98" s="124" t="str">
        <f>IF(BP$6="","",IF(BP$3="Maior",iferror(VLOOKUP($R97,Capa!$A:$Z,BP$5,0),0),IF(ISERROR(1/VLOOKUP($R97,Capa!$A:$Z,BP$5,0)),0,1/VLOOKUP($R97,Capa!$A:$Z,BP$5,0))))</f>
        <v/>
      </c>
      <c r="BQ98" s="124" t="str">
        <f>IF(BQ$6="","",IF(BQ$3="Maior",iferror(VLOOKUP($R97,Capa!$A:$Z,BQ$5,0),0),IF(ISERROR(1/VLOOKUP($R97,Capa!$A:$Z,BQ$5,0)),0,1/VLOOKUP($R97,Capa!$A:$Z,BQ$5,0))))</f>
        <v/>
      </c>
      <c r="BR98" s="125" t="str">
        <f>IF(BR$6="","",IF(BR$3="Maior",iferror(VLOOKUP($R97,Capa!$A:$Z,BR$5,0),0),IF(ISERROR(1/VLOOKUP($R97,Capa!$A:$Z,BR$5,0)),0,1/VLOOKUP($R97,Capa!$A:$Z,BR$5,0))))</f>
        <v/>
      </c>
      <c r="BS98" s="88"/>
    </row>
    <row r="99">
      <c r="G99" s="9"/>
      <c r="H99" s="7">
        <v>93.0</v>
      </c>
      <c r="I99" s="111" t="str">
        <f t="shared" si="7"/>
        <v>BCRI11</v>
      </c>
      <c r="J99" s="112" t="str">
        <f>VLOOKUP(I99,Capa!A:G,7,0)</f>
        <v>Recebíveis Imobiliários</v>
      </c>
      <c r="K99" s="113">
        <f t="shared" si="8"/>
        <v>0.8334475032</v>
      </c>
      <c r="L99" s="113">
        <f t="shared" si="9"/>
        <v>0.1398937153</v>
      </c>
      <c r="M99" s="113" t="str">
        <f t="shared" si="10"/>
        <v/>
      </c>
      <c r="N99" s="113" t="str">
        <f t="shared" si="11"/>
        <v/>
      </c>
      <c r="O99" s="114">
        <f t="shared" si="12"/>
        <v>532304.01</v>
      </c>
      <c r="P99" s="9"/>
      <c r="Q99" s="9"/>
      <c r="R99" s="115" t="s">
        <v>121</v>
      </c>
      <c r="S99" s="116">
        <f t="shared" si="13"/>
        <v>228.00894</v>
      </c>
      <c r="T99" s="117">
        <f>MID(VLOOKUP($R99,'Dados ClubeFII'!$A:$AU,23,0),3,100)/1</f>
        <v>1481843.9</v>
      </c>
      <c r="U99" s="118">
        <f t="shared" si="14"/>
        <v>88.0088</v>
      </c>
      <c r="V99" s="118">
        <f t="shared" si="15"/>
        <v>140.00014</v>
      </c>
      <c r="W99" s="118" t="str">
        <f t="shared" ref="W99:AS99" si="108">IF(AV99="","", RANK(AV99,AV$7:AV$405,0))</f>
        <v/>
      </c>
      <c r="X99" s="118" t="str">
        <f t="shared" si="108"/>
        <v/>
      </c>
      <c r="Y99" s="118" t="str">
        <f t="shared" si="108"/>
        <v/>
      </c>
      <c r="Z99" s="118" t="str">
        <f t="shared" si="108"/>
        <v/>
      </c>
      <c r="AA99" s="118" t="str">
        <f t="shared" si="108"/>
        <v/>
      </c>
      <c r="AB99" s="118" t="str">
        <f t="shared" si="108"/>
        <v/>
      </c>
      <c r="AC99" s="118" t="str">
        <f t="shared" si="108"/>
        <v/>
      </c>
      <c r="AD99" s="118" t="str">
        <f t="shared" si="108"/>
        <v/>
      </c>
      <c r="AE99" s="118" t="str">
        <f t="shared" si="108"/>
        <v/>
      </c>
      <c r="AF99" s="118" t="str">
        <f t="shared" si="108"/>
        <v/>
      </c>
      <c r="AG99" s="118" t="str">
        <f t="shared" si="108"/>
        <v/>
      </c>
      <c r="AH99" s="118" t="str">
        <f t="shared" si="108"/>
        <v/>
      </c>
      <c r="AI99" s="118" t="str">
        <f t="shared" si="108"/>
        <v/>
      </c>
      <c r="AJ99" s="118" t="str">
        <f t="shared" si="108"/>
        <v/>
      </c>
      <c r="AK99" s="118" t="str">
        <f t="shared" si="108"/>
        <v/>
      </c>
      <c r="AL99" s="118" t="str">
        <f t="shared" si="108"/>
        <v/>
      </c>
      <c r="AM99" s="118" t="str">
        <f t="shared" si="108"/>
        <v/>
      </c>
      <c r="AN99" s="118" t="str">
        <f t="shared" si="108"/>
        <v/>
      </c>
      <c r="AO99" s="118" t="str">
        <f t="shared" si="108"/>
        <v/>
      </c>
      <c r="AP99" s="118" t="str">
        <f t="shared" si="108"/>
        <v/>
      </c>
      <c r="AQ99" s="118" t="str">
        <f t="shared" si="108"/>
        <v/>
      </c>
      <c r="AR99" s="118" t="str">
        <f t="shared" si="108"/>
        <v/>
      </c>
      <c r="AS99" s="118" t="str">
        <f t="shared" si="108"/>
        <v/>
      </c>
      <c r="AT99" s="123">
        <f>IF(AT$6="","",IF(AT$3="Maior",iferror(VLOOKUP($R99,Capa!$A:$Z,AT$5,0),0),IF(ISERROR(1/VLOOKUP($R99,Capa!$A:$Z,AT$5,0)),0,1/VLOOKUP($R99,Capa!$A:$Z,AT$5,0))))</f>
        <v>1.214264092</v>
      </c>
      <c r="AU99" s="124">
        <f>IF(AU$6="","",IF(AU$3="Maior",iferror(VLOOKUP($R99,Capa!$A:$Z,AU$5,0),0),IF(ISERROR(1/VLOOKUP($R99,Capa!$A:$Z,AU$5,0)),0,1/VLOOKUP($R99,Capa!$A:$Z,AU$5,0))))</f>
        <v>0.08929996011</v>
      </c>
      <c r="AV99" s="124" t="str">
        <f>IF(AV$6="","",IF(AV$3="Maior",iferror(VLOOKUP($R98,Capa!$A:$Z,AV$5,0),0),IF(ISERROR(1/VLOOKUP($R98,Capa!$A:$Z,AV$5,0)),0,1/VLOOKUP($R98,Capa!$A:$Z,AV$5,0))))</f>
        <v/>
      </c>
      <c r="AW99" s="124" t="str">
        <f>IF(AW$6="","",IF(AW$3="Maior",iferror(VLOOKUP($R98,Capa!$A:$Z,AW$5,0),0),IF(ISERROR(1/VLOOKUP($R98,Capa!$A:$Z,AW$5,0)),0,1/VLOOKUP($R98,Capa!$A:$Z,AW$5,0))))</f>
        <v/>
      </c>
      <c r="AX99" s="124" t="str">
        <f>IF(AX$6="","",IF(AX$3="Maior",iferror(VLOOKUP($R98,Capa!$A:$Z,AX$5,0),0),IF(ISERROR(1/VLOOKUP($R98,Capa!$A:$Z,AX$5,0)),0,1/VLOOKUP($R98,Capa!$A:$Z,AX$5,0))))</f>
        <v/>
      </c>
      <c r="AY99" s="124" t="str">
        <f>IF(AY$6="","",IF(AY$3="Maior",iferror(VLOOKUP($R98,Capa!$A:$Z,AY$5,0),0),IF(ISERROR(1/VLOOKUP($R98,Capa!$A:$Z,AY$5,0)),0,1/VLOOKUP($R98,Capa!$A:$Z,AY$5,0))))</f>
        <v/>
      </c>
      <c r="AZ99" s="124" t="str">
        <f>IF(AZ$6="","",IF(AZ$3="Maior",iferror(VLOOKUP($R98,Capa!$A:$Z,AZ$5,0),0),IF(ISERROR(1/VLOOKUP($R98,Capa!$A:$Z,AZ$5,0)),0,1/VLOOKUP($R98,Capa!$A:$Z,AZ$5,0))))</f>
        <v/>
      </c>
      <c r="BA99" s="124" t="str">
        <f>IF(BA$6="","",IF(BA$3="Maior",iferror(VLOOKUP($R98,Capa!$A:$Z,BA$5,0),0),IF(ISERROR(1/VLOOKUP($R98,Capa!$A:$Z,BA$5,0)),0,1/VLOOKUP($R98,Capa!$A:$Z,BA$5,0))))</f>
        <v/>
      </c>
      <c r="BB99" s="124" t="str">
        <f>IF(BB$6="","",IF(BB$3="Maior",iferror(VLOOKUP($R98,Capa!$A:$Z,BB$5,0),0),IF(ISERROR(1/VLOOKUP($R98,Capa!$A:$Z,BB$5,0)),0,1/VLOOKUP($R98,Capa!$A:$Z,BB$5,0))))</f>
        <v/>
      </c>
      <c r="BC99" s="124" t="str">
        <f>IF(BC$6="","",IF(BC$3="Maior",iferror(VLOOKUP($R98,Capa!$A:$Z,BC$5,0),0),IF(ISERROR(1/VLOOKUP($R98,Capa!$A:$Z,BC$5,0)),0,1/VLOOKUP($R98,Capa!$A:$Z,BC$5,0))))</f>
        <v/>
      </c>
      <c r="BD99" s="124" t="str">
        <f>IF(BD$6="","",IF(BD$3="Maior",iferror(VLOOKUP($R98,Capa!$A:$Z,BD$5,0),0),IF(ISERROR(1/VLOOKUP($R98,Capa!$A:$Z,BD$5,0)),0,1/VLOOKUP($R98,Capa!$A:$Z,BD$5,0))))</f>
        <v/>
      </c>
      <c r="BE99" s="124" t="str">
        <f>IF(BE$6="","",IF(BE$3="Maior",iferror(VLOOKUP($R98,Capa!$A:$Z,BE$5,0),0),IF(ISERROR(1/VLOOKUP($R98,Capa!$A:$Z,BE$5,0)),0,1/VLOOKUP($R98,Capa!$A:$Z,BE$5,0))))</f>
        <v/>
      </c>
      <c r="BF99" s="124" t="str">
        <f>IF(BF$6="","",IF(BF$3="Maior",iferror(VLOOKUP($R98,Capa!$A:$Z,BF$5,0),0),IF(ISERROR(1/VLOOKUP($R98,Capa!$A:$Z,BF$5,0)),0,1/VLOOKUP($R98,Capa!$A:$Z,BF$5,0))))</f>
        <v/>
      </c>
      <c r="BG99" s="124" t="str">
        <f>IF(BG$6="","",IF(BG$3="Maior",iferror(VLOOKUP($R98,Capa!$A:$Z,BG$5,0),0),IF(ISERROR(1/VLOOKUP($R98,Capa!$A:$Z,BG$5,0)),0,1/VLOOKUP($R98,Capa!$A:$Z,BG$5,0))))</f>
        <v/>
      </c>
      <c r="BH99" s="124" t="str">
        <f>IF(BH$6="","",IF(BH$3="Maior",iferror(VLOOKUP($R98,Capa!$A:$Z,BH$5,0),0),IF(ISERROR(1/VLOOKUP($R98,Capa!$A:$Z,BH$5,0)),0,1/VLOOKUP($R98,Capa!$A:$Z,BH$5,0))))</f>
        <v/>
      </c>
      <c r="BI99" s="124" t="str">
        <f>IF(BI$6="","",IF(BI$3="Maior",iferror(VLOOKUP($R98,Capa!$A:$Z,BI$5,0),0),IF(ISERROR(1/VLOOKUP($R98,Capa!$A:$Z,BI$5,0)),0,1/VLOOKUP($R98,Capa!$A:$Z,BI$5,0))))</f>
        <v/>
      </c>
      <c r="BJ99" s="124" t="str">
        <f>IF(BJ$6="","",IF(BJ$3="Maior",iferror(VLOOKUP($R98,Capa!$A:$Z,BJ$5,0),0),IF(ISERROR(1/VLOOKUP($R98,Capa!$A:$Z,BJ$5,0)),0,1/VLOOKUP($R98,Capa!$A:$Z,BJ$5,0))))</f>
        <v/>
      </c>
      <c r="BK99" s="124" t="str">
        <f>IF(BK$6="","",IF(BK$3="Maior",iferror(VLOOKUP($R98,Capa!$A:$Z,BK$5,0),0),IF(ISERROR(1/VLOOKUP($R98,Capa!$A:$Z,BK$5,0)),0,1/VLOOKUP($R98,Capa!$A:$Z,BK$5,0))))</f>
        <v/>
      </c>
      <c r="BL99" s="124" t="str">
        <f>IF(BL$6="","",IF(BL$3="Maior",iferror(VLOOKUP($R98,Capa!$A:$Z,BL$5,0),0),IF(ISERROR(1/VLOOKUP($R98,Capa!$A:$Z,BL$5,0)),0,1/VLOOKUP($R98,Capa!$A:$Z,BL$5,0))))</f>
        <v/>
      </c>
      <c r="BM99" s="124" t="str">
        <f>IF(BM$6="","",IF(BM$3="Maior",iferror(VLOOKUP($R98,Capa!$A:$Z,BM$5,0),0),IF(ISERROR(1/VLOOKUP($R98,Capa!$A:$Z,BM$5,0)),0,1/VLOOKUP($R98,Capa!$A:$Z,BM$5,0))))</f>
        <v/>
      </c>
      <c r="BN99" s="124" t="str">
        <f>IF(BN$6="","",IF(BN$3="Maior",iferror(VLOOKUP($R98,Capa!$A:$Z,BN$5,0),0),IF(ISERROR(1/VLOOKUP($R98,Capa!$A:$Z,BN$5,0)),0,1/VLOOKUP($R98,Capa!$A:$Z,BN$5,0))))</f>
        <v/>
      </c>
      <c r="BO99" s="124" t="str">
        <f>IF(BO$6="","",IF(BO$3="Maior",iferror(VLOOKUP($R98,Capa!$A:$Z,BO$5,0),0),IF(ISERROR(1/VLOOKUP($R98,Capa!$A:$Z,BO$5,0)),0,1/VLOOKUP($R98,Capa!$A:$Z,BO$5,0))))</f>
        <v/>
      </c>
      <c r="BP99" s="124" t="str">
        <f>IF(BP$6="","",IF(BP$3="Maior",iferror(VLOOKUP($R98,Capa!$A:$Z,BP$5,0),0),IF(ISERROR(1/VLOOKUP($R98,Capa!$A:$Z,BP$5,0)),0,1/VLOOKUP($R98,Capa!$A:$Z,BP$5,0))))</f>
        <v/>
      </c>
      <c r="BQ99" s="124" t="str">
        <f>IF(BQ$6="","",IF(BQ$3="Maior",iferror(VLOOKUP($R98,Capa!$A:$Z,BQ$5,0),0),IF(ISERROR(1/VLOOKUP($R98,Capa!$A:$Z,BQ$5,0)),0,1/VLOOKUP($R98,Capa!$A:$Z,BQ$5,0))))</f>
        <v/>
      </c>
      <c r="BR99" s="125" t="str">
        <f>IF(BR$6="","",IF(BR$3="Maior",iferror(VLOOKUP($R98,Capa!$A:$Z,BR$5,0),0),IF(ISERROR(1/VLOOKUP($R98,Capa!$A:$Z,BR$5,0)),0,1/VLOOKUP($R98,Capa!$A:$Z,BR$5,0))))</f>
        <v/>
      </c>
      <c r="BS99" s="88"/>
    </row>
    <row r="100">
      <c r="G100" s="9"/>
      <c r="H100" s="7">
        <v>94.0</v>
      </c>
      <c r="I100" s="111" t="str">
        <f t="shared" si="7"/>
        <v>MFAI11</v>
      </c>
      <c r="J100" s="112" t="str">
        <f>VLOOKUP(I100,Capa!A:G,7,0)</f>
        <v>Fundo de Fundos</v>
      </c>
      <c r="K100" s="113">
        <f t="shared" si="8"/>
        <v>0.8356482289</v>
      </c>
      <c r="L100" s="113">
        <f t="shared" si="9"/>
        <v>0.1398452277</v>
      </c>
      <c r="M100" s="113" t="str">
        <f t="shared" si="10"/>
        <v/>
      </c>
      <c r="N100" s="113" t="str">
        <f t="shared" si="11"/>
        <v/>
      </c>
      <c r="O100" s="114">
        <f t="shared" si="12"/>
        <v>15774.54</v>
      </c>
      <c r="P100" s="9"/>
      <c r="Q100" s="9"/>
      <c r="R100" s="127" t="s">
        <v>137</v>
      </c>
      <c r="S100" s="116">
        <f t="shared" si="13"/>
        <v>139.002713</v>
      </c>
      <c r="T100" s="117">
        <f>MID(VLOOKUP($R100,'Dados ClubeFII'!$A:$AU,23,0),3,100)/1</f>
        <v>1027133.71</v>
      </c>
      <c r="U100" s="118">
        <f t="shared" si="14"/>
        <v>26.0026</v>
      </c>
      <c r="V100" s="118">
        <f t="shared" si="15"/>
        <v>113.000113</v>
      </c>
      <c r="W100" s="118" t="str">
        <f t="shared" ref="W100:AS100" si="109">IF(AV100="","", RANK(AV100,AV$7:AV$405,0))</f>
        <v/>
      </c>
      <c r="X100" s="118" t="str">
        <f t="shared" si="109"/>
        <v/>
      </c>
      <c r="Y100" s="118" t="str">
        <f t="shared" si="109"/>
        <v/>
      </c>
      <c r="Z100" s="118" t="str">
        <f t="shared" si="109"/>
        <v/>
      </c>
      <c r="AA100" s="118" t="str">
        <f t="shared" si="109"/>
        <v/>
      </c>
      <c r="AB100" s="118" t="str">
        <f t="shared" si="109"/>
        <v/>
      </c>
      <c r="AC100" s="118" t="str">
        <f t="shared" si="109"/>
        <v/>
      </c>
      <c r="AD100" s="118" t="str">
        <f t="shared" si="109"/>
        <v/>
      </c>
      <c r="AE100" s="118" t="str">
        <f t="shared" si="109"/>
        <v/>
      </c>
      <c r="AF100" s="118" t="str">
        <f t="shared" si="109"/>
        <v/>
      </c>
      <c r="AG100" s="118" t="str">
        <f t="shared" si="109"/>
        <v/>
      </c>
      <c r="AH100" s="118" t="str">
        <f t="shared" si="109"/>
        <v/>
      </c>
      <c r="AI100" s="118" t="str">
        <f t="shared" si="109"/>
        <v/>
      </c>
      <c r="AJ100" s="118" t="str">
        <f t="shared" si="109"/>
        <v/>
      </c>
      <c r="AK100" s="118" t="str">
        <f t="shared" si="109"/>
        <v/>
      </c>
      <c r="AL100" s="118" t="str">
        <f t="shared" si="109"/>
        <v/>
      </c>
      <c r="AM100" s="118" t="str">
        <f t="shared" si="109"/>
        <v/>
      </c>
      <c r="AN100" s="118" t="str">
        <f t="shared" si="109"/>
        <v/>
      </c>
      <c r="AO100" s="118" t="str">
        <f t="shared" si="109"/>
        <v/>
      </c>
      <c r="AP100" s="118" t="str">
        <f t="shared" si="109"/>
        <v/>
      </c>
      <c r="AQ100" s="118" t="str">
        <f t="shared" si="109"/>
        <v/>
      </c>
      <c r="AR100" s="118" t="str">
        <f t="shared" si="109"/>
        <v/>
      </c>
      <c r="AS100" s="118" t="str">
        <f t="shared" si="109"/>
        <v/>
      </c>
      <c r="AT100" s="123">
        <f>IF(AT$6="","",IF(AT$3="Maior",iferror(VLOOKUP($R100,Capa!$A:$Z,AT$5,0),0),IF(ISERROR(1/VLOOKUP($R100,Capa!$A:$Z,AT$5,0)),0,1/VLOOKUP($R100,Capa!$A:$Z,AT$5,0))))</f>
        <v>1.777783065</v>
      </c>
      <c r="AU100" s="124">
        <f>IF(AU$6="","",IF(AU$3="Maior",iferror(VLOOKUP($R100,Capa!$A:$Z,AU$5,0),0),IF(ISERROR(1/VLOOKUP($R100,Capa!$A:$Z,AU$5,0)),0,1/VLOOKUP($R100,Capa!$A:$Z,AU$5,0))))</f>
        <v>0.1038154807</v>
      </c>
      <c r="AV100" s="124" t="str">
        <f>IF(AV$6="","",IF(AV$3="Maior",iferror(VLOOKUP($R99,Capa!$A:$Z,AV$5,0),0),IF(ISERROR(1/VLOOKUP($R99,Capa!$A:$Z,AV$5,0)),0,1/VLOOKUP($R99,Capa!$A:$Z,AV$5,0))))</f>
        <v/>
      </c>
      <c r="AW100" s="124" t="str">
        <f>IF(AW$6="","",IF(AW$3="Maior",iferror(VLOOKUP($R99,Capa!$A:$Z,AW$5,0),0),IF(ISERROR(1/VLOOKUP($R99,Capa!$A:$Z,AW$5,0)),0,1/VLOOKUP($R99,Capa!$A:$Z,AW$5,0))))</f>
        <v/>
      </c>
      <c r="AX100" s="124" t="str">
        <f>IF(AX$6="","",IF(AX$3="Maior",iferror(VLOOKUP($R99,Capa!$A:$Z,AX$5,0),0),IF(ISERROR(1/VLOOKUP($R99,Capa!$A:$Z,AX$5,0)),0,1/VLOOKUP($R99,Capa!$A:$Z,AX$5,0))))</f>
        <v/>
      </c>
      <c r="AY100" s="124" t="str">
        <f>IF(AY$6="","",IF(AY$3="Maior",iferror(VLOOKUP($R99,Capa!$A:$Z,AY$5,0),0),IF(ISERROR(1/VLOOKUP($R99,Capa!$A:$Z,AY$5,0)),0,1/VLOOKUP($R99,Capa!$A:$Z,AY$5,0))))</f>
        <v/>
      </c>
      <c r="AZ100" s="124" t="str">
        <f>IF(AZ$6="","",IF(AZ$3="Maior",iferror(VLOOKUP($R99,Capa!$A:$Z,AZ$5,0),0),IF(ISERROR(1/VLOOKUP($R99,Capa!$A:$Z,AZ$5,0)),0,1/VLOOKUP($R99,Capa!$A:$Z,AZ$5,0))))</f>
        <v/>
      </c>
      <c r="BA100" s="124" t="str">
        <f>IF(BA$6="","",IF(BA$3="Maior",iferror(VLOOKUP($R99,Capa!$A:$Z,BA$5,0),0),IF(ISERROR(1/VLOOKUP($R99,Capa!$A:$Z,BA$5,0)),0,1/VLOOKUP($R99,Capa!$A:$Z,BA$5,0))))</f>
        <v/>
      </c>
      <c r="BB100" s="124" t="str">
        <f>IF(BB$6="","",IF(BB$3="Maior",iferror(VLOOKUP($R99,Capa!$A:$Z,BB$5,0),0),IF(ISERROR(1/VLOOKUP($R99,Capa!$A:$Z,BB$5,0)),0,1/VLOOKUP($R99,Capa!$A:$Z,BB$5,0))))</f>
        <v/>
      </c>
      <c r="BC100" s="124" t="str">
        <f>IF(BC$6="","",IF(BC$3="Maior",iferror(VLOOKUP($R99,Capa!$A:$Z,BC$5,0),0),IF(ISERROR(1/VLOOKUP($R99,Capa!$A:$Z,BC$5,0)),0,1/VLOOKUP($R99,Capa!$A:$Z,BC$5,0))))</f>
        <v/>
      </c>
      <c r="BD100" s="124" t="str">
        <f>IF(BD$6="","",IF(BD$3="Maior",iferror(VLOOKUP($R99,Capa!$A:$Z,BD$5,0),0),IF(ISERROR(1/VLOOKUP($R99,Capa!$A:$Z,BD$5,0)),0,1/VLOOKUP($R99,Capa!$A:$Z,BD$5,0))))</f>
        <v/>
      </c>
      <c r="BE100" s="124" t="str">
        <f>IF(BE$6="","",IF(BE$3="Maior",iferror(VLOOKUP($R99,Capa!$A:$Z,BE$5,0),0),IF(ISERROR(1/VLOOKUP($R99,Capa!$A:$Z,BE$5,0)),0,1/VLOOKUP($R99,Capa!$A:$Z,BE$5,0))))</f>
        <v/>
      </c>
      <c r="BF100" s="124" t="str">
        <f>IF(BF$6="","",IF(BF$3="Maior",iferror(VLOOKUP($R99,Capa!$A:$Z,BF$5,0),0),IF(ISERROR(1/VLOOKUP($R99,Capa!$A:$Z,BF$5,0)),0,1/VLOOKUP($R99,Capa!$A:$Z,BF$5,0))))</f>
        <v/>
      </c>
      <c r="BG100" s="124" t="str">
        <f>IF(BG$6="","",IF(BG$3="Maior",iferror(VLOOKUP($R99,Capa!$A:$Z,BG$5,0),0),IF(ISERROR(1/VLOOKUP($R99,Capa!$A:$Z,BG$5,0)),0,1/VLOOKUP($R99,Capa!$A:$Z,BG$5,0))))</f>
        <v/>
      </c>
      <c r="BH100" s="124" t="str">
        <f>IF(BH$6="","",IF(BH$3="Maior",iferror(VLOOKUP($R99,Capa!$A:$Z,BH$5,0),0),IF(ISERROR(1/VLOOKUP($R99,Capa!$A:$Z,BH$5,0)),0,1/VLOOKUP($R99,Capa!$A:$Z,BH$5,0))))</f>
        <v/>
      </c>
      <c r="BI100" s="124" t="str">
        <f>IF(BI$6="","",IF(BI$3="Maior",iferror(VLOOKUP($R99,Capa!$A:$Z,BI$5,0),0),IF(ISERROR(1/VLOOKUP($R99,Capa!$A:$Z,BI$5,0)),0,1/VLOOKUP($R99,Capa!$A:$Z,BI$5,0))))</f>
        <v/>
      </c>
      <c r="BJ100" s="124" t="str">
        <f>IF(BJ$6="","",IF(BJ$3="Maior",iferror(VLOOKUP($R99,Capa!$A:$Z,BJ$5,0),0),IF(ISERROR(1/VLOOKUP($R99,Capa!$A:$Z,BJ$5,0)),0,1/VLOOKUP($R99,Capa!$A:$Z,BJ$5,0))))</f>
        <v/>
      </c>
      <c r="BK100" s="124" t="str">
        <f>IF(BK$6="","",IF(BK$3="Maior",iferror(VLOOKUP($R99,Capa!$A:$Z,BK$5,0),0),IF(ISERROR(1/VLOOKUP($R99,Capa!$A:$Z,BK$5,0)),0,1/VLOOKUP($R99,Capa!$A:$Z,BK$5,0))))</f>
        <v/>
      </c>
      <c r="BL100" s="124" t="str">
        <f>IF(BL$6="","",IF(BL$3="Maior",iferror(VLOOKUP($R99,Capa!$A:$Z,BL$5,0),0),IF(ISERROR(1/VLOOKUP($R99,Capa!$A:$Z,BL$5,0)),0,1/VLOOKUP($R99,Capa!$A:$Z,BL$5,0))))</f>
        <v/>
      </c>
      <c r="BM100" s="124" t="str">
        <f>IF(BM$6="","",IF(BM$3="Maior",iferror(VLOOKUP($R99,Capa!$A:$Z,BM$5,0),0),IF(ISERROR(1/VLOOKUP($R99,Capa!$A:$Z,BM$5,0)),0,1/VLOOKUP($R99,Capa!$A:$Z,BM$5,0))))</f>
        <v/>
      </c>
      <c r="BN100" s="124" t="str">
        <f>IF(BN$6="","",IF(BN$3="Maior",iferror(VLOOKUP($R99,Capa!$A:$Z,BN$5,0),0),IF(ISERROR(1/VLOOKUP($R99,Capa!$A:$Z,BN$5,0)),0,1/VLOOKUP($R99,Capa!$A:$Z,BN$5,0))))</f>
        <v/>
      </c>
      <c r="BO100" s="124" t="str">
        <f>IF(BO$6="","",IF(BO$3="Maior",iferror(VLOOKUP($R99,Capa!$A:$Z,BO$5,0),0),IF(ISERROR(1/VLOOKUP($R99,Capa!$A:$Z,BO$5,0)),0,1/VLOOKUP($R99,Capa!$A:$Z,BO$5,0))))</f>
        <v/>
      </c>
      <c r="BP100" s="124" t="str">
        <f>IF(BP$6="","",IF(BP$3="Maior",iferror(VLOOKUP($R99,Capa!$A:$Z,BP$5,0),0),IF(ISERROR(1/VLOOKUP($R99,Capa!$A:$Z,BP$5,0)),0,1/VLOOKUP($R99,Capa!$A:$Z,BP$5,0))))</f>
        <v/>
      </c>
      <c r="BQ100" s="124" t="str">
        <f>IF(BQ$6="","",IF(BQ$3="Maior",iferror(VLOOKUP($R99,Capa!$A:$Z,BQ$5,0),0),IF(ISERROR(1/VLOOKUP($R99,Capa!$A:$Z,BQ$5,0)),0,1/VLOOKUP($R99,Capa!$A:$Z,BQ$5,0))))</f>
        <v/>
      </c>
      <c r="BR100" s="125" t="str">
        <f>IF(BR$6="","",IF(BR$3="Maior",iferror(VLOOKUP($R99,Capa!$A:$Z,BR$5,0),0),IF(ISERROR(1/VLOOKUP($R99,Capa!$A:$Z,BR$5,0)),0,1/VLOOKUP($R99,Capa!$A:$Z,BR$5,0))))</f>
        <v/>
      </c>
      <c r="BS100" s="88"/>
    </row>
    <row r="101">
      <c r="G101" s="9"/>
      <c r="H101" s="7">
        <v>95.0</v>
      </c>
      <c r="I101" s="129" t="str">
        <f t="shared" si="7"/>
        <v>RRCI11</v>
      </c>
      <c r="J101" s="112" t="str">
        <f>VLOOKUP(I101,Capa!A:G,7,0)</f>
        <v>Recebíveis Imobiliários</v>
      </c>
      <c r="K101" s="113">
        <f t="shared" si="8"/>
        <v>0.899457383</v>
      </c>
      <c r="L101" s="113">
        <f t="shared" si="9"/>
        <v>0.1598492197</v>
      </c>
      <c r="M101" s="113" t="str">
        <f t="shared" si="10"/>
        <v/>
      </c>
      <c r="N101" s="113" t="str">
        <f t="shared" si="11"/>
        <v/>
      </c>
      <c r="O101" s="114">
        <f t="shared" si="12"/>
        <v>66264.7</v>
      </c>
      <c r="P101" s="9"/>
      <c r="Q101" s="9"/>
      <c r="R101" s="127" t="s">
        <v>150</v>
      </c>
      <c r="S101" s="116">
        <f t="shared" si="13"/>
        <v>1227.006068</v>
      </c>
      <c r="T101" s="117">
        <f>MID(VLOOKUP($R101,'Dados ClubeFII'!$A:$AU,23,0),3,100)/1</f>
        <v>124945.87</v>
      </c>
      <c r="U101" s="118">
        <f t="shared" si="14"/>
        <v>59.0059</v>
      </c>
      <c r="V101" s="118">
        <f t="shared" si="15"/>
        <v>168.000168</v>
      </c>
      <c r="W101" s="118" t="str">
        <f t="shared" ref="W101:AS101" si="110">IF(AV101="","", RANK(AV101,AV$7:AV$405,0))</f>
        <v/>
      </c>
      <c r="X101" s="118" t="str">
        <f t="shared" si="110"/>
        <v/>
      </c>
      <c r="Y101" s="118" t="str">
        <f t="shared" si="110"/>
        <v/>
      </c>
      <c r="Z101" s="118" t="str">
        <f t="shared" si="110"/>
        <v/>
      </c>
      <c r="AA101" s="118" t="str">
        <f t="shared" si="110"/>
        <v/>
      </c>
      <c r="AB101" s="118" t="str">
        <f t="shared" si="110"/>
        <v/>
      </c>
      <c r="AC101" s="118" t="str">
        <f t="shared" si="110"/>
        <v/>
      </c>
      <c r="AD101" s="118" t="str">
        <f t="shared" si="110"/>
        <v/>
      </c>
      <c r="AE101" s="118" t="str">
        <f t="shared" si="110"/>
        <v/>
      </c>
      <c r="AF101" s="118" t="str">
        <f t="shared" si="110"/>
        <v/>
      </c>
      <c r="AG101" s="118" t="str">
        <f t="shared" si="110"/>
        <v/>
      </c>
      <c r="AH101" s="118" t="str">
        <f t="shared" si="110"/>
        <v/>
      </c>
      <c r="AI101" s="118" t="str">
        <f t="shared" si="110"/>
        <v/>
      </c>
      <c r="AJ101" s="118" t="str">
        <f t="shared" si="110"/>
        <v/>
      </c>
      <c r="AK101" s="118" t="str">
        <f t="shared" si="110"/>
        <v/>
      </c>
      <c r="AL101" s="118" t="str">
        <f t="shared" si="110"/>
        <v/>
      </c>
      <c r="AM101" s="118" t="str">
        <f t="shared" si="110"/>
        <v/>
      </c>
      <c r="AN101" s="118" t="str">
        <f t="shared" si="110"/>
        <v/>
      </c>
      <c r="AO101" s="118" t="str">
        <f t="shared" si="110"/>
        <v/>
      </c>
      <c r="AP101" s="118" t="str">
        <f t="shared" si="110"/>
        <v/>
      </c>
      <c r="AQ101" s="118" t="str">
        <f t="shared" si="110"/>
        <v/>
      </c>
      <c r="AR101" s="118" t="str">
        <f t="shared" si="110"/>
        <v/>
      </c>
      <c r="AS101" s="118" t="str">
        <f t="shared" si="110"/>
        <v/>
      </c>
      <c r="AT101" s="123">
        <f>IF(AT$6="","",IF(AT$3="Maior",iferror(VLOOKUP($R101,Capa!$A:$Z,AT$5,0),0),IF(ISERROR(1/VLOOKUP($R101,Capa!$A:$Z,AT$5,0)),0,1/VLOOKUP($R101,Capa!$A:$Z,AT$5,0))))</f>
        <v>1.344775542</v>
      </c>
      <c r="AU101" s="124">
        <f>IF(AU$6="","",IF(AU$3="Maior",iferror(VLOOKUP($R101,Capa!$A:$Z,AU$5,0),0),IF(ISERROR(1/VLOOKUP($R101,Capa!$A:$Z,AU$5,0)),0,1/VLOOKUP($R101,Capa!$A:$Z,AU$5,0))))</f>
        <v>0.06203343981</v>
      </c>
      <c r="AV101" s="124" t="str">
        <f>IF(AV$6="","",IF(AV$3="Maior",iferror(VLOOKUP($R100,Capa!$A:$Z,AV$5,0),0),IF(ISERROR(1/VLOOKUP($R100,Capa!$A:$Z,AV$5,0)),0,1/VLOOKUP($R100,Capa!$A:$Z,AV$5,0))))</f>
        <v/>
      </c>
      <c r="AW101" s="124" t="str">
        <f>IF(AW$6="","",IF(AW$3="Maior",iferror(VLOOKUP($R100,Capa!$A:$Z,AW$5,0),0),IF(ISERROR(1/VLOOKUP($R100,Capa!$A:$Z,AW$5,0)),0,1/VLOOKUP($R100,Capa!$A:$Z,AW$5,0))))</f>
        <v/>
      </c>
      <c r="AX101" s="124" t="str">
        <f>IF(AX$6="","",IF(AX$3="Maior",iferror(VLOOKUP($R100,Capa!$A:$Z,AX$5,0),0),IF(ISERROR(1/VLOOKUP($R100,Capa!$A:$Z,AX$5,0)),0,1/VLOOKUP($R100,Capa!$A:$Z,AX$5,0))))</f>
        <v/>
      </c>
      <c r="AY101" s="124" t="str">
        <f>IF(AY$6="","",IF(AY$3="Maior",iferror(VLOOKUP($R100,Capa!$A:$Z,AY$5,0),0),IF(ISERROR(1/VLOOKUP($R100,Capa!$A:$Z,AY$5,0)),0,1/VLOOKUP($R100,Capa!$A:$Z,AY$5,0))))</f>
        <v/>
      </c>
      <c r="AZ101" s="124" t="str">
        <f>IF(AZ$6="","",IF(AZ$3="Maior",iferror(VLOOKUP($R100,Capa!$A:$Z,AZ$5,0),0),IF(ISERROR(1/VLOOKUP($R100,Capa!$A:$Z,AZ$5,0)),0,1/VLOOKUP($R100,Capa!$A:$Z,AZ$5,0))))</f>
        <v/>
      </c>
      <c r="BA101" s="124" t="str">
        <f>IF(BA$6="","",IF(BA$3="Maior",iferror(VLOOKUP($R100,Capa!$A:$Z,BA$5,0),0),IF(ISERROR(1/VLOOKUP($R100,Capa!$A:$Z,BA$5,0)),0,1/VLOOKUP($R100,Capa!$A:$Z,BA$5,0))))</f>
        <v/>
      </c>
      <c r="BB101" s="124" t="str">
        <f>IF(BB$6="","",IF(BB$3="Maior",iferror(VLOOKUP($R100,Capa!$A:$Z,BB$5,0),0),IF(ISERROR(1/VLOOKUP($R100,Capa!$A:$Z,BB$5,0)),0,1/VLOOKUP($R100,Capa!$A:$Z,BB$5,0))))</f>
        <v/>
      </c>
      <c r="BC101" s="124" t="str">
        <f>IF(BC$6="","",IF(BC$3="Maior",iferror(VLOOKUP($R100,Capa!$A:$Z,BC$5,0),0),IF(ISERROR(1/VLOOKUP($R100,Capa!$A:$Z,BC$5,0)),0,1/VLOOKUP($R100,Capa!$A:$Z,BC$5,0))))</f>
        <v/>
      </c>
      <c r="BD101" s="124" t="str">
        <f>IF(BD$6="","",IF(BD$3="Maior",iferror(VLOOKUP($R100,Capa!$A:$Z,BD$5,0),0),IF(ISERROR(1/VLOOKUP($R100,Capa!$A:$Z,BD$5,0)),0,1/VLOOKUP($R100,Capa!$A:$Z,BD$5,0))))</f>
        <v/>
      </c>
      <c r="BE101" s="124" t="str">
        <f>IF(BE$6="","",IF(BE$3="Maior",iferror(VLOOKUP($R100,Capa!$A:$Z,BE$5,0),0),IF(ISERROR(1/VLOOKUP($R100,Capa!$A:$Z,BE$5,0)),0,1/VLOOKUP($R100,Capa!$A:$Z,BE$5,0))))</f>
        <v/>
      </c>
      <c r="BF101" s="124" t="str">
        <f>IF(BF$6="","",IF(BF$3="Maior",iferror(VLOOKUP($R100,Capa!$A:$Z,BF$5,0),0),IF(ISERROR(1/VLOOKUP($R100,Capa!$A:$Z,BF$5,0)),0,1/VLOOKUP($R100,Capa!$A:$Z,BF$5,0))))</f>
        <v/>
      </c>
      <c r="BG101" s="124" t="str">
        <f>IF(BG$6="","",IF(BG$3="Maior",iferror(VLOOKUP($R100,Capa!$A:$Z,BG$5,0),0),IF(ISERROR(1/VLOOKUP($R100,Capa!$A:$Z,BG$5,0)),0,1/VLOOKUP($R100,Capa!$A:$Z,BG$5,0))))</f>
        <v/>
      </c>
      <c r="BH101" s="124" t="str">
        <f>IF(BH$6="","",IF(BH$3="Maior",iferror(VLOOKUP($R100,Capa!$A:$Z,BH$5,0),0),IF(ISERROR(1/VLOOKUP($R100,Capa!$A:$Z,BH$5,0)),0,1/VLOOKUP($R100,Capa!$A:$Z,BH$5,0))))</f>
        <v/>
      </c>
      <c r="BI101" s="124" t="str">
        <f>IF(BI$6="","",IF(BI$3="Maior",iferror(VLOOKUP($R100,Capa!$A:$Z,BI$5,0),0),IF(ISERROR(1/VLOOKUP($R100,Capa!$A:$Z,BI$5,0)),0,1/VLOOKUP($R100,Capa!$A:$Z,BI$5,0))))</f>
        <v/>
      </c>
      <c r="BJ101" s="124" t="str">
        <f>IF(BJ$6="","",IF(BJ$3="Maior",iferror(VLOOKUP($R100,Capa!$A:$Z,BJ$5,0),0),IF(ISERROR(1/VLOOKUP($R100,Capa!$A:$Z,BJ$5,0)),0,1/VLOOKUP($R100,Capa!$A:$Z,BJ$5,0))))</f>
        <v/>
      </c>
      <c r="BK101" s="124" t="str">
        <f>IF(BK$6="","",IF(BK$3="Maior",iferror(VLOOKUP($R100,Capa!$A:$Z,BK$5,0),0),IF(ISERROR(1/VLOOKUP($R100,Capa!$A:$Z,BK$5,0)),0,1/VLOOKUP($R100,Capa!$A:$Z,BK$5,0))))</f>
        <v/>
      </c>
      <c r="BL101" s="124" t="str">
        <f>IF(BL$6="","",IF(BL$3="Maior",iferror(VLOOKUP($R100,Capa!$A:$Z,BL$5,0),0),IF(ISERROR(1/VLOOKUP($R100,Capa!$A:$Z,BL$5,0)),0,1/VLOOKUP($R100,Capa!$A:$Z,BL$5,0))))</f>
        <v/>
      </c>
      <c r="BM101" s="124" t="str">
        <f>IF(BM$6="","",IF(BM$3="Maior",iferror(VLOOKUP($R100,Capa!$A:$Z,BM$5,0),0),IF(ISERROR(1/VLOOKUP($R100,Capa!$A:$Z,BM$5,0)),0,1/VLOOKUP($R100,Capa!$A:$Z,BM$5,0))))</f>
        <v/>
      </c>
      <c r="BN101" s="124" t="str">
        <f>IF(BN$6="","",IF(BN$3="Maior",iferror(VLOOKUP($R100,Capa!$A:$Z,BN$5,0),0),IF(ISERROR(1/VLOOKUP($R100,Capa!$A:$Z,BN$5,0)),0,1/VLOOKUP($R100,Capa!$A:$Z,BN$5,0))))</f>
        <v/>
      </c>
      <c r="BO101" s="124" t="str">
        <f>IF(BO$6="","",IF(BO$3="Maior",iferror(VLOOKUP($R100,Capa!$A:$Z,BO$5,0),0),IF(ISERROR(1/VLOOKUP($R100,Capa!$A:$Z,BO$5,0)),0,1/VLOOKUP($R100,Capa!$A:$Z,BO$5,0))))</f>
        <v/>
      </c>
      <c r="BP101" s="124" t="str">
        <f>IF(BP$6="","",IF(BP$3="Maior",iferror(VLOOKUP($R100,Capa!$A:$Z,BP$5,0),0),IF(ISERROR(1/VLOOKUP($R100,Capa!$A:$Z,BP$5,0)),0,1/VLOOKUP($R100,Capa!$A:$Z,BP$5,0))))</f>
        <v/>
      </c>
      <c r="BQ101" s="124" t="str">
        <f>IF(BQ$6="","",IF(BQ$3="Maior",iferror(VLOOKUP($R100,Capa!$A:$Z,BQ$5,0),0),IF(ISERROR(1/VLOOKUP($R100,Capa!$A:$Z,BQ$5,0)),0,1/VLOOKUP($R100,Capa!$A:$Z,BQ$5,0))))</f>
        <v/>
      </c>
      <c r="BR101" s="125" t="str">
        <f>IF(BR$6="","",IF(BR$3="Maior",iferror(VLOOKUP($R100,Capa!$A:$Z,BR$5,0),0),IF(ISERROR(1/VLOOKUP($R100,Capa!$A:$Z,BR$5,0)),0,1/VLOOKUP($R100,Capa!$A:$Z,BR$5,0))))</f>
        <v/>
      </c>
      <c r="BS101" s="88"/>
    </row>
    <row r="102">
      <c r="G102" s="9"/>
      <c r="H102" s="7">
        <v>96.0</v>
      </c>
      <c r="I102" s="111" t="str">
        <f t="shared" si="7"/>
        <v>GTWR11</v>
      </c>
      <c r="J102" s="112" t="str">
        <f>VLOOKUP(I102,Capa!A:G,7,0)</f>
        <v>Lajes Comerciais</v>
      </c>
      <c r="K102" s="113">
        <f t="shared" si="8"/>
        <v>0.7991020408</v>
      </c>
      <c r="L102" s="113">
        <f t="shared" si="9"/>
        <v>0.1243730612</v>
      </c>
      <c r="M102" s="113" t="str">
        <f t="shared" si="10"/>
        <v/>
      </c>
      <c r="N102" s="113" t="str">
        <f t="shared" si="11"/>
        <v/>
      </c>
      <c r="O102" s="114">
        <f t="shared" si="12"/>
        <v>691770.05</v>
      </c>
      <c r="P102" s="9"/>
      <c r="Q102" s="9"/>
      <c r="R102" s="115" t="s">
        <v>111</v>
      </c>
      <c r="S102" s="116">
        <f t="shared" si="13"/>
        <v>1261.015705</v>
      </c>
      <c r="T102" s="117">
        <f>MID(VLOOKUP($R102,'Dados ClubeFII'!$A:$AU,23,0),3,100)/1</f>
        <v>59138.78</v>
      </c>
      <c r="U102" s="118">
        <f t="shared" si="14"/>
        <v>156.0156</v>
      </c>
      <c r="V102" s="118">
        <f t="shared" si="15"/>
        <v>105.000105</v>
      </c>
      <c r="W102" s="118" t="str">
        <f t="shared" ref="W102:AS102" si="111">IF(AV102="","", RANK(AV102,AV$7:AV$405,0))</f>
        <v/>
      </c>
      <c r="X102" s="118" t="str">
        <f t="shared" si="111"/>
        <v/>
      </c>
      <c r="Y102" s="118" t="str">
        <f t="shared" si="111"/>
        <v/>
      </c>
      <c r="Z102" s="118" t="str">
        <f t="shared" si="111"/>
        <v/>
      </c>
      <c r="AA102" s="118" t="str">
        <f t="shared" si="111"/>
        <v/>
      </c>
      <c r="AB102" s="118" t="str">
        <f t="shared" si="111"/>
        <v/>
      </c>
      <c r="AC102" s="118" t="str">
        <f t="shared" si="111"/>
        <v/>
      </c>
      <c r="AD102" s="118" t="str">
        <f t="shared" si="111"/>
        <v/>
      </c>
      <c r="AE102" s="118" t="str">
        <f t="shared" si="111"/>
        <v/>
      </c>
      <c r="AF102" s="118" t="str">
        <f t="shared" si="111"/>
        <v/>
      </c>
      <c r="AG102" s="118" t="str">
        <f t="shared" si="111"/>
        <v/>
      </c>
      <c r="AH102" s="118" t="str">
        <f t="shared" si="111"/>
        <v/>
      </c>
      <c r="AI102" s="118" t="str">
        <f t="shared" si="111"/>
        <v/>
      </c>
      <c r="AJ102" s="118" t="str">
        <f t="shared" si="111"/>
        <v/>
      </c>
      <c r="AK102" s="118" t="str">
        <f t="shared" si="111"/>
        <v/>
      </c>
      <c r="AL102" s="118" t="str">
        <f t="shared" si="111"/>
        <v/>
      </c>
      <c r="AM102" s="118" t="str">
        <f t="shared" si="111"/>
        <v/>
      </c>
      <c r="AN102" s="118" t="str">
        <f t="shared" si="111"/>
        <v/>
      </c>
      <c r="AO102" s="118" t="str">
        <f t="shared" si="111"/>
        <v/>
      </c>
      <c r="AP102" s="118" t="str">
        <f t="shared" si="111"/>
        <v/>
      </c>
      <c r="AQ102" s="118" t="str">
        <f t="shared" si="111"/>
        <v/>
      </c>
      <c r="AR102" s="118" t="str">
        <f t="shared" si="111"/>
        <v/>
      </c>
      <c r="AS102" s="118" t="str">
        <f t="shared" si="111"/>
        <v/>
      </c>
      <c r="AT102" s="123">
        <f>IF(AT$6="","",IF(AT$3="Maior",iferror(VLOOKUP($R102,Capa!$A:$Z,AT$5,0),0),IF(ISERROR(1/VLOOKUP($R102,Capa!$A:$Z,AT$5,0)),0,1/VLOOKUP($R102,Capa!$A:$Z,AT$5,0))))</f>
        <v>1.054875996</v>
      </c>
      <c r="AU102" s="124">
        <f>IF(AU$6="","",IF(AU$3="Maior",iferror(VLOOKUP($R102,Capa!$A:$Z,AU$5,0),0),IF(ISERROR(1/VLOOKUP($R102,Capa!$A:$Z,AU$5,0)),0,1/VLOOKUP($R102,Capa!$A:$Z,AU$5,0))))</f>
        <v>0.1075706383</v>
      </c>
      <c r="AV102" s="124" t="str">
        <f>IF(AV$6="","",IF(AV$3="Maior",iferror(VLOOKUP($R101,Capa!$A:$Z,AV$5,0),0),IF(ISERROR(1/VLOOKUP($R101,Capa!$A:$Z,AV$5,0)),0,1/VLOOKUP($R101,Capa!$A:$Z,AV$5,0))))</f>
        <v/>
      </c>
      <c r="AW102" s="124" t="str">
        <f>IF(AW$6="","",IF(AW$3="Maior",iferror(VLOOKUP($R101,Capa!$A:$Z,AW$5,0),0),IF(ISERROR(1/VLOOKUP($R101,Capa!$A:$Z,AW$5,0)),0,1/VLOOKUP($R101,Capa!$A:$Z,AW$5,0))))</f>
        <v/>
      </c>
      <c r="AX102" s="124" t="str">
        <f>IF(AX$6="","",IF(AX$3="Maior",iferror(VLOOKUP($R101,Capa!$A:$Z,AX$5,0),0),IF(ISERROR(1/VLOOKUP($R101,Capa!$A:$Z,AX$5,0)),0,1/VLOOKUP($R101,Capa!$A:$Z,AX$5,0))))</f>
        <v/>
      </c>
      <c r="AY102" s="124" t="str">
        <f>IF(AY$6="","",IF(AY$3="Maior",iferror(VLOOKUP($R101,Capa!$A:$Z,AY$5,0),0),IF(ISERROR(1/VLOOKUP($R101,Capa!$A:$Z,AY$5,0)),0,1/VLOOKUP($R101,Capa!$A:$Z,AY$5,0))))</f>
        <v/>
      </c>
      <c r="AZ102" s="124" t="str">
        <f>IF(AZ$6="","",IF(AZ$3="Maior",iferror(VLOOKUP($R101,Capa!$A:$Z,AZ$5,0),0),IF(ISERROR(1/VLOOKUP($R101,Capa!$A:$Z,AZ$5,0)),0,1/VLOOKUP($R101,Capa!$A:$Z,AZ$5,0))))</f>
        <v/>
      </c>
      <c r="BA102" s="124" t="str">
        <f>IF(BA$6="","",IF(BA$3="Maior",iferror(VLOOKUP($R101,Capa!$A:$Z,BA$5,0),0),IF(ISERROR(1/VLOOKUP($R101,Capa!$A:$Z,BA$5,0)),0,1/VLOOKUP($R101,Capa!$A:$Z,BA$5,0))))</f>
        <v/>
      </c>
      <c r="BB102" s="124" t="str">
        <f>IF(BB$6="","",IF(BB$3="Maior",iferror(VLOOKUP($R101,Capa!$A:$Z,BB$5,0),0),IF(ISERROR(1/VLOOKUP($R101,Capa!$A:$Z,BB$5,0)),0,1/VLOOKUP($R101,Capa!$A:$Z,BB$5,0))))</f>
        <v/>
      </c>
      <c r="BC102" s="124" t="str">
        <f>IF(BC$6="","",IF(BC$3="Maior",iferror(VLOOKUP($R101,Capa!$A:$Z,BC$5,0),0),IF(ISERROR(1/VLOOKUP($R101,Capa!$A:$Z,BC$5,0)),0,1/VLOOKUP($R101,Capa!$A:$Z,BC$5,0))))</f>
        <v/>
      </c>
      <c r="BD102" s="124" t="str">
        <f>IF(BD$6="","",IF(BD$3="Maior",iferror(VLOOKUP($R101,Capa!$A:$Z,BD$5,0),0),IF(ISERROR(1/VLOOKUP($R101,Capa!$A:$Z,BD$5,0)),0,1/VLOOKUP($R101,Capa!$A:$Z,BD$5,0))))</f>
        <v/>
      </c>
      <c r="BE102" s="124" t="str">
        <f>IF(BE$6="","",IF(BE$3="Maior",iferror(VLOOKUP($R101,Capa!$A:$Z,BE$5,0),0),IF(ISERROR(1/VLOOKUP($R101,Capa!$A:$Z,BE$5,0)),0,1/VLOOKUP($R101,Capa!$A:$Z,BE$5,0))))</f>
        <v/>
      </c>
      <c r="BF102" s="124" t="str">
        <f>IF(BF$6="","",IF(BF$3="Maior",iferror(VLOOKUP($R101,Capa!$A:$Z,BF$5,0),0),IF(ISERROR(1/VLOOKUP($R101,Capa!$A:$Z,BF$5,0)),0,1/VLOOKUP($R101,Capa!$A:$Z,BF$5,0))))</f>
        <v/>
      </c>
      <c r="BG102" s="124" t="str">
        <f>IF(BG$6="","",IF(BG$3="Maior",iferror(VLOOKUP($R101,Capa!$A:$Z,BG$5,0),0),IF(ISERROR(1/VLOOKUP($R101,Capa!$A:$Z,BG$5,0)),0,1/VLOOKUP($R101,Capa!$A:$Z,BG$5,0))))</f>
        <v/>
      </c>
      <c r="BH102" s="124" t="str">
        <f>IF(BH$6="","",IF(BH$3="Maior",iferror(VLOOKUP($R101,Capa!$A:$Z,BH$5,0),0),IF(ISERROR(1/VLOOKUP($R101,Capa!$A:$Z,BH$5,0)),0,1/VLOOKUP($R101,Capa!$A:$Z,BH$5,0))))</f>
        <v/>
      </c>
      <c r="BI102" s="124" t="str">
        <f>IF(BI$6="","",IF(BI$3="Maior",iferror(VLOOKUP($R101,Capa!$A:$Z,BI$5,0),0),IF(ISERROR(1/VLOOKUP($R101,Capa!$A:$Z,BI$5,0)),0,1/VLOOKUP($R101,Capa!$A:$Z,BI$5,0))))</f>
        <v/>
      </c>
      <c r="BJ102" s="124" t="str">
        <f>IF(BJ$6="","",IF(BJ$3="Maior",iferror(VLOOKUP($R101,Capa!$A:$Z,BJ$5,0),0),IF(ISERROR(1/VLOOKUP($R101,Capa!$A:$Z,BJ$5,0)),0,1/VLOOKUP($R101,Capa!$A:$Z,BJ$5,0))))</f>
        <v/>
      </c>
      <c r="BK102" s="124" t="str">
        <f>IF(BK$6="","",IF(BK$3="Maior",iferror(VLOOKUP($R101,Capa!$A:$Z,BK$5,0),0),IF(ISERROR(1/VLOOKUP($R101,Capa!$A:$Z,BK$5,0)),0,1/VLOOKUP($R101,Capa!$A:$Z,BK$5,0))))</f>
        <v/>
      </c>
      <c r="BL102" s="124" t="str">
        <f>IF(BL$6="","",IF(BL$3="Maior",iferror(VLOOKUP($R101,Capa!$A:$Z,BL$5,0),0),IF(ISERROR(1/VLOOKUP($R101,Capa!$A:$Z,BL$5,0)),0,1/VLOOKUP($R101,Capa!$A:$Z,BL$5,0))))</f>
        <v/>
      </c>
      <c r="BM102" s="124" t="str">
        <f>IF(BM$6="","",IF(BM$3="Maior",iferror(VLOOKUP($R101,Capa!$A:$Z,BM$5,0),0),IF(ISERROR(1/VLOOKUP($R101,Capa!$A:$Z,BM$5,0)),0,1/VLOOKUP($R101,Capa!$A:$Z,BM$5,0))))</f>
        <v/>
      </c>
      <c r="BN102" s="124" t="str">
        <f>IF(BN$6="","",IF(BN$3="Maior",iferror(VLOOKUP($R101,Capa!$A:$Z,BN$5,0),0),IF(ISERROR(1/VLOOKUP($R101,Capa!$A:$Z,BN$5,0)),0,1/VLOOKUP($R101,Capa!$A:$Z,BN$5,0))))</f>
        <v/>
      </c>
      <c r="BO102" s="124" t="str">
        <f>IF(BO$6="","",IF(BO$3="Maior",iferror(VLOOKUP($R101,Capa!$A:$Z,BO$5,0),0),IF(ISERROR(1/VLOOKUP($R101,Capa!$A:$Z,BO$5,0)),0,1/VLOOKUP($R101,Capa!$A:$Z,BO$5,0))))</f>
        <v/>
      </c>
      <c r="BP102" s="124" t="str">
        <f>IF(BP$6="","",IF(BP$3="Maior",iferror(VLOOKUP($R101,Capa!$A:$Z,BP$5,0),0),IF(ISERROR(1/VLOOKUP($R101,Capa!$A:$Z,BP$5,0)),0,1/VLOOKUP($R101,Capa!$A:$Z,BP$5,0))))</f>
        <v/>
      </c>
      <c r="BQ102" s="124" t="str">
        <f>IF(BQ$6="","",IF(BQ$3="Maior",iferror(VLOOKUP($R101,Capa!$A:$Z,BQ$5,0),0),IF(ISERROR(1/VLOOKUP($R101,Capa!$A:$Z,BQ$5,0)),0,1/VLOOKUP($R101,Capa!$A:$Z,BQ$5,0))))</f>
        <v/>
      </c>
      <c r="BR102" s="125" t="str">
        <f>IF(BR$6="","",IF(BR$3="Maior",iferror(VLOOKUP($R101,Capa!$A:$Z,BR$5,0),0),IF(ISERROR(1/VLOOKUP($R101,Capa!$A:$Z,BR$5,0)),0,1/VLOOKUP($R101,Capa!$A:$Z,BR$5,0))))</f>
        <v/>
      </c>
      <c r="BS102" s="88"/>
    </row>
    <row r="103">
      <c r="G103" s="9"/>
      <c r="H103" s="7">
        <v>97.0</v>
      </c>
      <c r="I103" s="111" t="str">
        <f t="shared" si="7"/>
        <v>RBFF11</v>
      </c>
      <c r="J103" s="112" t="str">
        <f>VLOOKUP(I103,Capa!A:G,7,0)</f>
        <v>Fundo de Fundos</v>
      </c>
      <c r="K103" s="113">
        <f t="shared" si="8"/>
        <v>0.7717950273</v>
      </c>
      <c r="L103" s="113">
        <f t="shared" si="9"/>
        <v>0.1184070346</v>
      </c>
      <c r="M103" s="113" t="str">
        <f t="shared" si="10"/>
        <v/>
      </c>
      <c r="N103" s="113" t="str">
        <f t="shared" si="11"/>
        <v/>
      </c>
      <c r="O103" s="114">
        <f t="shared" si="12"/>
        <v>247572.99</v>
      </c>
      <c r="P103" s="9"/>
      <c r="Q103" s="9"/>
      <c r="R103" s="127" t="s">
        <v>133</v>
      </c>
      <c r="S103" s="116">
        <f t="shared" si="13"/>
        <v>153.002628</v>
      </c>
      <c r="T103" s="117">
        <f>MID(VLOOKUP($R103,'Dados ClubeFII'!$A:$AU,23,0),3,100)/1</f>
        <v>2598015.79</v>
      </c>
      <c r="U103" s="118">
        <f t="shared" si="14"/>
        <v>25.0025</v>
      </c>
      <c r="V103" s="118">
        <f t="shared" si="15"/>
        <v>128.000128</v>
      </c>
      <c r="W103" s="118" t="str">
        <f t="shared" ref="W103:AS103" si="112">IF(AV103="","", RANK(AV103,AV$7:AV$405,0))</f>
        <v/>
      </c>
      <c r="X103" s="118" t="str">
        <f t="shared" si="112"/>
        <v/>
      </c>
      <c r="Y103" s="118" t="str">
        <f t="shared" si="112"/>
        <v/>
      </c>
      <c r="Z103" s="118" t="str">
        <f t="shared" si="112"/>
        <v/>
      </c>
      <c r="AA103" s="118" t="str">
        <f t="shared" si="112"/>
        <v/>
      </c>
      <c r="AB103" s="118" t="str">
        <f t="shared" si="112"/>
        <v/>
      </c>
      <c r="AC103" s="118" t="str">
        <f t="shared" si="112"/>
        <v/>
      </c>
      <c r="AD103" s="118" t="str">
        <f t="shared" si="112"/>
        <v/>
      </c>
      <c r="AE103" s="118" t="str">
        <f t="shared" si="112"/>
        <v/>
      </c>
      <c r="AF103" s="118" t="str">
        <f t="shared" si="112"/>
        <v/>
      </c>
      <c r="AG103" s="118" t="str">
        <f t="shared" si="112"/>
        <v/>
      </c>
      <c r="AH103" s="118" t="str">
        <f t="shared" si="112"/>
        <v/>
      </c>
      <c r="AI103" s="118" t="str">
        <f t="shared" si="112"/>
        <v/>
      </c>
      <c r="AJ103" s="118" t="str">
        <f t="shared" si="112"/>
        <v/>
      </c>
      <c r="AK103" s="118" t="str">
        <f t="shared" si="112"/>
        <v/>
      </c>
      <c r="AL103" s="118" t="str">
        <f t="shared" si="112"/>
        <v/>
      </c>
      <c r="AM103" s="118" t="str">
        <f t="shared" si="112"/>
        <v/>
      </c>
      <c r="AN103" s="118" t="str">
        <f t="shared" si="112"/>
        <v/>
      </c>
      <c r="AO103" s="118" t="str">
        <f t="shared" si="112"/>
        <v/>
      </c>
      <c r="AP103" s="118" t="str">
        <f t="shared" si="112"/>
        <v/>
      </c>
      <c r="AQ103" s="118" t="str">
        <f t="shared" si="112"/>
        <v/>
      </c>
      <c r="AR103" s="118" t="str">
        <f t="shared" si="112"/>
        <v/>
      </c>
      <c r="AS103" s="118" t="str">
        <f t="shared" si="112"/>
        <v/>
      </c>
      <c r="AT103" s="123">
        <f>IF(AT$6="","",IF(AT$3="Maior",iferror(VLOOKUP($R103,Capa!$A:$Z,AT$5,0),0),IF(ISERROR(1/VLOOKUP($R103,Capa!$A:$Z,AT$5,0)),0,1/VLOOKUP($R103,Capa!$A:$Z,AT$5,0))))</f>
        <v>1.801021233</v>
      </c>
      <c r="AU103" s="124">
        <f>IF(AU$6="","",IF(AU$3="Maior",iferror(VLOOKUP($R103,Capa!$A:$Z,AU$5,0),0),IF(ISERROR(1/VLOOKUP($R103,Capa!$A:$Z,AU$5,0)),0,1/VLOOKUP($R103,Capa!$A:$Z,AU$5,0))))</f>
        <v>0.09320109044</v>
      </c>
      <c r="AV103" s="124" t="str">
        <f>IF(AV$6="","",IF(AV$3="Maior",iferror(VLOOKUP($R102,Capa!$A:$Z,AV$5,0),0),IF(ISERROR(1/VLOOKUP($R102,Capa!$A:$Z,AV$5,0)),0,1/VLOOKUP($R102,Capa!$A:$Z,AV$5,0))))</f>
        <v/>
      </c>
      <c r="AW103" s="124" t="str">
        <f>IF(AW$6="","",IF(AW$3="Maior",iferror(VLOOKUP($R102,Capa!$A:$Z,AW$5,0),0),IF(ISERROR(1/VLOOKUP($R102,Capa!$A:$Z,AW$5,0)),0,1/VLOOKUP($R102,Capa!$A:$Z,AW$5,0))))</f>
        <v/>
      </c>
      <c r="AX103" s="124" t="str">
        <f>IF(AX$6="","",IF(AX$3="Maior",iferror(VLOOKUP($R102,Capa!$A:$Z,AX$5,0),0),IF(ISERROR(1/VLOOKUP($R102,Capa!$A:$Z,AX$5,0)),0,1/VLOOKUP($R102,Capa!$A:$Z,AX$5,0))))</f>
        <v/>
      </c>
      <c r="AY103" s="124" t="str">
        <f>IF(AY$6="","",IF(AY$3="Maior",iferror(VLOOKUP($R102,Capa!$A:$Z,AY$5,0),0),IF(ISERROR(1/VLOOKUP($R102,Capa!$A:$Z,AY$5,0)),0,1/VLOOKUP($R102,Capa!$A:$Z,AY$5,0))))</f>
        <v/>
      </c>
      <c r="AZ103" s="124" t="str">
        <f>IF(AZ$6="","",IF(AZ$3="Maior",iferror(VLOOKUP($R102,Capa!$A:$Z,AZ$5,0),0),IF(ISERROR(1/VLOOKUP($R102,Capa!$A:$Z,AZ$5,0)),0,1/VLOOKUP($R102,Capa!$A:$Z,AZ$5,0))))</f>
        <v/>
      </c>
      <c r="BA103" s="124" t="str">
        <f>IF(BA$6="","",IF(BA$3="Maior",iferror(VLOOKUP($R102,Capa!$A:$Z,BA$5,0),0),IF(ISERROR(1/VLOOKUP($R102,Capa!$A:$Z,BA$5,0)),0,1/VLOOKUP($R102,Capa!$A:$Z,BA$5,0))))</f>
        <v/>
      </c>
      <c r="BB103" s="124" t="str">
        <f>IF(BB$6="","",IF(BB$3="Maior",iferror(VLOOKUP($R102,Capa!$A:$Z,BB$5,0),0),IF(ISERROR(1/VLOOKUP($R102,Capa!$A:$Z,BB$5,0)),0,1/VLOOKUP($R102,Capa!$A:$Z,BB$5,0))))</f>
        <v/>
      </c>
      <c r="BC103" s="124" t="str">
        <f>IF(BC$6="","",IF(BC$3="Maior",iferror(VLOOKUP($R102,Capa!$A:$Z,BC$5,0),0),IF(ISERROR(1/VLOOKUP($R102,Capa!$A:$Z,BC$5,0)),0,1/VLOOKUP($R102,Capa!$A:$Z,BC$5,0))))</f>
        <v/>
      </c>
      <c r="BD103" s="124" t="str">
        <f>IF(BD$6="","",IF(BD$3="Maior",iferror(VLOOKUP($R102,Capa!$A:$Z,BD$5,0),0),IF(ISERROR(1/VLOOKUP($R102,Capa!$A:$Z,BD$5,0)),0,1/VLOOKUP($R102,Capa!$A:$Z,BD$5,0))))</f>
        <v/>
      </c>
      <c r="BE103" s="124" t="str">
        <f>IF(BE$6="","",IF(BE$3="Maior",iferror(VLOOKUP($R102,Capa!$A:$Z,BE$5,0),0),IF(ISERROR(1/VLOOKUP($R102,Capa!$A:$Z,BE$5,0)),0,1/VLOOKUP($R102,Capa!$A:$Z,BE$5,0))))</f>
        <v/>
      </c>
      <c r="BF103" s="124" t="str">
        <f>IF(BF$6="","",IF(BF$3="Maior",iferror(VLOOKUP($R102,Capa!$A:$Z,BF$5,0),0),IF(ISERROR(1/VLOOKUP($R102,Capa!$A:$Z,BF$5,0)),0,1/VLOOKUP($R102,Capa!$A:$Z,BF$5,0))))</f>
        <v/>
      </c>
      <c r="BG103" s="124" t="str">
        <f>IF(BG$6="","",IF(BG$3="Maior",iferror(VLOOKUP($R102,Capa!$A:$Z,BG$5,0),0),IF(ISERROR(1/VLOOKUP($R102,Capa!$A:$Z,BG$5,0)),0,1/VLOOKUP($R102,Capa!$A:$Z,BG$5,0))))</f>
        <v/>
      </c>
      <c r="BH103" s="124" t="str">
        <f>IF(BH$6="","",IF(BH$3="Maior",iferror(VLOOKUP($R102,Capa!$A:$Z,BH$5,0),0),IF(ISERROR(1/VLOOKUP($R102,Capa!$A:$Z,BH$5,0)),0,1/VLOOKUP($R102,Capa!$A:$Z,BH$5,0))))</f>
        <v/>
      </c>
      <c r="BI103" s="124" t="str">
        <f>IF(BI$6="","",IF(BI$3="Maior",iferror(VLOOKUP($R102,Capa!$A:$Z,BI$5,0),0),IF(ISERROR(1/VLOOKUP($R102,Capa!$A:$Z,BI$5,0)),0,1/VLOOKUP($R102,Capa!$A:$Z,BI$5,0))))</f>
        <v/>
      </c>
      <c r="BJ103" s="124" t="str">
        <f>IF(BJ$6="","",IF(BJ$3="Maior",iferror(VLOOKUP($R102,Capa!$A:$Z,BJ$5,0),0),IF(ISERROR(1/VLOOKUP($R102,Capa!$A:$Z,BJ$5,0)),0,1/VLOOKUP($R102,Capa!$A:$Z,BJ$5,0))))</f>
        <v/>
      </c>
      <c r="BK103" s="124" t="str">
        <f>IF(BK$6="","",IF(BK$3="Maior",iferror(VLOOKUP($R102,Capa!$A:$Z,BK$5,0),0),IF(ISERROR(1/VLOOKUP($R102,Capa!$A:$Z,BK$5,0)),0,1/VLOOKUP($R102,Capa!$A:$Z,BK$5,0))))</f>
        <v/>
      </c>
      <c r="BL103" s="124" t="str">
        <f>IF(BL$6="","",IF(BL$3="Maior",iferror(VLOOKUP($R102,Capa!$A:$Z,BL$5,0),0),IF(ISERROR(1/VLOOKUP($R102,Capa!$A:$Z,BL$5,0)),0,1/VLOOKUP($R102,Capa!$A:$Z,BL$5,0))))</f>
        <v/>
      </c>
      <c r="BM103" s="124" t="str">
        <f>IF(BM$6="","",IF(BM$3="Maior",iferror(VLOOKUP($R102,Capa!$A:$Z,BM$5,0),0),IF(ISERROR(1/VLOOKUP($R102,Capa!$A:$Z,BM$5,0)),0,1/VLOOKUP($R102,Capa!$A:$Z,BM$5,0))))</f>
        <v/>
      </c>
      <c r="BN103" s="124" t="str">
        <f>IF(BN$6="","",IF(BN$3="Maior",iferror(VLOOKUP($R102,Capa!$A:$Z,BN$5,0),0),IF(ISERROR(1/VLOOKUP($R102,Capa!$A:$Z,BN$5,0)),0,1/VLOOKUP($R102,Capa!$A:$Z,BN$5,0))))</f>
        <v/>
      </c>
      <c r="BO103" s="124" t="str">
        <f>IF(BO$6="","",IF(BO$3="Maior",iferror(VLOOKUP($R102,Capa!$A:$Z,BO$5,0),0),IF(ISERROR(1/VLOOKUP($R102,Capa!$A:$Z,BO$5,0)),0,1/VLOOKUP($R102,Capa!$A:$Z,BO$5,0))))</f>
        <v/>
      </c>
      <c r="BP103" s="124" t="str">
        <f>IF(BP$6="","",IF(BP$3="Maior",iferror(VLOOKUP($R102,Capa!$A:$Z,BP$5,0),0),IF(ISERROR(1/VLOOKUP($R102,Capa!$A:$Z,BP$5,0)),0,1/VLOOKUP($R102,Capa!$A:$Z,BP$5,0))))</f>
        <v/>
      </c>
      <c r="BQ103" s="124" t="str">
        <f>IF(BQ$6="","",IF(BQ$3="Maior",iferror(VLOOKUP($R102,Capa!$A:$Z,BQ$5,0),0),IF(ISERROR(1/VLOOKUP($R102,Capa!$A:$Z,BQ$5,0)),0,1/VLOOKUP($R102,Capa!$A:$Z,BQ$5,0))))</f>
        <v/>
      </c>
      <c r="BR103" s="125" t="str">
        <f>IF(BR$6="","",IF(BR$3="Maior",iferror(VLOOKUP($R102,Capa!$A:$Z,BR$5,0),0),IF(ISERROR(1/VLOOKUP($R102,Capa!$A:$Z,BR$5,0)),0,1/VLOOKUP($R102,Capa!$A:$Z,BR$5,0))))</f>
        <v/>
      </c>
      <c r="BS103" s="88"/>
    </row>
    <row r="104">
      <c r="G104" s="9"/>
      <c r="H104" s="7">
        <v>98.0</v>
      </c>
      <c r="I104" s="111" t="str">
        <f t="shared" si="7"/>
        <v>FIGS11</v>
      </c>
      <c r="J104" s="112" t="str">
        <f>VLOOKUP(I104,Capa!A:G,7,0)</f>
        <v>Shopping/Varejo</v>
      </c>
      <c r="K104" s="113">
        <f t="shared" si="8"/>
        <v>0.6161313088</v>
      </c>
      <c r="L104" s="113">
        <f t="shared" si="9"/>
        <v>0.09969206587</v>
      </c>
      <c r="M104" s="113" t="str">
        <f t="shared" si="10"/>
        <v/>
      </c>
      <c r="N104" s="113" t="str">
        <f t="shared" si="11"/>
        <v/>
      </c>
      <c r="O104" s="114">
        <f t="shared" si="12"/>
        <v>110727.48</v>
      </c>
      <c r="P104" s="9"/>
      <c r="Q104" s="9"/>
      <c r="R104" s="115" t="s">
        <v>110</v>
      </c>
      <c r="S104" s="116">
        <f t="shared" si="13"/>
        <v>1138.003306</v>
      </c>
      <c r="T104" s="117">
        <f>MID(VLOOKUP($R104,'Dados ClubeFII'!$A:$AU,23,0),3,100)/1</f>
        <v>867273.95</v>
      </c>
      <c r="U104" s="118">
        <f t="shared" si="14"/>
        <v>32.0032</v>
      </c>
      <c r="V104" s="118">
        <f t="shared" si="15"/>
        <v>106.000106</v>
      </c>
      <c r="W104" s="118" t="str">
        <f t="shared" ref="W104:AS104" si="113">IF(AV104="","", RANK(AV104,AV$7:AV$405,0))</f>
        <v/>
      </c>
      <c r="X104" s="118" t="str">
        <f t="shared" si="113"/>
        <v/>
      </c>
      <c r="Y104" s="118" t="str">
        <f t="shared" si="113"/>
        <v/>
      </c>
      <c r="Z104" s="118" t="str">
        <f t="shared" si="113"/>
        <v/>
      </c>
      <c r="AA104" s="118" t="str">
        <f t="shared" si="113"/>
        <v/>
      </c>
      <c r="AB104" s="118" t="str">
        <f t="shared" si="113"/>
        <v/>
      </c>
      <c r="AC104" s="118" t="str">
        <f t="shared" si="113"/>
        <v/>
      </c>
      <c r="AD104" s="118" t="str">
        <f t="shared" si="113"/>
        <v/>
      </c>
      <c r="AE104" s="118" t="str">
        <f t="shared" si="113"/>
        <v/>
      </c>
      <c r="AF104" s="118" t="str">
        <f t="shared" si="113"/>
        <v/>
      </c>
      <c r="AG104" s="118" t="str">
        <f t="shared" si="113"/>
        <v/>
      </c>
      <c r="AH104" s="118" t="str">
        <f t="shared" si="113"/>
        <v/>
      </c>
      <c r="AI104" s="118" t="str">
        <f t="shared" si="113"/>
        <v/>
      </c>
      <c r="AJ104" s="118" t="str">
        <f t="shared" si="113"/>
        <v/>
      </c>
      <c r="AK104" s="118" t="str">
        <f t="shared" si="113"/>
        <v/>
      </c>
      <c r="AL104" s="118" t="str">
        <f t="shared" si="113"/>
        <v/>
      </c>
      <c r="AM104" s="118" t="str">
        <f t="shared" si="113"/>
        <v/>
      </c>
      <c r="AN104" s="118" t="str">
        <f t="shared" si="113"/>
        <v/>
      </c>
      <c r="AO104" s="118" t="str">
        <f t="shared" si="113"/>
        <v/>
      </c>
      <c r="AP104" s="118" t="str">
        <f t="shared" si="113"/>
        <v/>
      </c>
      <c r="AQ104" s="118" t="str">
        <f t="shared" si="113"/>
        <v/>
      </c>
      <c r="AR104" s="118" t="str">
        <f t="shared" si="113"/>
        <v/>
      </c>
      <c r="AS104" s="118" t="str">
        <f t="shared" si="113"/>
        <v/>
      </c>
      <c r="AT104" s="123">
        <f>IF(AT$6="","",IF(AT$3="Maior",iferror(VLOOKUP($R104,Capa!$A:$Z,AT$5,0),0),IF(ISERROR(1/VLOOKUP($R104,Capa!$A:$Z,AT$5,0)),0,1/VLOOKUP($R104,Capa!$A:$Z,AT$5,0))))</f>
        <v>1.61637931</v>
      </c>
      <c r="AU104" s="124">
        <f>IF(AU$6="","",IF(AU$3="Maior",iferror(VLOOKUP($R104,Capa!$A:$Z,AU$5,0),0),IF(ISERROR(1/VLOOKUP($R104,Capa!$A:$Z,AU$5,0)),0,1/VLOOKUP($R104,Capa!$A:$Z,AU$5,0))))</f>
        <v>0.1072033333</v>
      </c>
      <c r="AV104" s="124" t="str">
        <f>IF(AV$6="","",IF(AV$3="Maior",iferror(VLOOKUP($R103,Capa!$A:$Z,AV$5,0),0),IF(ISERROR(1/VLOOKUP($R103,Capa!$A:$Z,AV$5,0)),0,1/VLOOKUP($R103,Capa!$A:$Z,AV$5,0))))</f>
        <v/>
      </c>
      <c r="AW104" s="124" t="str">
        <f>IF(AW$6="","",IF(AW$3="Maior",iferror(VLOOKUP($R103,Capa!$A:$Z,AW$5,0),0),IF(ISERROR(1/VLOOKUP($R103,Capa!$A:$Z,AW$5,0)),0,1/VLOOKUP($R103,Capa!$A:$Z,AW$5,0))))</f>
        <v/>
      </c>
      <c r="AX104" s="124" t="str">
        <f>IF(AX$6="","",IF(AX$3="Maior",iferror(VLOOKUP($R103,Capa!$A:$Z,AX$5,0),0),IF(ISERROR(1/VLOOKUP($R103,Capa!$A:$Z,AX$5,0)),0,1/VLOOKUP($R103,Capa!$A:$Z,AX$5,0))))</f>
        <v/>
      </c>
      <c r="AY104" s="124" t="str">
        <f>IF(AY$6="","",IF(AY$3="Maior",iferror(VLOOKUP($R103,Capa!$A:$Z,AY$5,0),0),IF(ISERROR(1/VLOOKUP($R103,Capa!$A:$Z,AY$5,0)),0,1/VLOOKUP($R103,Capa!$A:$Z,AY$5,0))))</f>
        <v/>
      </c>
      <c r="AZ104" s="124" t="str">
        <f>IF(AZ$6="","",IF(AZ$3="Maior",iferror(VLOOKUP($R103,Capa!$A:$Z,AZ$5,0),0),IF(ISERROR(1/VLOOKUP($R103,Capa!$A:$Z,AZ$5,0)),0,1/VLOOKUP($R103,Capa!$A:$Z,AZ$5,0))))</f>
        <v/>
      </c>
      <c r="BA104" s="124" t="str">
        <f>IF(BA$6="","",IF(BA$3="Maior",iferror(VLOOKUP($R103,Capa!$A:$Z,BA$5,0),0),IF(ISERROR(1/VLOOKUP($R103,Capa!$A:$Z,BA$5,0)),0,1/VLOOKUP($R103,Capa!$A:$Z,BA$5,0))))</f>
        <v/>
      </c>
      <c r="BB104" s="124" t="str">
        <f>IF(BB$6="","",IF(BB$3="Maior",iferror(VLOOKUP($R103,Capa!$A:$Z,BB$5,0),0),IF(ISERROR(1/VLOOKUP($R103,Capa!$A:$Z,BB$5,0)),0,1/VLOOKUP($R103,Capa!$A:$Z,BB$5,0))))</f>
        <v/>
      </c>
      <c r="BC104" s="124" t="str">
        <f>IF(BC$6="","",IF(BC$3="Maior",iferror(VLOOKUP($R103,Capa!$A:$Z,BC$5,0),0),IF(ISERROR(1/VLOOKUP($R103,Capa!$A:$Z,BC$5,0)),0,1/VLOOKUP($R103,Capa!$A:$Z,BC$5,0))))</f>
        <v/>
      </c>
      <c r="BD104" s="124" t="str">
        <f>IF(BD$6="","",IF(BD$3="Maior",iferror(VLOOKUP($R103,Capa!$A:$Z,BD$5,0),0),IF(ISERROR(1/VLOOKUP($R103,Capa!$A:$Z,BD$5,0)),0,1/VLOOKUP($R103,Capa!$A:$Z,BD$5,0))))</f>
        <v/>
      </c>
      <c r="BE104" s="124" t="str">
        <f>IF(BE$6="","",IF(BE$3="Maior",iferror(VLOOKUP($R103,Capa!$A:$Z,BE$5,0),0),IF(ISERROR(1/VLOOKUP($R103,Capa!$A:$Z,BE$5,0)),0,1/VLOOKUP($R103,Capa!$A:$Z,BE$5,0))))</f>
        <v/>
      </c>
      <c r="BF104" s="124" t="str">
        <f>IF(BF$6="","",IF(BF$3="Maior",iferror(VLOOKUP($R103,Capa!$A:$Z,BF$5,0),0),IF(ISERROR(1/VLOOKUP($R103,Capa!$A:$Z,BF$5,0)),0,1/VLOOKUP($R103,Capa!$A:$Z,BF$5,0))))</f>
        <v/>
      </c>
      <c r="BG104" s="124" t="str">
        <f>IF(BG$6="","",IF(BG$3="Maior",iferror(VLOOKUP($R103,Capa!$A:$Z,BG$5,0),0),IF(ISERROR(1/VLOOKUP($R103,Capa!$A:$Z,BG$5,0)),0,1/VLOOKUP($R103,Capa!$A:$Z,BG$5,0))))</f>
        <v/>
      </c>
      <c r="BH104" s="124" t="str">
        <f>IF(BH$6="","",IF(BH$3="Maior",iferror(VLOOKUP($R103,Capa!$A:$Z,BH$5,0),0),IF(ISERROR(1/VLOOKUP($R103,Capa!$A:$Z,BH$5,0)),0,1/VLOOKUP($R103,Capa!$A:$Z,BH$5,0))))</f>
        <v/>
      </c>
      <c r="BI104" s="124" t="str">
        <f>IF(BI$6="","",IF(BI$3="Maior",iferror(VLOOKUP($R103,Capa!$A:$Z,BI$5,0),0),IF(ISERROR(1/VLOOKUP($R103,Capa!$A:$Z,BI$5,0)),0,1/VLOOKUP($R103,Capa!$A:$Z,BI$5,0))))</f>
        <v/>
      </c>
      <c r="BJ104" s="124" t="str">
        <f>IF(BJ$6="","",IF(BJ$3="Maior",iferror(VLOOKUP($R103,Capa!$A:$Z,BJ$5,0),0),IF(ISERROR(1/VLOOKUP($R103,Capa!$A:$Z,BJ$5,0)),0,1/VLOOKUP($R103,Capa!$A:$Z,BJ$5,0))))</f>
        <v/>
      </c>
      <c r="BK104" s="124" t="str">
        <f>IF(BK$6="","",IF(BK$3="Maior",iferror(VLOOKUP($R103,Capa!$A:$Z,BK$5,0),0),IF(ISERROR(1/VLOOKUP($R103,Capa!$A:$Z,BK$5,0)),0,1/VLOOKUP($R103,Capa!$A:$Z,BK$5,0))))</f>
        <v/>
      </c>
      <c r="BL104" s="124" t="str">
        <f>IF(BL$6="","",IF(BL$3="Maior",iferror(VLOOKUP($R103,Capa!$A:$Z,BL$5,0),0),IF(ISERROR(1/VLOOKUP($R103,Capa!$A:$Z,BL$5,0)),0,1/VLOOKUP($R103,Capa!$A:$Z,BL$5,0))))</f>
        <v/>
      </c>
      <c r="BM104" s="124" t="str">
        <f>IF(BM$6="","",IF(BM$3="Maior",iferror(VLOOKUP($R103,Capa!$A:$Z,BM$5,0),0),IF(ISERROR(1/VLOOKUP($R103,Capa!$A:$Z,BM$5,0)),0,1/VLOOKUP($R103,Capa!$A:$Z,BM$5,0))))</f>
        <v/>
      </c>
      <c r="BN104" s="124" t="str">
        <f>IF(BN$6="","",IF(BN$3="Maior",iferror(VLOOKUP($R103,Capa!$A:$Z,BN$5,0),0),IF(ISERROR(1/VLOOKUP($R103,Capa!$A:$Z,BN$5,0)),0,1/VLOOKUP($R103,Capa!$A:$Z,BN$5,0))))</f>
        <v/>
      </c>
      <c r="BO104" s="124" t="str">
        <f>IF(BO$6="","",IF(BO$3="Maior",iferror(VLOOKUP($R103,Capa!$A:$Z,BO$5,0),0),IF(ISERROR(1/VLOOKUP($R103,Capa!$A:$Z,BO$5,0)),0,1/VLOOKUP($R103,Capa!$A:$Z,BO$5,0))))</f>
        <v/>
      </c>
      <c r="BP104" s="124" t="str">
        <f>IF(BP$6="","",IF(BP$3="Maior",iferror(VLOOKUP($R103,Capa!$A:$Z,BP$5,0),0),IF(ISERROR(1/VLOOKUP($R103,Capa!$A:$Z,BP$5,0)),0,1/VLOOKUP($R103,Capa!$A:$Z,BP$5,0))))</f>
        <v/>
      </c>
      <c r="BQ104" s="124" t="str">
        <f>IF(BQ$6="","",IF(BQ$3="Maior",iferror(VLOOKUP($R103,Capa!$A:$Z,BQ$5,0),0),IF(ISERROR(1/VLOOKUP($R103,Capa!$A:$Z,BQ$5,0)),0,1/VLOOKUP($R103,Capa!$A:$Z,BQ$5,0))))</f>
        <v/>
      </c>
      <c r="BR104" s="125" t="str">
        <f>IF(BR$6="","",IF(BR$3="Maior",iferror(VLOOKUP($R103,Capa!$A:$Z,BR$5,0),0),IF(ISERROR(1/VLOOKUP($R103,Capa!$A:$Z,BR$5,0)),0,1/VLOOKUP($R103,Capa!$A:$Z,BR$5,0))))</f>
        <v/>
      </c>
      <c r="BS104" s="88"/>
    </row>
    <row r="105">
      <c r="G105" s="9"/>
      <c r="H105" s="7">
        <v>99.0</v>
      </c>
      <c r="I105" s="111" t="str">
        <f t="shared" si="7"/>
        <v>XPIN11</v>
      </c>
      <c r="J105" s="112" t="str">
        <f>VLOOKUP(I105,Capa!A:G,7,0)</f>
        <v>Logisticos</v>
      </c>
      <c r="K105" s="113">
        <f t="shared" si="8"/>
        <v>0.6834583274</v>
      </c>
      <c r="L105" s="113">
        <f t="shared" si="9"/>
        <v>0.1047969435</v>
      </c>
      <c r="M105" s="113" t="str">
        <f t="shared" si="10"/>
        <v/>
      </c>
      <c r="N105" s="113" t="str">
        <f t="shared" si="11"/>
        <v/>
      </c>
      <c r="O105" s="114">
        <f t="shared" si="12"/>
        <v>479542.34</v>
      </c>
      <c r="P105" s="9"/>
      <c r="Q105" s="9"/>
      <c r="R105" s="115" t="s">
        <v>139</v>
      </c>
      <c r="S105" s="116">
        <f t="shared" si="13"/>
        <v>273.015123</v>
      </c>
      <c r="T105" s="117">
        <f>MID(VLOOKUP($R105,'Dados ClubeFII'!$A:$AU,23,0),3,100)/1</f>
        <v>4120724.48</v>
      </c>
      <c r="U105" s="118">
        <f t="shared" si="14"/>
        <v>150.015</v>
      </c>
      <c r="V105" s="118">
        <f t="shared" si="15"/>
        <v>123.000123</v>
      </c>
      <c r="W105" s="118" t="str">
        <f t="shared" ref="W105:AS105" si="114">IF(AV105="","", RANK(AV105,AV$7:AV$405,0))</f>
        <v/>
      </c>
      <c r="X105" s="118" t="str">
        <f t="shared" si="114"/>
        <v/>
      </c>
      <c r="Y105" s="118" t="str">
        <f t="shared" si="114"/>
        <v/>
      </c>
      <c r="Z105" s="118" t="str">
        <f t="shared" si="114"/>
        <v/>
      </c>
      <c r="AA105" s="118" t="str">
        <f t="shared" si="114"/>
        <v/>
      </c>
      <c r="AB105" s="118" t="str">
        <f t="shared" si="114"/>
        <v/>
      </c>
      <c r="AC105" s="118" t="str">
        <f t="shared" si="114"/>
        <v/>
      </c>
      <c r="AD105" s="118" t="str">
        <f t="shared" si="114"/>
        <v/>
      </c>
      <c r="AE105" s="118" t="str">
        <f t="shared" si="114"/>
        <v/>
      </c>
      <c r="AF105" s="118" t="str">
        <f t="shared" si="114"/>
        <v/>
      </c>
      <c r="AG105" s="118" t="str">
        <f t="shared" si="114"/>
        <v/>
      </c>
      <c r="AH105" s="118" t="str">
        <f t="shared" si="114"/>
        <v/>
      </c>
      <c r="AI105" s="118" t="str">
        <f t="shared" si="114"/>
        <v/>
      </c>
      <c r="AJ105" s="118" t="str">
        <f t="shared" si="114"/>
        <v/>
      </c>
      <c r="AK105" s="118" t="str">
        <f t="shared" si="114"/>
        <v/>
      </c>
      <c r="AL105" s="118" t="str">
        <f t="shared" si="114"/>
        <v/>
      </c>
      <c r="AM105" s="118" t="str">
        <f t="shared" si="114"/>
        <v/>
      </c>
      <c r="AN105" s="118" t="str">
        <f t="shared" si="114"/>
        <v/>
      </c>
      <c r="AO105" s="118" t="str">
        <f t="shared" si="114"/>
        <v/>
      </c>
      <c r="AP105" s="118" t="str">
        <f t="shared" si="114"/>
        <v/>
      </c>
      <c r="AQ105" s="118" t="str">
        <f t="shared" si="114"/>
        <v/>
      </c>
      <c r="AR105" s="118" t="str">
        <f t="shared" si="114"/>
        <v/>
      </c>
      <c r="AS105" s="118" t="str">
        <f t="shared" si="114"/>
        <v/>
      </c>
      <c r="AT105" s="123">
        <f>IF(AT$6="","",IF(AT$3="Maior",iferror(VLOOKUP($R105,Capa!$A:$Z,AT$5,0),0),IF(ISERROR(1/VLOOKUP($R105,Capa!$A:$Z,AT$5,0)),0,1/VLOOKUP($R105,Capa!$A:$Z,AT$5,0))))</f>
        <v>1.066874573</v>
      </c>
      <c r="AU105" s="124">
        <f>IF(AU$6="","",IF(AU$3="Maior",iferror(VLOOKUP($R105,Capa!$A:$Z,AU$5,0),0),IF(ISERROR(1/VLOOKUP($R105,Capa!$A:$Z,AU$5,0)),0,1/VLOOKUP($R105,Capa!$A:$Z,AU$5,0))))</f>
        <v>0.09752088558</v>
      </c>
      <c r="AV105" s="124" t="str">
        <f>IF(AV$6="","",IF(AV$3="Maior",iferror(VLOOKUP($R104,Capa!$A:$Z,AV$5,0),0),IF(ISERROR(1/VLOOKUP($R104,Capa!$A:$Z,AV$5,0)),0,1/VLOOKUP($R104,Capa!$A:$Z,AV$5,0))))</f>
        <v/>
      </c>
      <c r="AW105" s="124" t="str">
        <f>IF(AW$6="","",IF(AW$3="Maior",iferror(VLOOKUP($R104,Capa!$A:$Z,AW$5,0),0),IF(ISERROR(1/VLOOKUP($R104,Capa!$A:$Z,AW$5,0)),0,1/VLOOKUP($R104,Capa!$A:$Z,AW$5,0))))</f>
        <v/>
      </c>
      <c r="AX105" s="124" t="str">
        <f>IF(AX$6="","",IF(AX$3="Maior",iferror(VLOOKUP($R104,Capa!$A:$Z,AX$5,0),0),IF(ISERROR(1/VLOOKUP($R104,Capa!$A:$Z,AX$5,0)),0,1/VLOOKUP($R104,Capa!$A:$Z,AX$5,0))))</f>
        <v/>
      </c>
      <c r="AY105" s="124" t="str">
        <f>IF(AY$6="","",IF(AY$3="Maior",iferror(VLOOKUP($R104,Capa!$A:$Z,AY$5,0),0),IF(ISERROR(1/VLOOKUP($R104,Capa!$A:$Z,AY$5,0)),0,1/VLOOKUP($R104,Capa!$A:$Z,AY$5,0))))</f>
        <v/>
      </c>
      <c r="AZ105" s="124" t="str">
        <f>IF(AZ$6="","",IF(AZ$3="Maior",iferror(VLOOKUP($R104,Capa!$A:$Z,AZ$5,0),0),IF(ISERROR(1/VLOOKUP($R104,Capa!$A:$Z,AZ$5,0)),0,1/VLOOKUP($R104,Capa!$A:$Z,AZ$5,0))))</f>
        <v/>
      </c>
      <c r="BA105" s="124" t="str">
        <f>IF(BA$6="","",IF(BA$3="Maior",iferror(VLOOKUP($R104,Capa!$A:$Z,BA$5,0),0),IF(ISERROR(1/VLOOKUP($R104,Capa!$A:$Z,BA$5,0)),0,1/VLOOKUP($R104,Capa!$A:$Z,BA$5,0))))</f>
        <v/>
      </c>
      <c r="BB105" s="124" t="str">
        <f>IF(BB$6="","",IF(BB$3="Maior",iferror(VLOOKUP($R104,Capa!$A:$Z,BB$5,0),0),IF(ISERROR(1/VLOOKUP($R104,Capa!$A:$Z,BB$5,0)),0,1/VLOOKUP($R104,Capa!$A:$Z,BB$5,0))))</f>
        <v/>
      </c>
      <c r="BC105" s="124" t="str">
        <f>IF(BC$6="","",IF(BC$3="Maior",iferror(VLOOKUP($R104,Capa!$A:$Z,BC$5,0),0),IF(ISERROR(1/VLOOKUP($R104,Capa!$A:$Z,BC$5,0)),0,1/VLOOKUP($R104,Capa!$A:$Z,BC$5,0))))</f>
        <v/>
      </c>
      <c r="BD105" s="124" t="str">
        <f>IF(BD$6="","",IF(BD$3="Maior",iferror(VLOOKUP($R104,Capa!$A:$Z,BD$5,0),0),IF(ISERROR(1/VLOOKUP($R104,Capa!$A:$Z,BD$5,0)),0,1/VLOOKUP($R104,Capa!$A:$Z,BD$5,0))))</f>
        <v/>
      </c>
      <c r="BE105" s="124" t="str">
        <f>IF(BE$6="","",IF(BE$3="Maior",iferror(VLOOKUP($R104,Capa!$A:$Z,BE$5,0),0),IF(ISERROR(1/VLOOKUP($R104,Capa!$A:$Z,BE$5,0)),0,1/VLOOKUP($R104,Capa!$A:$Z,BE$5,0))))</f>
        <v/>
      </c>
      <c r="BF105" s="124" t="str">
        <f>IF(BF$6="","",IF(BF$3="Maior",iferror(VLOOKUP($R104,Capa!$A:$Z,BF$5,0),0),IF(ISERROR(1/VLOOKUP($R104,Capa!$A:$Z,BF$5,0)),0,1/VLOOKUP($R104,Capa!$A:$Z,BF$5,0))))</f>
        <v/>
      </c>
      <c r="BG105" s="124" t="str">
        <f>IF(BG$6="","",IF(BG$3="Maior",iferror(VLOOKUP($R104,Capa!$A:$Z,BG$5,0),0),IF(ISERROR(1/VLOOKUP($R104,Capa!$A:$Z,BG$5,0)),0,1/VLOOKUP($R104,Capa!$A:$Z,BG$5,0))))</f>
        <v/>
      </c>
      <c r="BH105" s="124" t="str">
        <f>IF(BH$6="","",IF(BH$3="Maior",iferror(VLOOKUP($R104,Capa!$A:$Z,BH$5,0),0),IF(ISERROR(1/VLOOKUP($R104,Capa!$A:$Z,BH$5,0)),0,1/VLOOKUP($R104,Capa!$A:$Z,BH$5,0))))</f>
        <v/>
      </c>
      <c r="BI105" s="124" t="str">
        <f>IF(BI$6="","",IF(BI$3="Maior",iferror(VLOOKUP($R104,Capa!$A:$Z,BI$5,0),0),IF(ISERROR(1/VLOOKUP($R104,Capa!$A:$Z,BI$5,0)),0,1/VLOOKUP($R104,Capa!$A:$Z,BI$5,0))))</f>
        <v/>
      </c>
      <c r="BJ105" s="124" t="str">
        <f>IF(BJ$6="","",IF(BJ$3="Maior",iferror(VLOOKUP($R104,Capa!$A:$Z,BJ$5,0),0),IF(ISERROR(1/VLOOKUP($R104,Capa!$A:$Z,BJ$5,0)),0,1/VLOOKUP($R104,Capa!$A:$Z,BJ$5,0))))</f>
        <v/>
      </c>
      <c r="BK105" s="124" t="str">
        <f>IF(BK$6="","",IF(BK$3="Maior",iferror(VLOOKUP($R104,Capa!$A:$Z,BK$5,0),0),IF(ISERROR(1/VLOOKUP($R104,Capa!$A:$Z,BK$5,0)),0,1/VLOOKUP($R104,Capa!$A:$Z,BK$5,0))))</f>
        <v/>
      </c>
      <c r="BL105" s="124" t="str">
        <f>IF(BL$6="","",IF(BL$3="Maior",iferror(VLOOKUP($R104,Capa!$A:$Z,BL$5,0),0),IF(ISERROR(1/VLOOKUP($R104,Capa!$A:$Z,BL$5,0)),0,1/VLOOKUP($R104,Capa!$A:$Z,BL$5,0))))</f>
        <v/>
      </c>
      <c r="BM105" s="124" t="str">
        <f>IF(BM$6="","",IF(BM$3="Maior",iferror(VLOOKUP($R104,Capa!$A:$Z,BM$5,0),0),IF(ISERROR(1/VLOOKUP($R104,Capa!$A:$Z,BM$5,0)),0,1/VLOOKUP($R104,Capa!$A:$Z,BM$5,0))))</f>
        <v/>
      </c>
      <c r="BN105" s="124" t="str">
        <f>IF(BN$6="","",IF(BN$3="Maior",iferror(VLOOKUP($R104,Capa!$A:$Z,BN$5,0),0),IF(ISERROR(1/VLOOKUP($R104,Capa!$A:$Z,BN$5,0)),0,1/VLOOKUP($R104,Capa!$A:$Z,BN$5,0))))</f>
        <v/>
      </c>
      <c r="BO105" s="124" t="str">
        <f>IF(BO$6="","",IF(BO$3="Maior",iferror(VLOOKUP($R104,Capa!$A:$Z,BO$5,0),0),IF(ISERROR(1/VLOOKUP($R104,Capa!$A:$Z,BO$5,0)),0,1/VLOOKUP($R104,Capa!$A:$Z,BO$5,0))))</f>
        <v/>
      </c>
      <c r="BP105" s="124" t="str">
        <f>IF(BP$6="","",IF(BP$3="Maior",iferror(VLOOKUP($R104,Capa!$A:$Z,BP$5,0),0),IF(ISERROR(1/VLOOKUP($R104,Capa!$A:$Z,BP$5,0)),0,1/VLOOKUP($R104,Capa!$A:$Z,BP$5,0))))</f>
        <v/>
      </c>
      <c r="BQ105" s="124" t="str">
        <f>IF(BQ$6="","",IF(BQ$3="Maior",iferror(VLOOKUP($R104,Capa!$A:$Z,BQ$5,0),0),IF(ISERROR(1/VLOOKUP($R104,Capa!$A:$Z,BQ$5,0)),0,1/VLOOKUP($R104,Capa!$A:$Z,BQ$5,0))))</f>
        <v/>
      </c>
      <c r="BR105" s="125" t="str">
        <f>IF(BR$6="","",IF(BR$3="Maior",iferror(VLOOKUP($R104,Capa!$A:$Z,BR$5,0),0),IF(ISERROR(1/VLOOKUP($R104,Capa!$A:$Z,BR$5,0)),0,1/VLOOKUP($R104,Capa!$A:$Z,BR$5,0))))</f>
        <v/>
      </c>
      <c r="BS105" s="88"/>
    </row>
    <row r="106">
      <c r="G106" s="9"/>
      <c r="H106" s="7">
        <v>100.0</v>
      </c>
      <c r="I106" s="111" t="str">
        <f t="shared" si="7"/>
        <v>CPFF11</v>
      </c>
      <c r="J106" s="112" t="str">
        <f>VLOOKUP(I106,Capa!A:G,7,0)</f>
        <v>Fundo de Fundos</v>
      </c>
      <c r="K106" s="113">
        <f t="shared" si="8"/>
        <v>0.7443205342</v>
      </c>
      <c r="L106" s="113">
        <f t="shared" si="9"/>
        <v>0.1112663773</v>
      </c>
      <c r="M106" s="113" t="str">
        <f t="shared" si="10"/>
        <v/>
      </c>
      <c r="N106" s="113" t="str">
        <f t="shared" si="11"/>
        <v/>
      </c>
      <c r="O106" s="114">
        <f t="shared" si="12"/>
        <v>273575.24</v>
      </c>
      <c r="P106" s="9"/>
      <c r="Q106" s="9"/>
      <c r="R106" s="115" t="s">
        <v>109</v>
      </c>
      <c r="S106" s="116">
        <f t="shared" si="13"/>
        <v>205.009709</v>
      </c>
      <c r="T106" s="117">
        <f>MID(VLOOKUP($R106,'Dados ClubeFII'!$A:$AU,23,0),3,100)/1</f>
        <v>2409257.36</v>
      </c>
      <c r="U106" s="118">
        <f t="shared" si="14"/>
        <v>96.0096</v>
      </c>
      <c r="V106" s="118">
        <f t="shared" si="15"/>
        <v>109.000109</v>
      </c>
      <c r="W106" s="118" t="str">
        <f t="shared" ref="W106:AS106" si="115">IF(AV106="","", RANK(AV106,AV$7:AV$405,0))</f>
        <v/>
      </c>
      <c r="X106" s="118" t="str">
        <f t="shared" si="115"/>
        <v/>
      </c>
      <c r="Y106" s="118" t="str">
        <f t="shared" si="115"/>
        <v/>
      </c>
      <c r="Z106" s="118" t="str">
        <f t="shared" si="115"/>
        <v/>
      </c>
      <c r="AA106" s="118" t="str">
        <f t="shared" si="115"/>
        <v/>
      </c>
      <c r="AB106" s="118" t="str">
        <f t="shared" si="115"/>
        <v/>
      </c>
      <c r="AC106" s="118" t="str">
        <f t="shared" si="115"/>
        <v/>
      </c>
      <c r="AD106" s="118" t="str">
        <f t="shared" si="115"/>
        <v/>
      </c>
      <c r="AE106" s="118" t="str">
        <f t="shared" si="115"/>
        <v/>
      </c>
      <c r="AF106" s="118" t="str">
        <f t="shared" si="115"/>
        <v/>
      </c>
      <c r="AG106" s="118" t="str">
        <f t="shared" si="115"/>
        <v/>
      </c>
      <c r="AH106" s="118" t="str">
        <f t="shared" si="115"/>
        <v/>
      </c>
      <c r="AI106" s="118" t="str">
        <f t="shared" si="115"/>
        <v/>
      </c>
      <c r="AJ106" s="118" t="str">
        <f t="shared" si="115"/>
        <v/>
      </c>
      <c r="AK106" s="118" t="str">
        <f t="shared" si="115"/>
        <v/>
      </c>
      <c r="AL106" s="118" t="str">
        <f t="shared" si="115"/>
        <v/>
      </c>
      <c r="AM106" s="118" t="str">
        <f t="shared" si="115"/>
        <v/>
      </c>
      <c r="AN106" s="118" t="str">
        <f t="shared" si="115"/>
        <v/>
      </c>
      <c r="AO106" s="118" t="str">
        <f t="shared" si="115"/>
        <v/>
      </c>
      <c r="AP106" s="118" t="str">
        <f t="shared" si="115"/>
        <v/>
      </c>
      <c r="AQ106" s="118" t="str">
        <f t="shared" si="115"/>
        <v/>
      </c>
      <c r="AR106" s="118" t="str">
        <f t="shared" si="115"/>
        <v/>
      </c>
      <c r="AS106" s="118" t="str">
        <f t="shared" si="115"/>
        <v/>
      </c>
      <c r="AT106" s="123">
        <f>IF(AT$6="","",IF(AT$3="Maior",iferror(VLOOKUP($R106,Capa!$A:$Z,AT$5,0),0),IF(ISERROR(1/VLOOKUP($R106,Capa!$A:$Z,AT$5,0)),0,1/VLOOKUP($R106,Capa!$A:$Z,AT$5,0))))</f>
        <v>1.200694285</v>
      </c>
      <c r="AU106" s="124">
        <f>IF(AU$6="","",IF(AU$3="Maior",iferror(VLOOKUP($R106,Capa!$A:$Z,AU$5,0),0),IF(ISERROR(1/VLOOKUP($R106,Capa!$A:$Z,AU$5,0)),0,1/VLOOKUP($R106,Capa!$A:$Z,AU$5,0))))</f>
        <v>0.1047433201</v>
      </c>
      <c r="AV106" s="124" t="str">
        <f>IF(AV$6="","",IF(AV$3="Maior",iferror(VLOOKUP($R105,Capa!$A:$Z,AV$5,0),0),IF(ISERROR(1/VLOOKUP($R105,Capa!$A:$Z,AV$5,0)),0,1/VLOOKUP($R105,Capa!$A:$Z,AV$5,0))))</f>
        <v/>
      </c>
      <c r="AW106" s="124" t="str">
        <f>IF(AW$6="","",IF(AW$3="Maior",iferror(VLOOKUP($R105,Capa!$A:$Z,AW$5,0),0),IF(ISERROR(1/VLOOKUP($R105,Capa!$A:$Z,AW$5,0)),0,1/VLOOKUP($R105,Capa!$A:$Z,AW$5,0))))</f>
        <v/>
      </c>
      <c r="AX106" s="124" t="str">
        <f>IF(AX$6="","",IF(AX$3="Maior",iferror(VLOOKUP($R105,Capa!$A:$Z,AX$5,0),0),IF(ISERROR(1/VLOOKUP($R105,Capa!$A:$Z,AX$5,0)),0,1/VLOOKUP($R105,Capa!$A:$Z,AX$5,0))))</f>
        <v/>
      </c>
      <c r="AY106" s="124" t="str">
        <f>IF(AY$6="","",IF(AY$3="Maior",iferror(VLOOKUP($R105,Capa!$A:$Z,AY$5,0),0),IF(ISERROR(1/VLOOKUP($R105,Capa!$A:$Z,AY$5,0)),0,1/VLOOKUP($R105,Capa!$A:$Z,AY$5,0))))</f>
        <v/>
      </c>
      <c r="AZ106" s="124" t="str">
        <f>IF(AZ$6="","",IF(AZ$3="Maior",iferror(VLOOKUP($R105,Capa!$A:$Z,AZ$5,0),0),IF(ISERROR(1/VLOOKUP($R105,Capa!$A:$Z,AZ$5,0)),0,1/VLOOKUP($R105,Capa!$A:$Z,AZ$5,0))))</f>
        <v/>
      </c>
      <c r="BA106" s="124" t="str">
        <f>IF(BA$6="","",IF(BA$3="Maior",iferror(VLOOKUP($R105,Capa!$A:$Z,BA$5,0),0),IF(ISERROR(1/VLOOKUP($R105,Capa!$A:$Z,BA$5,0)),0,1/VLOOKUP($R105,Capa!$A:$Z,BA$5,0))))</f>
        <v/>
      </c>
      <c r="BB106" s="124" t="str">
        <f>IF(BB$6="","",IF(BB$3="Maior",iferror(VLOOKUP($R105,Capa!$A:$Z,BB$5,0),0),IF(ISERROR(1/VLOOKUP($R105,Capa!$A:$Z,BB$5,0)),0,1/VLOOKUP($R105,Capa!$A:$Z,BB$5,0))))</f>
        <v/>
      </c>
      <c r="BC106" s="124" t="str">
        <f>IF(BC$6="","",IF(BC$3="Maior",iferror(VLOOKUP($R105,Capa!$A:$Z,BC$5,0),0),IF(ISERROR(1/VLOOKUP($R105,Capa!$A:$Z,BC$5,0)),0,1/VLOOKUP($R105,Capa!$A:$Z,BC$5,0))))</f>
        <v/>
      </c>
      <c r="BD106" s="124" t="str">
        <f>IF(BD$6="","",IF(BD$3="Maior",iferror(VLOOKUP($R105,Capa!$A:$Z,BD$5,0),0),IF(ISERROR(1/VLOOKUP($R105,Capa!$A:$Z,BD$5,0)),0,1/VLOOKUP($R105,Capa!$A:$Z,BD$5,0))))</f>
        <v/>
      </c>
      <c r="BE106" s="124" t="str">
        <f>IF(BE$6="","",IF(BE$3="Maior",iferror(VLOOKUP($R105,Capa!$A:$Z,BE$5,0),0),IF(ISERROR(1/VLOOKUP($R105,Capa!$A:$Z,BE$5,0)),0,1/VLOOKUP($R105,Capa!$A:$Z,BE$5,0))))</f>
        <v/>
      </c>
      <c r="BF106" s="124" t="str">
        <f>IF(BF$6="","",IF(BF$3="Maior",iferror(VLOOKUP($R105,Capa!$A:$Z,BF$5,0),0),IF(ISERROR(1/VLOOKUP($R105,Capa!$A:$Z,BF$5,0)),0,1/VLOOKUP($R105,Capa!$A:$Z,BF$5,0))))</f>
        <v/>
      </c>
      <c r="BG106" s="124" t="str">
        <f>IF(BG$6="","",IF(BG$3="Maior",iferror(VLOOKUP($R105,Capa!$A:$Z,BG$5,0),0),IF(ISERROR(1/VLOOKUP($R105,Capa!$A:$Z,BG$5,0)),0,1/VLOOKUP($R105,Capa!$A:$Z,BG$5,0))))</f>
        <v/>
      </c>
      <c r="BH106" s="124" t="str">
        <f>IF(BH$6="","",IF(BH$3="Maior",iferror(VLOOKUP($R105,Capa!$A:$Z,BH$5,0),0),IF(ISERROR(1/VLOOKUP($R105,Capa!$A:$Z,BH$5,0)),0,1/VLOOKUP($R105,Capa!$A:$Z,BH$5,0))))</f>
        <v/>
      </c>
      <c r="BI106" s="124" t="str">
        <f>IF(BI$6="","",IF(BI$3="Maior",iferror(VLOOKUP($R105,Capa!$A:$Z,BI$5,0),0),IF(ISERROR(1/VLOOKUP($R105,Capa!$A:$Z,BI$5,0)),0,1/VLOOKUP($R105,Capa!$A:$Z,BI$5,0))))</f>
        <v/>
      </c>
      <c r="BJ106" s="124" t="str">
        <f>IF(BJ$6="","",IF(BJ$3="Maior",iferror(VLOOKUP($R105,Capa!$A:$Z,BJ$5,0),0),IF(ISERROR(1/VLOOKUP($R105,Capa!$A:$Z,BJ$5,0)),0,1/VLOOKUP($R105,Capa!$A:$Z,BJ$5,0))))</f>
        <v/>
      </c>
      <c r="BK106" s="124" t="str">
        <f>IF(BK$6="","",IF(BK$3="Maior",iferror(VLOOKUP($R105,Capa!$A:$Z,BK$5,0),0),IF(ISERROR(1/VLOOKUP($R105,Capa!$A:$Z,BK$5,0)),0,1/VLOOKUP($R105,Capa!$A:$Z,BK$5,0))))</f>
        <v/>
      </c>
      <c r="BL106" s="124" t="str">
        <f>IF(BL$6="","",IF(BL$3="Maior",iferror(VLOOKUP($R105,Capa!$A:$Z,BL$5,0),0),IF(ISERROR(1/VLOOKUP($R105,Capa!$A:$Z,BL$5,0)),0,1/VLOOKUP($R105,Capa!$A:$Z,BL$5,0))))</f>
        <v/>
      </c>
      <c r="BM106" s="124" t="str">
        <f>IF(BM$6="","",IF(BM$3="Maior",iferror(VLOOKUP($R105,Capa!$A:$Z,BM$5,0),0),IF(ISERROR(1/VLOOKUP($R105,Capa!$A:$Z,BM$5,0)),0,1/VLOOKUP($R105,Capa!$A:$Z,BM$5,0))))</f>
        <v/>
      </c>
      <c r="BN106" s="124" t="str">
        <f>IF(BN$6="","",IF(BN$3="Maior",iferror(VLOOKUP($R105,Capa!$A:$Z,BN$5,0),0),IF(ISERROR(1/VLOOKUP($R105,Capa!$A:$Z,BN$5,0)),0,1/VLOOKUP($R105,Capa!$A:$Z,BN$5,0))))</f>
        <v/>
      </c>
      <c r="BO106" s="124" t="str">
        <f>IF(BO$6="","",IF(BO$3="Maior",iferror(VLOOKUP($R105,Capa!$A:$Z,BO$5,0),0),IF(ISERROR(1/VLOOKUP($R105,Capa!$A:$Z,BO$5,0)),0,1/VLOOKUP($R105,Capa!$A:$Z,BO$5,0))))</f>
        <v/>
      </c>
      <c r="BP106" s="124" t="str">
        <f>IF(BP$6="","",IF(BP$3="Maior",iferror(VLOOKUP($R105,Capa!$A:$Z,BP$5,0),0),IF(ISERROR(1/VLOOKUP($R105,Capa!$A:$Z,BP$5,0)),0,1/VLOOKUP($R105,Capa!$A:$Z,BP$5,0))))</f>
        <v/>
      </c>
      <c r="BQ106" s="124" t="str">
        <f>IF(BQ$6="","",IF(BQ$3="Maior",iferror(VLOOKUP($R105,Capa!$A:$Z,BQ$5,0),0),IF(ISERROR(1/VLOOKUP($R105,Capa!$A:$Z,BQ$5,0)),0,1/VLOOKUP($R105,Capa!$A:$Z,BQ$5,0))))</f>
        <v/>
      </c>
      <c r="BR106" s="125" t="str">
        <f>IF(BR$6="","",IF(BR$3="Maior",iferror(VLOOKUP($R105,Capa!$A:$Z,BR$5,0),0),IF(ISERROR(1/VLOOKUP($R105,Capa!$A:$Z,BR$5,0)),0,1/VLOOKUP($R105,Capa!$A:$Z,BR$5,0))))</f>
        <v/>
      </c>
      <c r="BS106" s="88"/>
    </row>
    <row r="107">
      <c r="G107" s="9"/>
      <c r="H107" s="7">
        <v>101.0</v>
      </c>
      <c r="I107" s="129" t="str">
        <f t="shared" si="7"/>
        <v>BPFF11</v>
      </c>
      <c r="J107" s="112" t="str">
        <f>VLOOKUP(I107,Capa!A:G,7,0)</f>
        <v>Fundo de Fundos</v>
      </c>
      <c r="K107" s="113">
        <f t="shared" si="8"/>
        <v>0.8257766367</v>
      </c>
      <c r="L107" s="113">
        <f t="shared" si="9"/>
        <v>0.1255948652</v>
      </c>
      <c r="M107" s="113" t="str">
        <f t="shared" si="10"/>
        <v/>
      </c>
      <c r="N107" s="113" t="str">
        <f t="shared" si="11"/>
        <v/>
      </c>
      <c r="O107" s="114">
        <f t="shared" si="12"/>
        <v>266079.23</v>
      </c>
      <c r="P107" s="9"/>
      <c r="Q107" s="9"/>
      <c r="R107" s="127" t="s">
        <v>65</v>
      </c>
      <c r="S107" s="116">
        <f t="shared" si="13"/>
        <v>1177.005424</v>
      </c>
      <c r="T107" s="117">
        <f>MID(VLOOKUP($R107,'Dados ClubeFII'!$A:$AU,23,0),3,100)/1</f>
        <v>80710.6</v>
      </c>
      <c r="U107" s="118">
        <f t="shared" si="14"/>
        <v>53.0053</v>
      </c>
      <c r="V107" s="118">
        <f t="shared" si="15"/>
        <v>124.000124</v>
      </c>
      <c r="W107" s="118" t="str">
        <f t="shared" ref="W107:AS107" si="116">IF(AV107="","", RANK(AV107,AV$7:AV$405,0))</f>
        <v/>
      </c>
      <c r="X107" s="118" t="str">
        <f t="shared" si="116"/>
        <v/>
      </c>
      <c r="Y107" s="118" t="str">
        <f t="shared" si="116"/>
        <v/>
      </c>
      <c r="Z107" s="118" t="str">
        <f t="shared" si="116"/>
        <v/>
      </c>
      <c r="AA107" s="118" t="str">
        <f t="shared" si="116"/>
        <v/>
      </c>
      <c r="AB107" s="118" t="str">
        <f t="shared" si="116"/>
        <v/>
      </c>
      <c r="AC107" s="118" t="str">
        <f t="shared" si="116"/>
        <v/>
      </c>
      <c r="AD107" s="118" t="str">
        <f t="shared" si="116"/>
        <v/>
      </c>
      <c r="AE107" s="118" t="str">
        <f t="shared" si="116"/>
        <v/>
      </c>
      <c r="AF107" s="118" t="str">
        <f t="shared" si="116"/>
        <v/>
      </c>
      <c r="AG107" s="118" t="str">
        <f t="shared" si="116"/>
        <v/>
      </c>
      <c r="AH107" s="118" t="str">
        <f t="shared" si="116"/>
        <v/>
      </c>
      <c r="AI107" s="118" t="str">
        <f t="shared" si="116"/>
        <v/>
      </c>
      <c r="AJ107" s="118" t="str">
        <f t="shared" si="116"/>
        <v/>
      </c>
      <c r="AK107" s="118" t="str">
        <f t="shared" si="116"/>
        <v/>
      </c>
      <c r="AL107" s="118" t="str">
        <f t="shared" si="116"/>
        <v/>
      </c>
      <c r="AM107" s="118" t="str">
        <f t="shared" si="116"/>
        <v/>
      </c>
      <c r="AN107" s="118" t="str">
        <f t="shared" si="116"/>
        <v/>
      </c>
      <c r="AO107" s="118" t="str">
        <f t="shared" si="116"/>
        <v/>
      </c>
      <c r="AP107" s="118" t="str">
        <f t="shared" si="116"/>
        <v/>
      </c>
      <c r="AQ107" s="118" t="str">
        <f t="shared" si="116"/>
        <v/>
      </c>
      <c r="AR107" s="118" t="str">
        <f t="shared" si="116"/>
        <v/>
      </c>
      <c r="AS107" s="118" t="str">
        <f t="shared" si="116"/>
        <v/>
      </c>
      <c r="AT107" s="123">
        <f>IF(AT$6="","",IF(AT$3="Maior",iferror(VLOOKUP($R107,Capa!$A:$Z,AT$5,0),0),IF(ISERROR(1/VLOOKUP($R107,Capa!$A:$Z,AT$5,0)),0,1/VLOOKUP($R107,Capa!$A:$Z,AT$5,0))))</f>
        <v>1.385412171</v>
      </c>
      <c r="AU107" s="124">
        <f>IF(AU$6="","",IF(AU$3="Maior",iferror(VLOOKUP($R107,Capa!$A:$Z,AU$5,0),0),IF(ISERROR(1/VLOOKUP($R107,Capa!$A:$Z,AU$5,0)),0,1/VLOOKUP($R107,Capa!$A:$Z,AU$5,0))))</f>
        <v>0.09610342679</v>
      </c>
      <c r="AV107" s="124" t="str">
        <f>IF(AV$6="","",IF(AV$3="Maior",iferror(VLOOKUP($R106,Capa!$A:$Z,AV$5,0),0),IF(ISERROR(1/VLOOKUP($R106,Capa!$A:$Z,AV$5,0)),0,1/VLOOKUP($R106,Capa!$A:$Z,AV$5,0))))</f>
        <v/>
      </c>
      <c r="AW107" s="124" t="str">
        <f>IF(AW$6="","",IF(AW$3="Maior",iferror(VLOOKUP($R106,Capa!$A:$Z,AW$5,0),0),IF(ISERROR(1/VLOOKUP($R106,Capa!$A:$Z,AW$5,0)),0,1/VLOOKUP($R106,Capa!$A:$Z,AW$5,0))))</f>
        <v/>
      </c>
      <c r="AX107" s="124" t="str">
        <f>IF(AX$6="","",IF(AX$3="Maior",iferror(VLOOKUP($R106,Capa!$A:$Z,AX$5,0),0),IF(ISERROR(1/VLOOKUP($R106,Capa!$A:$Z,AX$5,0)),0,1/VLOOKUP($R106,Capa!$A:$Z,AX$5,0))))</f>
        <v/>
      </c>
      <c r="AY107" s="124" t="str">
        <f>IF(AY$6="","",IF(AY$3="Maior",iferror(VLOOKUP($R106,Capa!$A:$Z,AY$5,0),0),IF(ISERROR(1/VLOOKUP($R106,Capa!$A:$Z,AY$5,0)),0,1/VLOOKUP($R106,Capa!$A:$Z,AY$5,0))))</f>
        <v/>
      </c>
      <c r="AZ107" s="124" t="str">
        <f>IF(AZ$6="","",IF(AZ$3="Maior",iferror(VLOOKUP($R106,Capa!$A:$Z,AZ$5,0),0),IF(ISERROR(1/VLOOKUP($R106,Capa!$A:$Z,AZ$5,0)),0,1/VLOOKUP($R106,Capa!$A:$Z,AZ$5,0))))</f>
        <v/>
      </c>
      <c r="BA107" s="124" t="str">
        <f>IF(BA$6="","",IF(BA$3="Maior",iferror(VLOOKUP($R106,Capa!$A:$Z,BA$5,0),0),IF(ISERROR(1/VLOOKUP($R106,Capa!$A:$Z,BA$5,0)),0,1/VLOOKUP($R106,Capa!$A:$Z,BA$5,0))))</f>
        <v/>
      </c>
      <c r="BB107" s="124" t="str">
        <f>IF(BB$6="","",IF(BB$3="Maior",iferror(VLOOKUP($R106,Capa!$A:$Z,BB$5,0),0),IF(ISERROR(1/VLOOKUP($R106,Capa!$A:$Z,BB$5,0)),0,1/VLOOKUP($R106,Capa!$A:$Z,BB$5,0))))</f>
        <v/>
      </c>
      <c r="BC107" s="124" t="str">
        <f>IF(BC$6="","",IF(BC$3="Maior",iferror(VLOOKUP($R106,Capa!$A:$Z,BC$5,0),0),IF(ISERROR(1/VLOOKUP($R106,Capa!$A:$Z,BC$5,0)),0,1/VLOOKUP($R106,Capa!$A:$Z,BC$5,0))))</f>
        <v/>
      </c>
      <c r="BD107" s="124" t="str">
        <f>IF(BD$6="","",IF(BD$3="Maior",iferror(VLOOKUP($R106,Capa!$A:$Z,BD$5,0),0),IF(ISERROR(1/VLOOKUP($R106,Capa!$A:$Z,BD$5,0)),0,1/VLOOKUP($R106,Capa!$A:$Z,BD$5,0))))</f>
        <v/>
      </c>
      <c r="BE107" s="124" t="str">
        <f>IF(BE$6="","",IF(BE$3="Maior",iferror(VLOOKUP($R106,Capa!$A:$Z,BE$5,0),0),IF(ISERROR(1/VLOOKUP($R106,Capa!$A:$Z,BE$5,0)),0,1/VLOOKUP($R106,Capa!$A:$Z,BE$5,0))))</f>
        <v/>
      </c>
      <c r="BF107" s="124" t="str">
        <f>IF(BF$6="","",IF(BF$3="Maior",iferror(VLOOKUP($R106,Capa!$A:$Z,BF$5,0),0),IF(ISERROR(1/VLOOKUP($R106,Capa!$A:$Z,BF$5,0)),0,1/VLOOKUP($R106,Capa!$A:$Z,BF$5,0))))</f>
        <v/>
      </c>
      <c r="BG107" s="124" t="str">
        <f>IF(BG$6="","",IF(BG$3="Maior",iferror(VLOOKUP($R106,Capa!$A:$Z,BG$5,0),0),IF(ISERROR(1/VLOOKUP($R106,Capa!$A:$Z,BG$5,0)),0,1/VLOOKUP($R106,Capa!$A:$Z,BG$5,0))))</f>
        <v/>
      </c>
      <c r="BH107" s="124" t="str">
        <f>IF(BH$6="","",IF(BH$3="Maior",iferror(VLOOKUP($R106,Capa!$A:$Z,BH$5,0),0),IF(ISERROR(1/VLOOKUP($R106,Capa!$A:$Z,BH$5,0)),0,1/VLOOKUP($R106,Capa!$A:$Z,BH$5,0))))</f>
        <v/>
      </c>
      <c r="BI107" s="124" t="str">
        <f>IF(BI$6="","",IF(BI$3="Maior",iferror(VLOOKUP($R106,Capa!$A:$Z,BI$5,0),0),IF(ISERROR(1/VLOOKUP($R106,Capa!$A:$Z,BI$5,0)),0,1/VLOOKUP($R106,Capa!$A:$Z,BI$5,0))))</f>
        <v/>
      </c>
      <c r="BJ107" s="124" t="str">
        <f>IF(BJ$6="","",IF(BJ$3="Maior",iferror(VLOOKUP($R106,Capa!$A:$Z,BJ$5,0),0),IF(ISERROR(1/VLOOKUP($R106,Capa!$A:$Z,BJ$5,0)),0,1/VLOOKUP($R106,Capa!$A:$Z,BJ$5,0))))</f>
        <v/>
      </c>
      <c r="BK107" s="124" t="str">
        <f>IF(BK$6="","",IF(BK$3="Maior",iferror(VLOOKUP($R106,Capa!$A:$Z,BK$5,0),0),IF(ISERROR(1/VLOOKUP($R106,Capa!$A:$Z,BK$5,0)),0,1/VLOOKUP($R106,Capa!$A:$Z,BK$5,0))))</f>
        <v/>
      </c>
      <c r="BL107" s="124" t="str">
        <f>IF(BL$6="","",IF(BL$3="Maior",iferror(VLOOKUP($R106,Capa!$A:$Z,BL$5,0),0),IF(ISERROR(1/VLOOKUP($R106,Capa!$A:$Z,BL$5,0)),0,1/VLOOKUP($R106,Capa!$A:$Z,BL$5,0))))</f>
        <v/>
      </c>
      <c r="BM107" s="124" t="str">
        <f>IF(BM$6="","",IF(BM$3="Maior",iferror(VLOOKUP($R106,Capa!$A:$Z,BM$5,0),0),IF(ISERROR(1/VLOOKUP($R106,Capa!$A:$Z,BM$5,0)),0,1/VLOOKUP($R106,Capa!$A:$Z,BM$5,0))))</f>
        <v/>
      </c>
      <c r="BN107" s="124" t="str">
        <f>IF(BN$6="","",IF(BN$3="Maior",iferror(VLOOKUP($R106,Capa!$A:$Z,BN$5,0),0),IF(ISERROR(1/VLOOKUP($R106,Capa!$A:$Z,BN$5,0)),0,1/VLOOKUP($R106,Capa!$A:$Z,BN$5,0))))</f>
        <v/>
      </c>
      <c r="BO107" s="124" t="str">
        <f>IF(BO$6="","",IF(BO$3="Maior",iferror(VLOOKUP($R106,Capa!$A:$Z,BO$5,0),0),IF(ISERROR(1/VLOOKUP($R106,Capa!$A:$Z,BO$5,0)),0,1/VLOOKUP($R106,Capa!$A:$Z,BO$5,0))))</f>
        <v/>
      </c>
      <c r="BP107" s="124" t="str">
        <f>IF(BP$6="","",IF(BP$3="Maior",iferror(VLOOKUP($R106,Capa!$A:$Z,BP$5,0),0),IF(ISERROR(1/VLOOKUP($R106,Capa!$A:$Z,BP$5,0)),0,1/VLOOKUP($R106,Capa!$A:$Z,BP$5,0))))</f>
        <v/>
      </c>
      <c r="BQ107" s="124" t="str">
        <f>IF(BQ$6="","",IF(BQ$3="Maior",iferror(VLOOKUP($R106,Capa!$A:$Z,BQ$5,0),0),IF(ISERROR(1/VLOOKUP($R106,Capa!$A:$Z,BQ$5,0)),0,1/VLOOKUP($R106,Capa!$A:$Z,BQ$5,0))))</f>
        <v/>
      </c>
      <c r="BR107" s="125" t="str">
        <f>IF(BR$6="","",IF(BR$3="Maior",iferror(VLOOKUP($R106,Capa!$A:$Z,BR$5,0),0),IF(ISERROR(1/VLOOKUP($R106,Capa!$A:$Z,BR$5,0)),0,1/VLOOKUP($R106,Capa!$A:$Z,BR$5,0))))</f>
        <v/>
      </c>
      <c r="BS107" s="88"/>
    </row>
    <row r="108">
      <c r="G108" s="9"/>
      <c r="H108" s="7">
        <v>102.0</v>
      </c>
      <c r="I108" s="111" t="str">
        <f t="shared" si="7"/>
        <v>VOTS11</v>
      </c>
      <c r="J108" s="112" t="str">
        <f>VLOOKUP(I108,Capa!A:G,7,0)</f>
        <v>Recebíveis Imobiliários</v>
      </c>
      <c r="K108" s="113">
        <f t="shared" si="8"/>
        <v>0.9001505882</v>
      </c>
      <c r="L108" s="113">
        <f t="shared" si="9"/>
        <v>0.1510472471</v>
      </c>
      <c r="M108" s="113" t="str">
        <f t="shared" si="10"/>
        <v/>
      </c>
      <c r="N108" s="113" t="str">
        <f t="shared" si="11"/>
        <v/>
      </c>
      <c r="O108" s="114">
        <f t="shared" si="12"/>
        <v>5129.79</v>
      </c>
      <c r="P108" s="9"/>
      <c r="Q108" s="9"/>
      <c r="R108" s="127" t="s">
        <v>128</v>
      </c>
      <c r="S108" s="116">
        <f t="shared" si="13"/>
        <v>131.002111</v>
      </c>
      <c r="T108" s="117">
        <f>MID(VLOOKUP($R108,'Dados ClubeFII'!$A:$AU,23,0),3,100)/1</f>
        <v>1581770.75</v>
      </c>
      <c r="U108" s="118">
        <f t="shared" si="14"/>
        <v>20.002</v>
      </c>
      <c r="V108" s="118">
        <f t="shared" si="15"/>
        <v>111.000111</v>
      </c>
      <c r="W108" s="118" t="str">
        <f t="shared" ref="W108:AS108" si="117">IF(AV108="","", RANK(AV108,AV$7:AV$405,0))</f>
        <v/>
      </c>
      <c r="X108" s="118" t="str">
        <f t="shared" si="117"/>
        <v/>
      </c>
      <c r="Y108" s="118" t="str">
        <f t="shared" si="117"/>
        <v/>
      </c>
      <c r="Z108" s="118" t="str">
        <f t="shared" si="117"/>
        <v/>
      </c>
      <c r="AA108" s="118" t="str">
        <f t="shared" si="117"/>
        <v/>
      </c>
      <c r="AB108" s="118" t="str">
        <f t="shared" si="117"/>
        <v/>
      </c>
      <c r="AC108" s="118" t="str">
        <f t="shared" si="117"/>
        <v/>
      </c>
      <c r="AD108" s="118" t="str">
        <f t="shared" si="117"/>
        <v/>
      </c>
      <c r="AE108" s="118" t="str">
        <f t="shared" si="117"/>
        <v/>
      </c>
      <c r="AF108" s="118" t="str">
        <f t="shared" si="117"/>
        <v/>
      </c>
      <c r="AG108" s="118" t="str">
        <f t="shared" si="117"/>
        <v/>
      </c>
      <c r="AH108" s="118" t="str">
        <f t="shared" si="117"/>
        <v/>
      </c>
      <c r="AI108" s="118" t="str">
        <f t="shared" si="117"/>
        <v/>
      </c>
      <c r="AJ108" s="118" t="str">
        <f t="shared" si="117"/>
        <v/>
      </c>
      <c r="AK108" s="118" t="str">
        <f t="shared" si="117"/>
        <v/>
      </c>
      <c r="AL108" s="118" t="str">
        <f t="shared" si="117"/>
        <v/>
      </c>
      <c r="AM108" s="118" t="str">
        <f t="shared" si="117"/>
        <v/>
      </c>
      <c r="AN108" s="118" t="str">
        <f t="shared" si="117"/>
        <v/>
      </c>
      <c r="AO108" s="118" t="str">
        <f t="shared" si="117"/>
        <v/>
      </c>
      <c r="AP108" s="118" t="str">
        <f t="shared" si="117"/>
        <v/>
      </c>
      <c r="AQ108" s="118" t="str">
        <f t="shared" si="117"/>
        <v/>
      </c>
      <c r="AR108" s="118" t="str">
        <f t="shared" si="117"/>
        <v/>
      </c>
      <c r="AS108" s="118" t="str">
        <f t="shared" si="117"/>
        <v/>
      </c>
      <c r="AT108" s="123">
        <f>IF(AT$6="","",IF(AT$3="Maior",iferror(VLOOKUP($R108,Capa!$A:$Z,AT$5,0),0),IF(ISERROR(1/VLOOKUP($R108,Capa!$A:$Z,AT$5,0)),0,1/VLOOKUP($R108,Capa!$A:$Z,AT$5,0))))</f>
        <v>1.851978288</v>
      </c>
      <c r="AU108" s="124">
        <f>IF(AU$6="","",IF(AU$3="Maior",iferror(VLOOKUP($R108,Capa!$A:$Z,AU$5,0),0),IF(ISERROR(1/VLOOKUP($R108,Capa!$A:$Z,AU$5,0)),0,1/VLOOKUP($R108,Capa!$A:$Z,AU$5,0))))</f>
        <v>0.1038692719</v>
      </c>
      <c r="AV108" s="124" t="str">
        <f>IF(AV$6="","",IF(AV$3="Maior",iferror(VLOOKUP($R107,Capa!$A:$Z,AV$5,0),0),IF(ISERROR(1/VLOOKUP($R107,Capa!$A:$Z,AV$5,0)),0,1/VLOOKUP($R107,Capa!$A:$Z,AV$5,0))))</f>
        <v/>
      </c>
      <c r="AW108" s="124" t="str">
        <f>IF(AW$6="","",IF(AW$3="Maior",iferror(VLOOKUP($R107,Capa!$A:$Z,AW$5,0),0),IF(ISERROR(1/VLOOKUP($R107,Capa!$A:$Z,AW$5,0)),0,1/VLOOKUP($R107,Capa!$A:$Z,AW$5,0))))</f>
        <v/>
      </c>
      <c r="AX108" s="124" t="str">
        <f>IF(AX$6="","",IF(AX$3="Maior",iferror(VLOOKUP($R107,Capa!$A:$Z,AX$5,0),0),IF(ISERROR(1/VLOOKUP($R107,Capa!$A:$Z,AX$5,0)),0,1/VLOOKUP($R107,Capa!$A:$Z,AX$5,0))))</f>
        <v/>
      </c>
      <c r="AY108" s="124" t="str">
        <f>IF(AY$6="","",IF(AY$3="Maior",iferror(VLOOKUP($R107,Capa!$A:$Z,AY$5,0),0),IF(ISERROR(1/VLOOKUP($R107,Capa!$A:$Z,AY$5,0)),0,1/VLOOKUP($R107,Capa!$A:$Z,AY$5,0))))</f>
        <v/>
      </c>
      <c r="AZ108" s="124" t="str">
        <f>IF(AZ$6="","",IF(AZ$3="Maior",iferror(VLOOKUP($R107,Capa!$A:$Z,AZ$5,0),0),IF(ISERROR(1/VLOOKUP($R107,Capa!$A:$Z,AZ$5,0)),0,1/VLOOKUP($R107,Capa!$A:$Z,AZ$5,0))))</f>
        <v/>
      </c>
      <c r="BA108" s="124" t="str">
        <f>IF(BA$6="","",IF(BA$3="Maior",iferror(VLOOKUP($R107,Capa!$A:$Z,BA$5,0),0),IF(ISERROR(1/VLOOKUP($R107,Capa!$A:$Z,BA$5,0)),0,1/VLOOKUP($R107,Capa!$A:$Z,BA$5,0))))</f>
        <v/>
      </c>
      <c r="BB108" s="124" t="str">
        <f>IF(BB$6="","",IF(BB$3="Maior",iferror(VLOOKUP($R107,Capa!$A:$Z,BB$5,0),0),IF(ISERROR(1/VLOOKUP($R107,Capa!$A:$Z,BB$5,0)),0,1/VLOOKUP($R107,Capa!$A:$Z,BB$5,0))))</f>
        <v/>
      </c>
      <c r="BC108" s="124" t="str">
        <f>IF(BC$6="","",IF(BC$3="Maior",iferror(VLOOKUP($R107,Capa!$A:$Z,BC$5,0),0),IF(ISERROR(1/VLOOKUP($R107,Capa!$A:$Z,BC$5,0)),0,1/VLOOKUP($R107,Capa!$A:$Z,BC$5,0))))</f>
        <v/>
      </c>
      <c r="BD108" s="124" t="str">
        <f>IF(BD$6="","",IF(BD$3="Maior",iferror(VLOOKUP($R107,Capa!$A:$Z,BD$5,0),0),IF(ISERROR(1/VLOOKUP($R107,Capa!$A:$Z,BD$5,0)),0,1/VLOOKUP($R107,Capa!$A:$Z,BD$5,0))))</f>
        <v/>
      </c>
      <c r="BE108" s="124" t="str">
        <f>IF(BE$6="","",IF(BE$3="Maior",iferror(VLOOKUP($R107,Capa!$A:$Z,BE$5,0),0),IF(ISERROR(1/VLOOKUP($R107,Capa!$A:$Z,BE$5,0)),0,1/VLOOKUP($R107,Capa!$A:$Z,BE$5,0))))</f>
        <v/>
      </c>
      <c r="BF108" s="124" t="str">
        <f>IF(BF$6="","",IF(BF$3="Maior",iferror(VLOOKUP($R107,Capa!$A:$Z,BF$5,0),0),IF(ISERROR(1/VLOOKUP($R107,Capa!$A:$Z,BF$5,0)),0,1/VLOOKUP($R107,Capa!$A:$Z,BF$5,0))))</f>
        <v/>
      </c>
      <c r="BG108" s="124" t="str">
        <f>IF(BG$6="","",IF(BG$3="Maior",iferror(VLOOKUP($R107,Capa!$A:$Z,BG$5,0),0),IF(ISERROR(1/VLOOKUP($R107,Capa!$A:$Z,BG$5,0)),0,1/VLOOKUP($R107,Capa!$A:$Z,BG$5,0))))</f>
        <v/>
      </c>
      <c r="BH108" s="124" t="str">
        <f>IF(BH$6="","",IF(BH$3="Maior",iferror(VLOOKUP($R107,Capa!$A:$Z,BH$5,0),0),IF(ISERROR(1/VLOOKUP($R107,Capa!$A:$Z,BH$5,0)),0,1/VLOOKUP($R107,Capa!$A:$Z,BH$5,0))))</f>
        <v/>
      </c>
      <c r="BI108" s="124" t="str">
        <f>IF(BI$6="","",IF(BI$3="Maior",iferror(VLOOKUP($R107,Capa!$A:$Z,BI$5,0),0),IF(ISERROR(1/VLOOKUP($R107,Capa!$A:$Z,BI$5,0)),0,1/VLOOKUP($R107,Capa!$A:$Z,BI$5,0))))</f>
        <v/>
      </c>
      <c r="BJ108" s="124" t="str">
        <f>IF(BJ$6="","",IF(BJ$3="Maior",iferror(VLOOKUP($R107,Capa!$A:$Z,BJ$5,0),0),IF(ISERROR(1/VLOOKUP($R107,Capa!$A:$Z,BJ$5,0)),0,1/VLOOKUP($R107,Capa!$A:$Z,BJ$5,0))))</f>
        <v/>
      </c>
      <c r="BK108" s="124" t="str">
        <f>IF(BK$6="","",IF(BK$3="Maior",iferror(VLOOKUP($R107,Capa!$A:$Z,BK$5,0),0),IF(ISERROR(1/VLOOKUP($R107,Capa!$A:$Z,BK$5,0)),0,1/VLOOKUP($R107,Capa!$A:$Z,BK$5,0))))</f>
        <v/>
      </c>
      <c r="BL108" s="124" t="str">
        <f>IF(BL$6="","",IF(BL$3="Maior",iferror(VLOOKUP($R107,Capa!$A:$Z,BL$5,0),0),IF(ISERROR(1/VLOOKUP($R107,Capa!$A:$Z,BL$5,0)),0,1/VLOOKUP($R107,Capa!$A:$Z,BL$5,0))))</f>
        <v/>
      </c>
      <c r="BM108" s="124" t="str">
        <f>IF(BM$6="","",IF(BM$3="Maior",iferror(VLOOKUP($R107,Capa!$A:$Z,BM$5,0),0),IF(ISERROR(1/VLOOKUP($R107,Capa!$A:$Z,BM$5,0)),0,1/VLOOKUP($R107,Capa!$A:$Z,BM$5,0))))</f>
        <v/>
      </c>
      <c r="BN108" s="124" t="str">
        <f>IF(BN$6="","",IF(BN$3="Maior",iferror(VLOOKUP($R107,Capa!$A:$Z,BN$5,0),0),IF(ISERROR(1/VLOOKUP($R107,Capa!$A:$Z,BN$5,0)),0,1/VLOOKUP($R107,Capa!$A:$Z,BN$5,0))))</f>
        <v/>
      </c>
      <c r="BO108" s="124" t="str">
        <f>IF(BO$6="","",IF(BO$3="Maior",iferror(VLOOKUP($R107,Capa!$A:$Z,BO$5,0),0),IF(ISERROR(1/VLOOKUP($R107,Capa!$A:$Z,BO$5,0)),0,1/VLOOKUP($R107,Capa!$A:$Z,BO$5,0))))</f>
        <v/>
      </c>
      <c r="BP108" s="124" t="str">
        <f>IF(BP$6="","",IF(BP$3="Maior",iferror(VLOOKUP($R107,Capa!$A:$Z,BP$5,0),0),IF(ISERROR(1/VLOOKUP($R107,Capa!$A:$Z,BP$5,0)),0,1/VLOOKUP($R107,Capa!$A:$Z,BP$5,0))))</f>
        <v/>
      </c>
      <c r="BQ108" s="124" t="str">
        <f>IF(BQ$6="","",IF(BQ$3="Maior",iferror(VLOOKUP($R107,Capa!$A:$Z,BQ$5,0),0),IF(ISERROR(1/VLOOKUP($R107,Capa!$A:$Z,BQ$5,0)),0,1/VLOOKUP($R107,Capa!$A:$Z,BQ$5,0))))</f>
        <v/>
      </c>
      <c r="BR108" s="125" t="str">
        <f>IF(BR$6="","",IF(BR$3="Maior",iferror(VLOOKUP($R107,Capa!$A:$Z,BR$5,0),0),IF(ISERROR(1/VLOOKUP($R107,Capa!$A:$Z,BR$5,0)),0,1/VLOOKUP($R107,Capa!$A:$Z,BR$5,0))))</f>
        <v/>
      </c>
      <c r="BS108" s="88"/>
    </row>
    <row r="109">
      <c r="G109" s="9"/>
      <c r="H109" s="7">
        <v>103.0</v>
      </c>
      <c r="I109" s="111" t="str">
        <f t="shared" si="7"/>
        <v>RBRL11</v>
      </c>
      <c r="J109" s="112" t="str">
        <f>VLOOKUP(I109,Capa!A:G,7,0)</f>
        <v>Logisticos</v>
      </c>
      <c r="K109" s="113">
        <f t="shared" si="8"/>
        <v>0.6574324324</v>
      </c>
      <c r="L109" s="113">
        <f t="shared" si="9"/>
        <v>0.09776959459</v>
      </c>
      <c r="M109" s="113" t="str">
        <f t="shared" si="10"/>
        <v/>
      </c>
      <c r="N109" s="113" t="str">
        <f t="shared" si="11"/>
        <v/>
      </c>
      <c r="O109" s="114">
        <f t="shared" si="12"/>
        <v>595377.07</v>
      </c>
      <c r="P109" s="9"/>
      <c r="Q109" s="9"/>
      <c r="R109" s="115" t="s">
        <v>122</v>
      </c>
      <c r="S109" s="116">
        <f t="shared" si="13"/>
        <v>1167.006998</v>
      </c>
      <c r="T109" s="117">
        <f>MID(VLOOKUP($R109,'Dados ClubeFII'!$A:$AU,23,0),3,100)/1</f>
        <v>55698.13</v>
      </c>
      <c r="U109" s="118">
        <f t="shared" si="14"/>
        <v>69.0069</v>
      </c>
      <c r="V109" s="118">
        <f t="shared" si="15"/>
        <v>98.000098</v>
      </c>
      <c r="W109" s="118" t="str">
        <f t="shared" ref="W109:AS109" si="118">IF(AV109="","", RANK(AV109,AV$7:AV$405,0))</f>
        <v/>
      </c>
      <c r="X109" s="118" t="str">
        <f t="shared" si="118"/>
        <v/>
      </c>
      <c r="Y109" s="118" t="str">
        <f t="shared" si="118"/>
        <v/>
      </c>
      <c r="Z109" s="118" t="str">
        <f t="shared" si="118"/>
        <v/>
      </c>
      <c r="AA109" s="118" t="str">
        <f t="shared" si="118"/>
        <v/>
      </c>
      <c r="AB109" s="118" t="str">
        <f t="shared" si="118"/>
        <v/>
      </c>
      <c r="AC109" s="118" t="str">
        <f t="shared" si="118"/>
        <v/>
      </c>
      <c r="AD109" s="118" t="str">
        <f t="shared" si="118"/>
        <v/>
      </c>
      <c r="AE109" s="118" t="str">
        <f t="shared" si="118"/>
        <v/>
      </c>
      <c r="AF109" s="118" t="str">
        <f t="shared" si="118"/>
        <v/>
      </c>
      <c r="AG109" s="118" t="str">
        <f t="shared" si="118"/>
        <v/>
      </c>
      <c r="AH109" s="118" t="str">
        <f t="shared" si="118"/>
        <v/>
      </c>
      <c r="AI109" s="118" t="str">
        <f t="shared" si="118"/>
        <v/>
      </c>
      <c r="AJ109" s="118" t="str">
        <f t="shared" si="118"/>
        <v/>
      </c>
      <c r="AK109" s="118" t="str">
        <f t="shared" si="118"/>
        <v/>
      </c>
      <c r="AL109" s="118" t="str">
        <f t="shared" si="118"/>
        <v/>
      </c>
      <c r="AM109" s="118" t="str">
        <f t="shared" si="118"/>
        <v/>
      </c>
      <c r="AN109" s="118" t="str">
        <f t="shared" si="118"/>
        <v/>
      </c>
      <c r="AO109" s="118" t="str">
        <f t="shared" si="118"/>
        <v/>
      </c>
      <c r="AP109" s="118" t="str">
        <f t="shared" si="118"/>
        <v/>
      </c>
      <c r="AQ109" s="118" t="str">
        <f t="shared" si="118"/>
        <v/>
      </c>
      <c r="AR109" s="118" t="str">
        <f t="shared" si="118"/>
        <v/>
      </c>
      <c r="AS109" s="118" t="str">
        <f t="shared" si="118"/>
        <v/>
      </c>
      <c r="AT109" s="123">
        <f>IF(AT$6="","",IF(AT$3="Maior",iferror(VLOOKUP($R109,Capa!$A:$Z,AT$5,0),0),IF(ISERROR(1/VLOOKUP($R109,Capa!$A:$Z,AT$5,0)),0,1/VLOOKUP($R109,Capa!$A:$Z,AT$5,0))))</f>
        <v>1.301245278</v>
      </c>
      <c r="AU109" s="124">
        <f>IF(AU$6="","",IF(AU$3="Maior",iferror(VLOOKUP($R109,Capa!$A:$Z,AU$5,0),0),IF(ISERROR(1/VLOOKUP($R109,Capa!$A:$Z,AU$5,0)),0,1/VLOOKUP($R109,Capa!$A:$Z,AU$5,0))))</f>
        <v>0.1102839687</v>
      </c>
      <c r="AV109" s="124" t="str">
        <f>IF(AV$6="","",IF(AV$3="Maior",iferror(VLOOKUP($R108,Capa!$A:$Z,AV$5,0),0),IF(ISERROR(1/VLOOKUP($R108,Capa!$A:$Z,AV$5,0)),0,1/VLOOKUP($R108,Capa!$A:$Z,AV$5,0))))</f>
        <v/>
      </c>
      <c r="AW109" s="124" t="str">
        <f>IF(AW$6="","",IF(AW$3="Maior",iferror(VLOOKUP($R108,Capa!$A:$Z,AW$5,0),0),IF(ISERROR(1/VLOOKUP($R108,Capa!$A:$Z,AW$5,0)),0,1/VLOOKUP($R108,Capa!$A:$Z,AW$5,0))))</f>
        <v/>
      </c>
      <c r="AX109" s="124" t="str">
        <f>IF(AX$6="","",IF(AX$3="Maior",iferror(VLOOKUP($R108,Capa!$A:$Z,AX$5,0),0),IF(ISERROR(1/VLOOKUP($R108,Capa!$A:$Z,AX$5,0)),0,1/VLOOKUP($R108,Capa!$A:$Z,AX$5,0))))</f>
        <v/>
      </c>
      <c r="AY109" s="124" t="str">
        <f>IF(AY$6="","",IF(AY$3="Maior",iferror(VLOOKUP($R108,Capa!$A:$Z,AY$5,0),0),IF(ISERROR(1/VLOOKUP($R108,Capa!$A:$Z,AY$5,0)),0,1/VLOOKUP($R108,Capa!$A:$Z,AY$5,0))))</f>
        <v/>
      </c>
      <c r="AZ109" s="124" t="str">
        <f>IF(AZ$6="","",IF(AZ$3="Maior",iferror(VLOOKUP($R108,Capa!$A:$Z,AZ$5,0),0),IF(ISERROR(1/VLOOKUP($R108,Capa!$A:$Z,AZ$5,0)),0,1/VLOOKUP($R108,Capa!$A:$Z,AZ$5,0))))</f>
        <v/>
      </c>
      <c r="BA109" s="124" t="str">
        <f>IF(BA$6="","",IF(BA$3="Maior",iferror(VLOOKUP($R108,Capa!$A:$Z,BA$5,0),0),IF(ISERROR(1/VLOOKUP($R108,Capa!$A:$Z,BA$5,0)),0,1/VLOOKUP($R108,Capa!$A:$Z,BA$5,0))))</f>
        <v/>
      </c>
      <c r="BB109" s="124" t="str">
        <f>IF(BB$6="","",IF(BB$3="Maior",iferror(VLOOKUP($R108,Capa!$A:$Z,BB$5,0),0),IF(ISERROR(1/VLOOKUP($R108,Capa!$A:$Z,BB$5,0)),0,1/VLOOKUP($R108,Capa!$A:$Z,BB$5,0))))</f>
        <v/>
      </c>
      <c r="BC109" s="124" t="str">
        <f>IF(BC$6="","",IF(BC$3="Maior",iferror(VLOOKUP($R108,Capa!$A:$Z,BC$5,0),0),IF(ISERROR(1/VLOOKUP($R108,Capa!$A:$Z,BC$5,0)),0,1/VLOOKUP($R108,Capa!$A:$Z,BC$5,0))))</f>
        <v/>
      </c>
      <c r="BD109" s="124" t="str">
        <f>IF(BD$6="","",IF(BD$3="Maior",iferror(VLOOKUP($R108,Capa!$A:$Z,BD$5,0),0),IF(ISERROR(1/VLOOKUP($R108,Capa!$A:$Z,BD$5,0)),0,1/VLOOKUP($R108,Capa!$A:$Z,BD$5,0))))</f>
        <v/>
      </c>
      <c r="BE109" s="124" t="str">
        <f>IF(BE$6="","",IF(BE$3="Maior",iferror(VLOOKUP($R108,Capa!$A:$Z,BE$5,0),0),IF(ISERROR(1/VLOOKUP($R108,Capa!$A:$Z,BE$5,0)),0,1/VLOOKUP($R108,Capa!$A:$Z,BE$5,0))))</f>
        <v/>
      </c>
      <c r="BF109" s="124" t="str">
        <f>IF(BF$6="","",IF(BF$3="Maior",iferror(VLOOKUP($R108,Capa!$A:$Z,BF$5,0),0),IF(ISERROR(1/VLOOKUP($R108,Capa!$A:$Z,BF$5,0)),0,1/VLOOKUP($R108,Capa!$A:$Z,BF$5,0))))</f>
        <v/>
      </c>
      <c r="BG109" s="124" t="str">
        <f>IF(BG$6="","",IF(BG$3="Maior",iferror(VLOOKUP($R108,Capa!$A:$Z,BG$5,0),0),IF(ISERROR(1/VLOOKUP($R108,Capa!$A:$Z,BG$5,0)),0,1/VLOOKUP($R108,Capa!$A:$Z,BG$5,0))))</f>
        <v/>
      </c>
      <c r="BH109" s="124" t="str">
        <f>IF(BH$6="","",IF(BH$3="Maior",iferror(VLOOKUP($R108,Capa!$A:$Z,BH$5,0),0),IF(ISERROR(1/VLOOKUP($R108,Capa!$A:$Z,BH$5,0)),0,1/VLOOKUP($R108,Capa!$A:$Z,BH$5,0))))</f>
        <v/>
      </c>
      <c r="BI109" s="124" t="str">
        <f>IF(BI$6="","",IF(BI$3="Maior",iferror(VLOOKUP($R108,Capa!$A:$Z,BI$5,0),0),IF(ISERROR(1/VLOOKUP($R108,Capa!$A:$Z,BI$5,0)),0,1/VLOOKUP($R108,Capa!$A:$Z,BI$5,0))))</f>
        <v/>
      </c>
      <c r="BJ109" s="124" t="str">
        <f>IF(BJ$6="","",IF(BJ$3="Maior",iferror(VLOOKUP($R108,Capa!$A:$Z,BJ$5,0),0),IF(ISERROR(1/VLOOKUP($R108,Capa!$A:$Z,BJ$5,0)),0,1/VLOOKUP($R108,Capa!$A:$Z,BJ$5,0))))</f>
        <v/>
      </c>
      <c r="BK109" s="124" t="str">
        <f>IF(BK$6="","",IF(BK$3="Maior",iferror(VLOOKUP($R108,Capa!$A:$Z,BK$5,0),0),IF(ISERROR(1/VLOOKUP($R108,Capa!$A:$Z,BK$5,0)),0,1/VLOOKUP($R108,Capa!$A:$Z,BK$5,0))))</f>
        <v/>
      </c>
      <c r="BL109" s="124" t="str">
        <f>IF(BL$6="","",IF(BL$3="Maior",iferror(VLOOKUP($R108,Capa!$A:$Z,BL$5,0),0),IF(ISERROR(1/VLOOKUP($R108,Capa!$A:$Z,BL$5,0)),0,1/VLOOKUP($R108,Capa!$A:$Z,BL$5,0))))</f>
        <v/>
      </c>
      <c r="BM109" s="124" t="str">
        <f>IF(BM$6="","",IF(BM$3="Maior",iferror(VLOOKUP($R108,Capa!$A:$Z,BM$5,0),0),IF(ISERROR(1/VLOOKUP($R108,Capa!$A:$Z,BM$5,0)),0,1/VLOOKUP($R108,Capa!$A:$Z,BM$5,0))))</f>
        <v/>
      </c>
      <c r="BN109" s="124" t="str">
        <f>IF(BN$6="","",IF(BN$3="Maior",iferror(VLOOKUP($R108,Capa!$A:$Z,BN$5,0),0),IF(ISERROR(1/VLOOKUP($R108,Capa!$A:$Z,BN$5,0)),0,1/VLOOKUP($R108,Capa!$A:$Z,BN$5,0))))</f>
        <v/>
      </c>
      <c r="BO109" s="124" t="str">
        <f>IF(BO$6="","",IF(BO$3="Maior",iferror(VLOOKUP($R108,Capa!$A:$Z,BO$5,0),0),IF(ISERROR(1/VLOOKUP($R108,Capa!$A:$Z,BO$5,0)),0,1/VLOOKUP($R108,Capa!$A:$Z,BO$5,0))))</f>
        <v/>
      </c>
      <c r="BP109" s="124" t="str">
        <f>IF(BP$6="","",IF(BP$3="Maior",iferror(VLOOKUP($R108,Capa!$A:$Z,BP$5,0),0),IF(ISERROR(1/VLOOKUP($R108,Capa!$A:$Z,BP$5,0)),0,1/VLOOKUP($R108,Capa!$A:$Z,BP$5,0))))</f>
        <v/>
      </c>
      <c r="BQ109" s="124" t="str">
        <f>IF(BQ$6="","",IF(BQ$3="Maior",iferror(VLOOKUP($R108,Capa!$A:$Z,BQ$5,0),0),IF(ISERROR(1/VLOOKUP($R108,Capa!$A:$Z,BQ$5,0)),0,1/VLOOKUP($R108,Capa!$A:$Z,BQ$5,0))))</f>
        <v/>
      </c>
      <c r="BR109" s="125" t="str">
        <f>IF(BR$6="","",IF(BR$3="Maior",iferror(VLOOKUP($R108,Capa!$A:$Z,BR$5,0),0),IF(ISERROR(1/VLOOKUP($R108,Capa!$A:$Z,BR$5,0)),0,1/VLOOKUP($R108,Capa!$A:$Z,BR$5,0))))</f>
        <v/>
      </c>
      <c r="BS109" s="88"/>
    </row>
    <row r="110">
      <c r="G110" s="9"/>
      <c r="H110" s="7">
        <v>104.0</v>
      </c>
      <c r="I110" s="111" t="str">
        <f t="shared" si="7"/>
        <v>EDGA11</v>
      </c>
      <c r="J110" s="112" t="str">
        <f>VLOOKUP(I110,Capa!A:G,7,0)</f>
        <v>Lajes Comerciais</v>
      </c>
      <c r="K110" s="113">
        <f t="shared" si="8"/>
        <v>0.3329029126</v>
      </c>
      <c r="L110" s="113">
        <f t="shared" si="9"/>
        <v>0.07441359223</v>
      </c>
      <c r="M110" s="113" t="str">
        <f t="shared" si="10"/>
        <v/>
      </c>
      <c r="N110" s="113" t="str">
        <f t="shared" si="11"/>
        <v/>
      </c>
      <c r="O110" s="114">
        <f t="shared" si="12"/>
        <v>33730.27</v>
      </c>
      <c r="P110" s="9"/>
      <c r="Q110" s="9"/>
      <c r="R110" s="127" t="s">
        <v>145</v>
      </c>
      <c r="S110" s="116">
        <f t="shared" si="13"/>
        <v>279.015525</v>
      </c>
      <c r="T110" s="117">
        <f>MID(VLOOKUP($R110,'Dados ClubeFII'!$A:$AU,23,0),3,100)/1</f>
        <v>4707708.53</v>
      </c>
      <c r="U110" s="118">
        <f t="shared" si="14"/>
        <v>154.0154</v>
      </c>
      <c r="V110" s="118">
        <f t="shared" si="15"/>
        <v>125.000125</v>
      </c>
      <c r="W110" s="118" t="str">
        <f t="shared" ref="W110:AS110" si="119">IF(AV110="","", RANK(AV110,AV$7:AV$405,0))</f>
        <v/>
      </c>
      <c r="X110" s="118" t="str">
        <f t="shared" si="119"/>
        <v/>
      </c>
      <c r="Y110" s="118" t="str">
        <f t="shared" si="119"/>
        <v/>
      </c>
      <c r="Z110" s="118" t="str">
        <f t="shared" si="119"/>
        <v/>
      </c>
      <c r="AA110" s="118" t="str">
        <f t="shared" si="119"/>
        <v/>
      </c>
      <c r="AB110" s="118" t="str">
        <f t="shared" si="119"/>
        <v/>
      </c>
      <c r="AC110" s="118" t="str">
        <f t="shared" si="119"/>
        <v/>
      </c>
      <c r="AD110" s="118" t="str">
        <f t="shared" si="119"/>
        <v/>
      </c>
      <c r="AE110" s="118" t="str">
        <f t="shared" si="119"/>
        <v/>
      </c>
      <c r="AF110" s="118" t="str">
        <f t="shared" si="119"/>
        <v/>
      </c>
      <c r="AG110" s="118" t="str">
        <f t="shared" si="119"/>
        <v/>
      </c>
      <c r="AH110" s="118" t="str">
        <f t="shared" si="119"/>
        <v/>
      </c>
      <c r="AI110" s="118" t="str">
        <f t="shared" si="119"/>
        <v/>
      </c>
      <c r="AJ110" s="118" t="str">
        <f t="shared" si="119"/>
        <v/>
      </c>
      <c r="AK110" s="118" t="str">
        <f t="shared" si="119"/>
        <v/>
      </c>
      <c r="AL110" s="118" t="str">
        <f t="shared" si="119"/>
        <v/>
      </c>
      <c r="AM110" s="118" t="str">
        <f t="shared" si="119"/>
        <v/>
      </c>
      <c r="AN110" s="118" t="str">
        <f t="shared" si="119"/>
        <v/>
      </c>
      <c r="AO110" s="118" t="str">
        <f t="shared" si="119"/>
        <v/>
      </c>
      <c r="AP110" s="118" t="str">
        <f t="shared" si="119"/>
        <v/>
      </c>
      <c r="AQ110" s="118" t="str">
        <f t="shared" si="119"/>
        <v/>
      </c>
      <c r="AR110" s="118" t="str">
        <f t="shared" si="119"/>
        <v/>
      </c>
      <c r="AS110" s="118" t="str">
        <f t="shared" si="119"/>
        <v/>
      </c>
      <c r="AT110" s="123">
        <f>IF(AT$6="","",IF(AT$3="Maior",iferror(VLOOKUP($R110,Capa!$A:$Z,AT$5,0),0),IF(ISERROR(1/VLOOKUP($R110,Capa!$A:$Z,AT$5,0)),0,1/VLOOKUP($R110,Capa!$A:$Z,AT$5,0))))</f>
        <v>1.057258041</v>
      </c>
      <c r="AU110" s="124">
        <f>IF(AU$6="","",IF(AU$3="Maior",iferror(VLOOKUP($R110,Capa!$A:$Z,AU$5,0),0),IF(ISERROR(1/VLOOKUP($R110,Capa!$A:$Z,AU$5,0)),0,1/VLOOKUP($R110,Capa!$A:$Z,AU$5,0))))</f>
        <v>0.0959929911</v>
      </c>
      <c r="AV110" s="124" t="str">
        <f>IF(AV$6="","",IF(AV$3="Maior",iferror(VLOOKUP($R109,Capa!$A:$Z,AV$5,0),0),IF(ISERROR(1/VLOOKUP($R109,Capa!$A:$Z,AV$5,0)),0,1/VLOOKUP($R109,Capa!$A:$Z,AV$5,0))))</f>
        <v/>
      </c>
      <c r="AW110" s="124" t="str">
        <f>IF(AW$6="","",IF(AW$3="Maior",iferror(VLOOKUP($R109,Capa!$A:$Z,AW$5,0),0),IF(ISERROR(1/VLOOKUP($R109,Capa!$A:$Z,AW$5,0)),0,1/VLOOKUP($R109,Capa!$A:$Z,AW$5,0))))</f>
        <v/>
      </c>
      <c r="AX110" s="124" t="str">
        <f>IF(AX$6="","",IF(AX$3="Maior",iferror(VLOOKUP($R109,Capa!$A:$Z,AX$5,0),0),IF(ISERROR(1/VLOOKUP($R109,Capa!$A:$Z,AX$5,0)),0,1/VLOOKUP($R109,Capa!$A:$Z,AX$5,0))))</f>
        <v/>
      </c>
      <c r="AY110" s="124" t="str">
        <f>IF(AY$6="","",IF(AY$3="Maior",iferror(VLOOKUP($R109,Capa!$A:$Z,AY$5,0),0),IF(ISERROR(1/VLOOKUP($R109,Capa!$A:$Z,AY$5,0)),0,1/VLOOKUP($R109,Capa!$A:$Z,AY$5,0))))</f>
        <v/>
      </c>
      <c r="AZ110" s="124" t="str">
        <f>IF(AZ$6="","",IF(AZ$3="Maior",iferror(VLOOKUP($R109,Capa!$A:$Z,AZ$5,0),0),IF(ISERROR(1/VLOOKUP($R109,Capa!$A:$Z,AZ$5,0)),0,1/VLOOKUP($R109,Capa!$A:$Z,AZ$5,0))))</f>
        <v/>
      </c>
      <c r="BA110" s="124" t="str">
        <f>IF(BA$6="","",IF(BA$3="Maior",iferror(VLOOKUP($R109,Capa!$A:$Z,BA$5,0),0),IF(ISERROR(1/VLOOKUP($R109,Capa!$A:$Z,BA$5,0)),0,1/VLOOKUP($R109,Capa!$A:$Z,BA$5,0))))</f>
        <v/>
      </c>
      <c r="BB110" s="124" t="str">
        <f>IF(BB$6="","",IF(BB$3="Maior",iferror(VLOOKUP($R109,Capa!$A:$Z,BB$5,0),0),IF(ISERROR(1/VLOOKUP($R109,Capa!$A:$Z,BB$5,0)),0,1/VLOOKUP($R109,Capa!$A:$Z,BB$5,0))))</f>
        <v/>
      </c>
      <c r="BC110" s="124" t="str">
        <f>IF(BC$6="","",IF(BC$3="Maior",iferror(VLOOKUP($R109,Capa!$A:$Z,BC$5,0),0),IF(ISERROR(1/VLOOKUP($R109,Capa!$A:$Z,BC$5,0)),0,1/VLOOKUP($R109,Capa!$A:$Z,BC$5,0))))</f>
        <v/>
      </c>
      <c r="BD110" s="124" t="str">
        <f>IF(BD$6="","",IF(BD$3="Maior",iferror(VLOOKUP($R109,Capa!$A:$Z,BD$5,0),0),IF(ISERROR(1/VLOOKUP($R109,Capa!$A:$Z,BD$5,0)),0,1/VLOOKUP($R109,Capa!$A:$Z,BD$5,0))))</f>
        <v/>
      </c>
      <c r="BE110" s="124" t="str">
        <f>IF(BE$6="","",IF(BE$3="Maior",iferror(VLOOKUP($R109,Capa!$A:$Z,BE$5,0),0),IF(ISERROR(1/VLOOKUP($R109,Capa!$A:$Z,BE$5,0)),0,1/VLOOKUP($R109,Capa!$A:$Z,BE$5,0))))</f>
        <v/>
      </c>
      <c r="BF110" s="124" t="str">
        <f>IF(BF$6="","",IF(BF$3="Maior",iferror(VLOOKUP($R109,Capa!$A:$Z,BF$5,0),0),IF(ISERROR(1/VLOOKUP($R109,Capa!$A:$Z,BF$5,0)),0,1/VLOOKUP($R109,Capa!$A:$Z,BF$5,0))))</f>
        <v/>
      </c>
      <c r="BG110" s="124" t="str">
        <f>IF(BG$6="","",IF(BG$3="Maior",iferror(VLOOKUP($R109,Capa!$A:$Z,BG$5,0),0),IF(ISERROR(1/VLOOKUP($R109,Capa!$A:$Z,BG$5,0)),0,1/VLOOKUP($R109,Capa!$A:$Z,BG$5,0))))</f>
        <v/>
      </c>
      <c r="BH110" s="124" t="str">
        <f>IF(BH$6="","",IF(BH$3="Maior",iferror(VLOOKUP($R109,Capa!$A:$Z,BH$5,0),0),IF(ISERROR(1/VLOOKUP($R109,Capa!$A:$Z,BH$5,0)),0,1/VLOOKUP($R109,Capa!$A:$Z,BH$5,0))))</f>
        <v/>
      </c>
      <c r="BI110" s="124" t="str">
        <f>IF(BI$6="","",IF(BI$3="Maior",iferror(VLOOKUP($R109,Capa!$A:$Z,BI$5,0),0),IF(ISERROR(1/VLOOKUP($R109,Capa!$A:$Z,BI$5,0)),0,1/VLOOKUP($R109,Capa!$A:$Z,BI$5,0))))</f>
        <v/>
      </c>
      <c r="BJ110" s="124" t="str">
        <f>IF(BJ$6="","",IF(BJ$3="Maior",iferror(VLOOKUP($R109,Capa!$A:$Z,BJ$5,0),0),IF(ISERROR(1/VLOOKUP($R109,Capa!$A:$Z,BJ$5,0)),0,1/VLOOKUP($R109,Capa!$A:$Z,BJ$5,0))))</f>
        <v/>
      </c>
      <c r="BK110" s="124" t="str">
        <f>IF(BK$6="","",IF(BK$3="Maior",iferror(VLOOKUP($R109,Capa!$A:$Z,BK$5,0),0),IF(ISERROR(1/VLOOKUP($R109,Capa!$A:$Z,BK$5,0)),0,1/VLOOKUP($R109,Capa!$A:$Z,BK$5,0))))</f>
        <v/>
      </c>
      <c r="BL110" s="124" t="str">
        <f>IF(BL$6="","",IF(BL$3="Maior",iferror(VLOOKUP($R109,Capa!$A:$Z,BL$5,0),0),IF(ISERROR(1/VLOOKUP($R109,Capa!$A:$Z,BL$5,0)),0,1/VLOOKUP($R109,Capa!$A:$Z,BL$5,0))))</f>
        <v/>
      </c>
      <c r="BM110" s="124" t="str">
        <f>IF(BM$6="","",IF(BM$3="Maior",iferror(VLOOKUP($R109,Capa!$A:$Z,BM$5,0),0),IF(ISERROR(1/VLOOKUP($R109,Capa!$A:$Z,BM$5,0)),0,1/VLOOKUP($R109,Capa!$A:$Z,BM$5,0))))</f>
        <v/>
      </c>
      <c r="BN110" s="124" t="str">
        <f>IF(BN$6="","",IF(BN$3="Maior",iferror(VLOOKUP($R109,Capa!$A:$Z,BN$5,0),0),IF(ISERROR(1/VLOOKUP($R109,Capa!$A:$Z,BN$5,0)),0,1/VLOOKUP($R109,Capa!$A:$Z,BN$5,0))))</f>
        <v/>
      </c>
      <c r="BO110" s="124" t="str">
        <f>IF(BO$6="","",IF(BO$3="Maior",iferror(VLOOKUP($R109,Capa!$A:$Z,BO$5,0),0),IF(ISERROR(1/VLOOKUP($R109,Capa!$A:$Z,BO$5,0)),0,1/VLOOKUP($R109,Capa!$A:$Z,BO$5,0))))</f>
        <v/>
      </c>
      <c r="BP110" s="124" t="str">
        <f>IF(BP$6="","",IF(BP$3="Maior",iferror(VLOOKUP($R109,Capa!$A:$Z,BP$5,0),0),IF(ISERROR(1/VLOOKUP($R109,Capa!$A:$Z,BP$5,0)),0,1/VLOOKUP($R109,Capa!$A:$Z,BP$5,0))))</f>
        <v/>
      </c>
      <c r="BQ110" s="124" t="str">
        <f>IF(BQ$6="","",IF(BQ$3="Maior",iferror(VLOOKUP($R109,Capa!$A:$Z,BQ$5,0),0),IF(ISERROR(1/VLOOKUP($R109,Capa!$A:$Z,BQ$5,0)),0,1/VLOOKUP($R109,Capa!$A:$Z,BQ$5,0))))</f>
        <v/>
      </c>
      <c r="BR110" s="125" t="str">
        <f>IF(BR$6="","",IF(BR$3="Maior",iferror(VLOOKUP($R109,Capa!$A:$Z,BR$5,0),0),IF(ISERROR(1/VLOOKUP($R109,Capa!$A:$Z,BR$5,0)),0,1/VLOOKUP($R109,Capa!$A:$Z,BR$5,0))))</f>
        <v/>
      </c>
      <c r="BS110" s="88"/>
    </row>
    <row r="111">
      <c r="G111" s="9"/>
      <c r="H111" s="7">
        <v>105.0</v>
      </c>
      <c r="I111" s="129" t="str">
        <f t="shared" si="7"/>
        <v>GCFF11</v>
      </c>
      <c r="J111" s="112" t="str">
        <f>VLOOKUP(I111,Capa!A:G,7,0)</f>
        <v>Fundo de Fundos</v>
      </c>
      <c r="K111" s="113">
        <f t="shared" si="8"/>
        <v>0.8402700741</v>
      </c>
      <c r="L111" s="113">
        <f t="shared" si="9"/>
        <v>0.1284831567</v>
      </c>
      <c r="M111" s="113" t="str">
        <f t="shared" si="10"/>
        <v/>
      </c>
      <c r="N111" s="113" t="str">
        <f t="shared" si="11"/>
        <v/>
      </c>
      <c r="O111" s="114">
        <f t="shared" si="12"/>
        <v>23629.46</v>
      </c>
      <c r="P111" s="9"/>
      <c r="Q111" s="9"/>
      <c r="R111" s="115" t="s">
        <v>101</v>
      </c>
      <c r="S111" s="116">
        <f t="shared" si="13"/>
        <v>1069.005811</v>
      </c>
      <c r="T111" s="117">
        <f>MID(VLOOKUP($R111,'Dados ClubeFII'!$A:$AU,23,0),3,100)/1</f>
        <v>67817.46</v>
      </c>
      <c r="U111" s="118">
        <f t="shared" si="14"/>
        <v>58.0058</v>
      </c>
      <c r="V111" s="118">
        <f t="shared" si="15"/>
        <v>11.000011</v>
      </c>
      <c r="W111" s="118" t="str">
        <f t="shared" ref="W111:AS111" si="120">IF(AV111="","", RANK(AV111,AV$7:AV$405,0))</f>
        <v/>
      </c>
      <c r="X111" s="118" t="str">
        <f t="shared" si="120"/>
        <v/>
      </c>
      <c r="Y111" s="118" t="str">
        <f t="shared" si="120"/>
        <v/>
      </c>
      <c r="Z111" s="118" t="str">
        <f t="shared" si="120"/>
        <v/>
      </c>
      <c r="AA111" s="118" t="str">
        <f t="shared" si="120"/>
        <v/>
      </c>
      <c r="AB111" s="118" t="str">
        <f t="shared" si="120"/>
        <v/>
      </c>
      <c r="AC111" s="118" t="str">
        <f t="shared" si="120"/>
        <v/>
      </c>
      <c r="AD111" s="118" t="str">
        <f t="shared" si="120"/>
        <v/>
      </c>
      <c r="AE111" s="118" t="str">
        <f t="shared" si="120"/>
        <v/>
      </c>
      <c r="AF111" s="118" t="str">
        <f t="shared" si="120"/>
        <v/>
      </c>
      <c r="AG111" s="118" t="str">
        <f t="shared" si="120"/>
        <v/>
      </c>
      <c r="AH111" s="118" t="str">
        <f t="shared" si="120"/>
        <v/>
      </c>
      <c r="AI111" s="118" t="str">
        <f t="shared" si="120"/>
        <v/>
      </c>
      <c r="AJ111" s="118" t="str">
        <f t="shared" si="120"/>
        <v/>
      </c>
      <c r="AK111" s="118" t="str">
        <f t="shared" si="120"/>
        <v/>
      </c>
      <c r="AL111" s="118" t="str">
        <f t="shared" si="120"/>
        <v/>
      </c>
      <c r="AM111" s="118" t="str">
        <f t="shared" si="120"/>
        <v/>
      </c>
      <c r="AN111" s="118" t="str">
        <f t="shared" si="120"/>
        <v/>
      </c>
      <c r="AO111" s="118" t="str">
        <f t="shared" si="120"/>
        <v/>
      </c>
      <c r="AP111" s="118" t="str">
        <f t="shared" si="120"/>
        <v/>
      </c>
      <c r="AQ111" s="118" t="str">
        <f t="shared" si="120"/>
        <v/>
      </c>
      <c r="AR111" s="118" t="str">
        <f t="shared" si="120"/>
        <v/>
      </c>
      <c r="AS111" s="118" t="str">
        <f t="shared" si="120"/>
        <v/>
      </c>
      <c r="AT111" s="123">
        <f>IF(AT$6="","",IF(AT$3="Maior",iferror(VLOOKUP($R111,Capa!$A:$Z,AT$5,0),0),IF(ISERROR(1/VLOOKUP($R111,Capa!$A:$Z,AT$5,0)),0,1/VLOOKUP($R111,Capa!$A:$Z,AT$5,0))))</f>
        <v>1.34814371</v>
      </c>
      <c r="AU111" s="124">
        <f>IF(AU$6="","",IF(AU$3="Maior",iferror(VLOOKUP($R111,Capa!$A:$Z,AU$5,0),0),IF(ISERROR(1/VLOOKUP($R111,Capa!$A:$Z,AU$5,0)),0,1/VLOOKUP($R111,Capa!$A:$Z,AU$5,0))))</f>
        <v>0.1613859316</v>
      </c>
      <c r="AV111" s="124" t="str">
        <f>IF(AV$6="","",IF(AV$3="Maior",iferror(VLOOKUP($R110,Capa!$A:$Z,AV$5,0),0),IF(ISERROR(1/VLOOKUP($R110,Capa!$A:$Z,AV$5,0)),0,1/VLOOKUP($R110,Capa!$A:$Z,AV$5,0))))</f>
        <v/>
      </c>
      <c r="AW111" s="124" t="str">
        <f>IF(AW$6="","",IF(AW$3="Maior",iferror(VLOOKUP($R110,Capa!$A:$Z,AW$5,0),0),IF(ISERROR(1/VLOOKUP($R110,Capa!$A:$Z,AW$5,0)),0,1/VLOOKUP($R110,Capa!$A:$Z,AW$5,0))))</f>
        <v/>
      </c>
      <c r="AX111" s="124" t="str">
        <f>IF(AX$6="","",IF(AX$3="Maior",iferror(VLOOKUP($R110,Capa!$A:$Z,AX$5,0),0),IF(ISERROR(1/VLOOKUP($R110,Capa!$A:$Z,AX$5,0)),0,1/VLOOKUP($R110,Capa!$A:$Z,AX$5,0))))</f>
        <v/>
      </c>
      <c r="AY111" s="124" t="str">
        <f>IF(AY$6="","",IF(AY$3="Maior",iferror(VLOOKUP($R110,Capa!$A:$Z,AY$5,0),0),IF(ISERROR(1/VLOOKUP($R110,Capa!$A:$Z,AY$5,0)),0,1/VLOOKUP($R110,Capa!$A:$Z,AY$5,0))))</f>
        <v/>
      </c>
      <c r="AZ111" s="124" t="str">
        <f>IF(AZ$6="","",IF(AZ$3="Maior",iferror(VLOOKUP($R110,Capa!$A:$Z,AZ$5,0),0),IF(ISERROR(1/VLOOKUP($R110,Capa!$A:$Z,AZ$5,0)),0,1/VLOOKUP($R110,Capa!$A:$Z,AZ$5,0))))</f>
        <v/>
      </c>
      <c r="BA111" s="124" t="str">
        <f>IF(BA$6="","",IF(BA$3="Maior",iferror(VLOOKUP($R110,Capa!$A:$Z,BA$5,0),0),IF(ISERROR(1/VLOOKUP($R110,Capa!$A:$Z,BA$5,0)),0,1/VLOOKUP($R110,Capa!$A:$Z,BA$5,0))))</f>
        <v/>
      </c>
      <c r="BB111" s="124" t="str">
        <f>IF(BB$6="","",IF(BB$3="Maior",iferror(VLOOKUP($R110,Capa!$A:$Z,BB$5,0),0),IF(ISERROR(1/VLOOKUP($R110,Capa!$A:$Z,BB$5,0)),0,1/VLOOKUP($R110,Capa!$A:$Z,BB$5,0))))</f>
        <v/>
      </c>
      <c r="BC111" s="124" t="str">
        <f>IF(BC$6="","",IF(BC$3="Maior",iferror(VLOOKUP($R110,Capa!$A:$Z,BC$5,0),0),IF(ISERROR(1/VLOOKUP($R110,Capa!$A:$Z,BC$5,0)),0,1/VLOOKUP($R110,Capa!$A:$Z,BC$5,0))))</f>
        <v/>
      </c>
      <c r="BD111" s="124" t="str">
        <f>IF(BD$6="","",IF(BD$3="Maior",iferror(VLOOKUP($R110,Capa!$A:$Z,BD$5,0),0),IF(ISERROR(1/VLOOKUP($R110,Capa!$A:$Z,BD$5,0)),0,1/VLOOKUP($R110,Capa!$A:$Z,BD$5,0))))</f>
        <v/>
      </c>
      <c r="BE111" s="124" t="str">
        <f>IF(BE$6="","",IF(BE$3="Maior",iferror(VLOOKUP($R110,Capa!$A:$Z,BE$5,0),0),IF(ISERROR(1/VLOOKUP($R110,Capa!$A:$Z,BE$5,0)),0,1/VLOOKUP($R110,Capa!$A:$Z,BE$5,0))))</f>
        <v/>
      </c>
      <c r="BF111" s="124" t="str">
        <f>IF(BF$6="","",IF(BF$3="Maior",iferror(VLOOKUP($R110,Capa!$A:$Z,BF$5,0),0),IF(ISERROR(1/VLOOKUP($R110,Capa!$A:$Z,BF$5,0)),0,1/VLOOKUP($R110,Capa!$A:$Z,BF$5,0))))</f>
        <v/>
      </c>
      <c r="BG111" s="124" t="str">
        <f>IF(BG$6="","",IF(BG$3="Maior",iferror(VLOOKUP($R110,Capa!$A:$Z,BG$5,0),0),IF(ISERROR(1/VLOOKUP($R110,Capa!$A:$Z,BG$5,0)),0,1/VLOOKUP($R110,Capa!$A:$Z,BG$5,0))))</f>
        <v/>
      </c>
      <c r="BH111" s="124" t="str">
        <f>IF(BH$6="","",IF(BH$3="Maior",iferror(VLOOKUP($R110,Capa!$A:$Z,BH$5,0),0),IF(ISERROR(1/VLOOKUP($R110,Capa!$A:$Z,BH$5,0)),0,1/VLOOKUP($R110,Capa!$A:$Z,BH$5,0))))</f>
        <v/>
      </c>
      <c r="BI111" s="124" t="str">
        <f>IF(BI$6="","",IF(BI$3="Maior",iferror(VLOOKUP($R110,Capa!$A:$Z,BI$5,0),0),IF(ISERROR(1/VLOOKUP($R110,Capa!$A:$Z,BI$5,0)),0,1/VLOOKUP($R110,Capa!$A:$Z,BI$5,0))))</f>
        <v/>
      </c>
      <c r="BJ111" s="124" t="str">
        <f>IF(BJ$6="","",IF(BJ$3="Maior",iferror(VLOOKUP($R110,Capa!$A:$Z,BJ$5,0),0),IF(ISERROR(1/VLOOKUP($R110,Capa!$A:$Z,BJ$5,0)),0,1/VLOOKUP($R110,Capa!$A:$Z,BJ$5,0))))</f>
        <v/>
      </c>
      <c r="BK111" s="124" t="str">
        <f>IF(BK$6="","",IF(BK$3="Maior",iferror(VLOOKUP($R110,Capa!$A:$Z,BK$5,0),0),IF(ISERROR(1/VLOOKUP($R110,Capa!$A:$Z,BK$5,0)),0,1/VLOOKUP($R110,Capa!$A:$Z,BK$5,0))))</f>
        <v/>
      </c>
      <c r="BL111" s="124" t="str">
        <f>IF(BL$6="","",IF(BL$3="Maior",iferror(VLOOKUP($R110,Capa!$A:$Z,BL$5,0),0),IF(ISERROR(1/VLOOKUP($R110,Capa!$A:$Z,BL$5,0)),0,1/VLOOKUP($R110,Capa!$A:$Z,BL$5,0))))</f>
        <v/>
      </c>
      <c r="BM111" s="124" t="str">
        <f>IF(BM$6="","",IF(BM$3="Maior",iferror(VLOOKUP($R110,Capa!$A:$Z,BM$5,0),0),IF(ISERROR(1/VLOOKUP($R110,Capa!$A:$Z,BM$5,0)),0,1/VLOOKUP($R110,Capa!$A:$Z,BM$5,0))))</f>
        <v/>
      </c>
      <c r="BN111" s="124" t="str">
        <f>IF(BN$6="","",IF(BN$3="Maior",iferror(VLOOKUP($R110,Capa!$A:$Z,BN$5,0),0),IF(ISERROR(1/VLOOKUP($R110,Capa!$A:$Z,BN$5,0)),0,1/VLOOKUP($R110,Capa!$A:$Z,BN$5,0))))</f>
        <v/>
      </c>
      <c r="BO111" s="124" t="str">
        <f>IF(BO$6="","",IF(BO$3="Maior",iferror(VLOOKUP($R110,Capa!$A:$Z,BO$5,0),0),IF(ISERROR(1/VLOOKUP($R110,Capa!$A:$Z,BO$5,0)),0,1/VLOOKUP($R110,Capa!$A:$Z,BO$5,0))))</f>
        <v/>
      </c>
      <c r="BP111" s="124" t="str">
        <f>IF(BP$6="","",IF(BP$3="Maior",iferror(VLOOKUP($R110,Capa!$A:$Z,BP$5,0),0),IF(ISERROR(1/VLOOKUP($R110,Capa!$A:$Z,BP$5,0)),0,1/VLOOKUP($R110,Capa!$A:$Z,BP$5,0))))</f>
        <v/>
      </c>
      <c r="BQ111" s="124" t="str">
        <f>IF(BQ$6="","",IF(BQ$3="Maior",iferror(VLOOKUP($R110,Capa!$A:$Z,BQ$5,0),0),IF(ISERROR(1/VLOOKUP($R110,Capa!$A:$Z,BQ$5,0)),0,1/VLOOKUP($R110,Capa!$A:$Z,BQ$5,0))))</f>
        <v/>
      </c>
      <c r="BR111" s="125" t="str">
        <f>IF(BR$6="","",IF(BR$3="Maior",iferror(VLOOKUP($R110,Capa!$A:$Z,BR$5,0),0),IF(ISERROR(1/VLOOKUP($R110,Capa!$A:$Z,BR$5,0)),0,1/VLOOKUP($R110,Capa!$A:$Z,BR$5,0))))</f>
        <v/>
      </c>
      <c r="BS111" s="88"/>
    </row>
    <row r="112">
      <c r="G112" s="9"/>
      <c r="H112" s="7">
        <v>106.0</v>
      </c>
      <c r="I112" s="129" t="str">
        <f t="shared" si="7"/>
        <v>PLCR11</v>
      </c>
      <c r="J112" s="112" t="str">
        <f>VLOOKUP(I112,Capa!A:G,7,0)</f>
        <v>Recebíveis Imobiliários</v>
      </c>
      <c r="K112" s="113">
        <f t="shared" si="8"/>
        <v>0.9255698464</v>
      </c>
      <c r="L112" s="113">
        <f t="shared" si="9"/>
        <v>0.1540625938</v>
      </c>
      <c r="M112" s="113" t="str">
        <f t="shared" si="10"/>
        <v/>
      </c>
      <c r="N112" s="113" t="str">
        <f t="shared" si="11"/>
        <v/>
      </c>
      <c r="O112" s="114">
        <f t="shared" si="12"/>
        <v>373357.09</v>
      </c>
      <c r="P112" s="9"/>
      <c r="Q112" s="9"/>
      <c r="R112" s="127" t="s">
        <v>120</v>
      </c>
      <c r="S112" s="116">
        <f t="shared" si="13"/>
        <v>1147.013512</v>
      </c>
      <c r="T112" s="117">
        <f>MID(VLOOKUP($R112,'Dados ClubeFII'!$A:$AU,23,0),3,100)/1</f>
        <v>66264.7</v>
      </c>
      <c r="U112" s="118">
        <f t="shared" si="14"/>
        <v>135.0135</v>
      </c>
      <c r="V112" s="118">
        <f t="shared" si="15"/>
        <v>12.000012</v>
      </c>
      <c r="W112" s="118" t="str">
        <f t="shared" ref="W112:AS112" si="121">IF(AV112="","", RANK(AV112,AV$7:AV$405,0))</f>
        <v/>
      </c>
      <c r="X112" s="118" t="str">
        <f t="shared" si="121"/>
        <v/>
      </c>
      <c r="Y112" s="118" t="str">
        <f t="shared" si="121"/>
        <v/>
      </c>
      <c r="Z112" s="118" t="str">
        <f t="shared" si="121"/>
        <v/>
      </c>
      <c r="AA112" s="118" t="str">
        <f t="shared" si="121"/>
        <v/>
      </c>
      <c r="AB112" s="118" t="str">
        <f t="shared" si="121"/>
        <v/>
      </c>
      <c r="AC112" s="118" t="str">
        <f t="shared" si="121"/>
        <v/>
      </c>
      <c r="AD112" s="118" t="str">
        <f t="shared" si="121"/>
        <v/>
      </c>
      <c r="AE112" s="118" t="str">
        <f t="shared" si="121"/>
        <v/>
      </c>
      <c r="AF112" s="118" t="str">
        <f t="shared" si="121"/>
        <v/>
      </c>
      <c r="AG112" s="118" t="str">
        <f t="shared" si="121"/>
        <v/>
      </c>
      <c r="AH112" s="118" t="str">
        <f t="shared" si="121"/>
        <v/>
      </c>
      <c r="AI112" s="118" t="str">
        <f t="shared" si="121"/>
        <v/>
      </c>
      <c r="AJ112" s="118" t="str">
        <f t="shared" si="121"/>
        <v/>
      </c>
      <c r="AK112" s="118" t="str">
        <f t="shared" si="121"/>
        <v/>
      </c>
      <c r="AL112" s="118" t="str">
        <f t="shared" si="121"/>
        <v/>
      </c>
      <c r="AM112" s="118" t="str">
        <f t="shared" si="121"/>
        <v/>
      </c>
      <c r="AN112" s="118" t="str">
        <f t="shared" si="121"/>
        <v/>
      </c>
      <c r="AO112" s="118" t="str">
        <f t="shared" si="121"/>
        <v/>
      </c>
      <c r="AP112" s="118" t="str">
        <f t="shared" si="121"/>
        <v/>
      </c>
      <c r="AQ112" s="118" t="str">
        <f t="shared" si="121"/>
        <v/>
      </c>
      <c r="AR112" s="118" t="str">
        <f t="shared" si="121"/>
        <v/>
      </c>
      <c r="AS112" s="118" t="str">
        <f t="shared" si="121"/>
        <v/>
      </c>
      <c r="AT112" s="123">
        <f>IF(AT$6="","",IF(AT$3="Maior",iferror(VLOOKUP($R112,Capa!$A:$Z,AT$5,0),0),IF(ISERROR(1/VLOOKUP($R112,Capa!$A:$Z,AT$5,0)),0,1/VLOOKUP($R112,Capa!$A:$Z,AT$5,0))))</f>
        <v>1.111781413</v>
      </c>
      <c r="AU112" s="124">
        <f>IF(AU$6="","",IF(AU$3="Maior",iferror(VLOOKUP($R112,Capa!$A:$Z,AU$5,0),0),IF(ISERROR(1/VLOOKUP($R112,Capa!$A:$Z,AU$5,0)),0,1/VLOOKUP($R112,Capa!$A:$Z,AU$5,0))))</f>
        <v>0.1598492197</v>
      </c>
      <c r="AV112" s="124" t="str">
        <f>IF(AV$6="","",IF(AV$3="Maior",iferror(VLOOKUP($R111,Capa!$A:$Z,AV$5,0),0),IF(ISERROR(1/VLOOKUP($R111,Capa!$A:$Z,AV$5,0)),0,1/VLOOKUP($R111,Capa!$A:$Z,AV$5,0))))</f>
        <v/>
      </c>
      <c r="AW112" s="124" t="str">
        <f>IF(AW$6="","",IF(AW$3="Maior",iferror(VLOOKUP($R111,Capa!$A:$Z,AW$5,0),0),IF(ISERROR(1/VLOOKUP($R111,Capa!$A:$Z,AW$5,0)),0,1/VLOOKUP($R111,Capa!$A:$Z,AW$5,0))))</f>
        <v/>
      </c>
      <c r="AX112" s="124" t="str">
        <f>IF(AX$6="","",IF(AX$3="Maior",iferror(VLOOKUP($R111,Capa!$A:$Z,AX$5,0),0),IF(ISERROR(1/VLOOKUP($R111,Capa!$A:$Z,AX$5,0)),0,1/VLOOKUP($R111,Capa!$A:$Z,AX$5,0))))</f>
        <v/>
      </c>
      <c r="AY112" s="124" t="str">
        <f>IF(AY$6="","",IF(AY$3="Maior",iferror(VLOOKUP($R111,Capa!$A:$Z,AY$5,0),0),IF(ISERROR(1/VLOOKUP($R111,Capa!$A:$Z,AY$5,0)),0,1/VLOOKUP($R111,Capa!$A:$Z,AY$5,0))))</f>
        <v/>
      </c>
      <c r="AZ112" s="124" t="str">
        <f>IF(AZ$6="","",IF(AZ$3="Maior",iferror(VLOOKUP($R111,Capa!$A:$Z,AZ$5,0),0),IF(ISERROR(1/VLOOKUP($R111,Capa!$A:$Z,AZ$5,0)),0,1/VLOOKUP($R111,Capa!$A:$Z,AZ$5,0))))</f>
        <v/>
      </c>
      <c r="BA112" s="124" t="str">
        <f>IF(BA$6="","",IF(BA$3="Maior",iferror(VLOOKUP($R111,Capa!$A:$Z,BA$5,0),0),IF(ISERROR(1/VLOOKUP($R111,Capa!$A:$Z,BA$5,0)),0,1/VLOOKUP($R111,Capa!$A:$Z,BA$5,0))))</f>
        <v/>
      </c>
      <c r="BB112" s="124" t="str">
        <f>IF(BB$6="","",IF(BB$3="Maior",iferror(VLOOKUP($R111,Capa!$A:$Z,BB$5,0),0),IF(ISERROR(1/VLOOKUP($R111,Capa!$A:$Z,BB$5,0)),0,1/VLOOKUP($R111,Capa!$A:$Z,BB$5,0))))</f>
        <v/>
      </c>
      <c r="BC112" s="124" t="str">
        <f>IF(BC$6="","",IF(BC$3="Maior",iferror(VLOOKUP($R111,Capa!$A:$Z,BC$5,0),0),IF(ISERROR(1/VLOOKUP($R111,Capa!$A:$Z,BC$5,0)),0,1/VLOOKUP($R111,Capa!$A:$Z,BC$5,0))))</f>
        <v/>
      </c>
      <c r="BD112" s="124" t="str">
        <f>IF(BD$6="","",IF(BD$3="Maior",iferror(VLOOKUP($R111,Capa!$A:$Z,BD$5,0),0),IF(ISERROR(1/VLOOKUP($R111,Capa!$A:$Z,BD$5,0)),0,1/VLOOKUP($R111,Capa!$A:$Z,BD$5,0))))</f>
        <v/>
      </c>
      <c r="BE112" s="124" t="str">
        <f>IF(BE$6="","",IF(BE$3="Maior",iferror(VLOOKUP($R111,Capa!$A:$Z,BE$5,0),0),IF(ISERROR(1/VLOOKUP($R111,Capa!$A:$Z,BE$5,0)),0,1/VLOOKUP($R111,Capa!$A:$Z,BE$5,0))))</f>
        <v/>
      </c>
      <c r="BF112" s="124" t="str">
        <f>IF(BF$6="","",IF(BF$3="Maior",iferror(VLOOKUP($R111,Capa!$A:$Z,BF$5,0),0),IF(ISERROR(1/VLOOKUP($R111,Capa!$A:$Z,BF$5,0)),0,1/VLOOKUP($R111,Capa!$A:$Z,BF$5,0))))</f>
        <v/>
      </c>
      <c r="BG112" s="124" t="str">
        <f>IF(BG$6="","",IF(BG$3="Maior",iferror(VLOOKUP($R111,Capa!$A:$Z,BG$5,0),0),IF(ISERROR(1/VLOOKUP($R111,Capa!$A:$Z,BG$5,0)),0,1/VLOOKUP($R111,Capa!$A:$Z,BG$5,0))))</f>
        <v/>
      </c>
      <c r="BH112" s="124" t="str">
        <f>IF(BH$6="","",IF(BH$3="Maior",iferror(VLOOKUP($R111,Capa!$A:$Z,BH$5,0),0),IF(ISERROR(1/VLOOKUP($R111,Capa!$A:$Z,BH$5,0)),0,1/VLOOKUP($R111,Capa!$A:$Z,BH$5,0))))</f>
        <v/>
      </c>
      <c r="BI112" s="124" t="str">
        <f>IF(BI$6="","",IF(BI$3="Maior",iferror(VLOOKUP($R111,Capa!$A:$Z,BI$5,0),0),IF(ISERROR(1/VLOOKUP($R111,Capa!$A:$Z,BI$5,0)),0,1/VLOOKUP($R111,Capa!$A:$Z,BI$5,0))))</f>
        <v/>
      </c>
      <c r="BJ112" s="124" t="str">
        <f>IF(BJ$6="","",IF(BJ$3="Maior",iferror(VLOOKUP($R111,Capa!$A:$Z,BJ$5,0),0),IF(ISERROR(1/VLOOKUP($R111,Capa!$A:$Z,BJ$5,0)),0,1/VLOOKUP($R111,Capa!$A:$Z,BJ$5,0))))</f>
        <v/>
      </c>
      <c r="BK112" s="124" t="str">
        <f>IF(BK$6="","",IF(BK$3="Maior",iferror(VLOOKUP($R111,Capa!$A:$Z,BK$5,0),0),IF(ISERROR(1/VLOOKUP($R111,Capa!$A:$Z,BK$5,0)),0,1/VLOOKUP($R111,Capa!$A:$Z,BK$5,0))))</f>
        <v/>
      </c>
      <c r="BL112" s="124" t="str">
        <f>IF(BL$6="","",IF(BL$3="Maior",iferror(VLOOKUP($R111,Capa!$A:$Z,BL$5,0),0),IF(ISERROR(1/VLOOKUP($R111,Capa!$A:$Z,BL$5,0)),0,1/VLOOKUP($R111,Capa!$A:$Z,BL$5,0))))</f>
        <v/>
      </c>
      <c r="BM112" s="124" t="str">
        <f>IF(BM$6="","",IF(BM$3="Maior",iferror(VLOOKUP($R111,Capa!$A:$Z,BM$5,0),0),IF(ISERROR(1/VLOOKUP($R111,Capa!$A:$Z,BM$5,0)),0,1/VLOOKUP($R111,Capa!$A:$Z,BM$5,0))))</f>
        <v/>
      </c>
      <c r="BN112" s="124" t="str">
        <f>IF(BN$6="","",IF(BN$3="Maior",iferror(VLOOKUP($R111,Capa!$A:$Z,BN$5,0),0),IF(ISERROR(1/VLOOKUP($R111,Capa!$A:$Z,BN$5,0)),0,1/VLOOKUP($R111,Capa!$A:$Z,BN$5,0))))</f>
        <v/>
      </c>
      <c r="BO112" s="124" t="str">
        <f>IF(BO$6="","",IF(BO$3="Maior",iferror(VLOOKUP($R111,Capa!$A:$Z,BO$5,0),0),IF(ISERROR(1/VLOOKUP($R111,Capa!$A:$Z,BO$5,0)),0,1/VLOOKUP($R111,Capa!$A:$Z,BO$5,0))))</f>
        <v/>
      </c>
      <c r="BP112" s="124" t="str">
        <f>IF(BP$6="","",IF(BP$3="Maior",iferror(VLOOKUP($R111,Capa!$A:$Z,BP$5,0),0),IF(ISERROR(1/VLOOKUP($R111,Capa!$A:$Z,BP$5,0)),0,1/VLOOKUP($R111,Capa!$A:$Z,BP$5,0))))</f>
        <v/>
      </c>
      <c r="BQ112" s="124" t="str">
        <f>IF(BQ$6="","",IF(BQ$3="Maior",iferror(VLOOKUP($R111,Capa!$A:$Z,BQ$5,0),0),IF(ISERROR(1/VLOOKUP($R111,Capa!$A:$Z,BQ$5,0)),0,1/VLOOKUP($R111,Capa!$A:$Z,BQ$5,0))))</f>
        <v/>
      </c>
      <c r="BR112" s="125" t="str">
        <f>IF(BR$6="","",IF(BR$3="Maior",iferror(VLOOKUP($R111,Capa!$A:$Z,BR$5,0),0),IF(ISERROR(1/VLOOKUP($R111,Capa!$A:$Z,BR$5,0)),0,1/VLOOKUP($R111,Capa!$A:$Z,BR$5,0))))</f>
        <v/>
      </c>
      <c r="BS112" s="88"/>
    </row>
    <row r="113">
      <c r="G113" s="9"/>
      <c r="H113" s="7">
        <v>107.0</v>
      </c>
      <c r="I113" s="111" t="str">
        <f t="shared" si="7"/>
        <v>FIIP11B</v>
      </c>
      <c r="J113" s="112" t="str">
        <f>VLOOKUP(I113,Capa!A:G,7,0)</f>
        <v>Híbrido</v>
      </c>
      <c r="K113" s="113">
        <f t="shared" si="8"/>
        <v>0.7684946237</v>
      </c>
      <c r="L113" s="113">
        <f t="shared" si="9"/>
        <v>0.1102839687</v>
      </c>
      <c r="M113" s="113" t="str">
        <f t="shared" si="10"/>
        <v/>
      </c>
      <c r="N113" s="113" t="str">
        <f t="shared" si="11"/>
        <v/>
      </c>
      <c r="O113" s="114">
        <f t="shared" si="12"/>
        <v>55698.13</v>
      </c>
      <c r="P113" s="9"/>
      <c r="Q113" s="9"/>
      <c r="R113" s="115" t="s">
        <v>132</v>
      </c>
      <c r="S113" s="116">
        <f t="shared" si="13"/>
        <v>1153.004608</v>
      </c>
      <c r="T113" s="117">
        <f>MID(VLOOKUP($R113,'Dados ClubeFII'!$A:$AU,23,0),3,100)/1</f>
        <v>479542.34</v>
      </c>
      <c r="U113" s="118">
        <f t="shared" si="14"/>
        <v>45.0045</v>
      </c>
      <c r="V113" s="118">
        <f t="shared" si="15"/>
        <v>108.000108</v>
      </c>
      <c r="W113" s="118" t="str">
        <f t="shared" ref="W113:AS113" si="122">IF(AV113="","", RANK(AV113,AV$7:AV$405,0))</f>
        <v/>
      </c>
      <c r="X113" s="118" t="str">
        <f t="shared" si="122"/>
        <v/>
      </c>
      <c r="Y113" s="118" t="str">
        <f t="shared" si="122"/>
        <v/>
      </c>
      <c r="Z113" s="118" t="str">
        <f t="shared" si="122"/>
        <v/>
      </c>
      <c r="AA113" s="118" t="str">
        <f t="shared" si="122"/>
        <v/>
      </c>
      <c r="AB113" s="118" t="str">
        <f t="shared" si="122"/>
        <v/>
      </c>
      <c r="AC113" s="118" t="str">
        <f t="shared" si="122"/>
        <v/>
      </c>
      <c r="AD113" s="118" t="str">
        <f t="shared" si="122"/>
        <v/>
      </c>
      <c r="AE113" s="118" t="str">
        <f t="shared" si="122"/>
        <v/>
      </c>
      <c r="AF113" s="118" t="str">
        <f t="shared" si="122"/>
        <v/>
      </c>
      <c r="AG113" s="118" t="str">
        <f t="shared" si="122"/>
        <v/>
      </c>
      <c r="AH113" s="118" t="str">
        <f t="shared" si="122"/>
        <v/>
      </c>
      <c r="AI113" s="118" t="str">
        <f t="shared" si="122"/>
        <v/>
      </c>
      <c r="AJ113" s="118" t="str">
        <f t="shared" si="122"/>
        <v/>
      </c>
      <c r="AK113" s="118" t="str">
        <f t="shared" si="122"/>
        <v/>
      </c>
      <c r="AL113" s="118" t="str">
        <f t="shared" si="122"/>
        <v/>
      </c>
      <c r="AM113" s="118" t="str">
        <f t="shared" si="122"/>
        <v/>
      </c>
      <c r="AN113" s="118" t="str">
        <f t="shared" si="122"/>
        <v/>
      </c>
      <c r="AO113" s="118" t="str">
        <f t="shared" si="122"/>
        <v/>
      </c>
      <c r="AP113" s="118" t="str">
        <f t="shared" si="122"/>
        <v/>
      </c>
      <c r="AQ113" s="118" t="str">
        <f t="shared" si="122"/>
        <v/>
      </c>
      <c r="AR113" s="118" t="str">
        <f t="shared" si="122"/>
        <v/>
      </c>
      <c r="AS113" s="118" t="str">
        <f t="shared" si="122"/>
        <v/>
      </c>
      <c r="AT113" s="123">
        <f>IF(AT$6="","",IF(AT$3="Maior",iferror(VLOOKUP($R113,Capa!$A:$Z,AT$5,0),0),IF(ISERROR(1/VLOOKUP($R113,Capa!$A:$Z,AT$5,0)),0,1/VLOOKUP($R113,Capa!$A:$Z,AT$5,0))))</f>
        <v>1.463146998</v>
      </c>
      <c r="AU113" s="124">
        <f>IF(AU$6="","",IF(AU$3="Maior",iferror(VLOOKUP($R113,Capa!$A:$Z,AU$5,0),0),IF(ISERROR(1/VLOOKUP($R113,Capa!$A:$Z,AU$5,0)),0,1/VLOOKUP($R113,Capa!$A:$Z,AU$5,0))))</f>
        <v>0.1047969435</v>
      </c>
      <c r="AV113" s="124" t="str">
        <f>IF(AV$6="","",IF(AV$3="Maior",iferror(VLOOKUP($R112,Capa!$A:$Z,AV$5,0),0),IF(ISERROR(1/VLOOKUP($R112,Capa!$A:$Z,AV$5,0)),0,1/VLOOKUP($R112,Capa!$A:$Z,AV$5,0))))</f>
        <v/>
      </c>
      <c r="AW113" s="124" t="str">
        <f>IF(AW$6="","",IF(AW$3="Maior",iferror(VLOOKUP($R112,Capa!$A:$Z,AW$5,0),0),IF(ISERROR(1/VLOOKUP($R112,Capa!$A:$Z,AW$5,0)),0,1/VLOOKUP($R112,Capa!$A:$Z,AW$5,0))))</f>
        <v/>
      </c>
      <c r="AX113" s="124" t="str">
        <f>IF(AX$6="","",IF(AX$3="Maior",iferror(VLOOKUP($R112,Capa!$A:$Z,AX$5,0),0),IF(ISERROR(1/VLOOKUP($R112,Capa!$A:$Z,AX$5,0)),0,1/VLOOKUP($R112,Capa!$A:$Z,AX$5,0))))</f>
        <v/>
      </c>
      <c r="AY113" s="124" t="str">
        <f>IF(AY$6="","",IF(AY$3="Maior",iferror(VLOOKUP($R112,Capa!$A:$Z,AY$5,0),0),IF(ISERROR(1/VLOOKUP($R112,Capa!$A:$Z,AY$5,0)),0,1/VLOOKUP($R112,Capa!$A:$Z,AY$5,0))))</f>
        <v/>
      </c>
      <c r="AZ113" s="124" t="str">
        <f>IF(AZ$6="","",IF(AZ$3="Maior",iferror(VLOOKUP($R112,Capa!$A:$Z,AZ$5,0),0),IF(ISERROR(1/VLOOKUP($R112,Capa!$A:$Z,AZ$5,0)),0,1/VLOOKUP($R112,Capa!$A:$Z,AZ$5,0))))</f>
        <v/>
      </c>
      <c r="BA113" s="124" t="str">
        <f>IF(BA$6="","",IF(BA$3="Maior",iferror(VLOOKUP($R112,Capa!$A:$Z,BA$5,0),0),IF(ISERROR(1/VLOOKUP($R112,Capa!$A:$Z,BA$5,0)),0,1/VLOOKUP($R112,Capa!$A:$Z,BA$5,0))))</f>
        <v/>
      </c>
      <c r="BB113" s="124" t="str">
        <f>IF(BB$6="","",IF(BB$3="Maior",iferror(VLOOKUP($R112,Capa!$A:$Z,BB$5,0),0),IF(ISERROR(1/VLOOKUP($R112,Capa!$A:$Z,BB$5,0)),0,1/VLOOKUP($R112,Capa!$A:$Z,BB$5,0))))</f>
        <v/>
      </c>
      <c r="BC113" s="124" t="str">
        <f>IF(BC$6="","",IF(BC$3="Maior",iferror(VLOOKUP($R112,Capa!$A:$Z,BC$5,0),0),IF(ISERROR(1/VLOOKUP($R112,Capa!$A:$Z,BC$5,0)),0,1/VLOOKUP($R112,Capa!$A:$Z,BC$5,0))))</f>
        <v/>
      </c>
      <c r="BD113" s="124" t="str">
        <f>IF(BD$6="","",IF(BD$3="Maior",iferror(VLOOKUP($R112,Capa!$A:$Z,BD$5,0),0),IF(ISERROR(1/VLOOKUP($R112,Capa!$A:$Z,BD$5,0)),0,1/VLOOKUP($R112,Capa!$A:$Z,BD$5,0))))</f>
        <v/>
      </c>
      <c r="BE113" s="124" t="str">
        <f>IF(BE$6="","",IF(BE$3="Maior",iferror(VLOOKUP($R112,Capa!$A:$Z,BE$5,0),0),IF(ISERROR(1/VLOOKUP($R112,Capa!$A:$Z,BE$5,0)),0,1/VLOOKUP($R112,Capa!$A:$Z,BE$5,0))))</f>
        <v/>
      </c>
      <c r="BF113" s="124" t="str">
        <f>IF(BF$6="","",IF(BF$3="Maior",iferror(VLOOKUP($R112,Capa!$A:$Z,BF$5,0),0),IF(ISERROR(1/VLOOKUP($R112,Capa!$A:$Z,BF$5,0)),0,1/VLOOKUP($R112,Capa!$A:$Z,BF$5,0))))</f>
        <v/>
      </c>
      <c r="BG113" s="124" t="str">
        <f>IF(BG$6="","",IF(BG$3="Maior",iferror(VLOOKUP($R112,Capa!$A:$Z,BG$5,0),0),IF(ISERROR(1/VLOOKUP($R112,Capa!$A:$Z,BG$5,0)),0,1/VLOOKUP($R112,Capa!$A:$Z,BG$5,0))))</f>
        <v/>
      </c>
      <c r="BH113" s="124" t="str">
        <f>IF(BH$6="","",IF(BH$3="Maior",iferror(VLOOKUP($R112,Capa!$A:$Z,BH$5,0),0),IF(ISERROR(1/VLOOKUP($R112,Capa!$A:$Z,BH$5,0)),0,1/VLOOKUP($R112,Capa!$A:$Z,BH$5,0))))</f>
        <v/>
      </c>
      <c r="BI113" s="124" t="str">
        <f>IF(BI$6="","",IF(BI$3="Maior",iferror(VLOOKUP($R112,Capa!$A:$Z,BI$5,0),0),IF(ISERROR(1/VLOOKUP($R112,Capa!$A:$Z,BI$5,0)),0,1/VLOOKUP($R112,Capa!$A:$Z,BI$5,0))))</f>
        <v/>
      </c>
      <c r="BJ113" s="124" t="str">
        <f>IF(BJ$6="","",IF(BJ$3="Maior",iferror(VLOOKUP($R112,Capa!$A:$Z,BJ$5,0),0),IF(ISERROR(1/VLOOKUP($R112,Capa!$A:$Z,BJ$5,0)),0,1/VLOOKUP($R112,Capa!$A:$Z,BJ$5,0))))</f>
        <v/>
      </c>
      <c r="BK113" s="124" t="str">
        <f>IF(BK$6="","",IF(BK$3="Maior",iferror(VLOOKUP($R112,Capa!$A:$Z,BK$5,0),0),IF(ISERROR(1/VLOOKUP($R112,Capa!$A:$Z,BK$5,0)),0,1/VLOOKUP($R112,Capa!$A:$Z,BK$5,0))))</f>
        <v/>
      </c>
      <c r="BL113" s="124" t="str">
        <f>IF(BL$6="","",IF(BL$3="Maior",iferror(VLOOKUP($R112,Capa!$A:$Z,BL$5,0),0),IF(ISERROR(1/VLOOKUP($R112,Capa!$A:$Z,BL$5,0)),0,1/VLOOKUP($R112,Capa!$A:$Z,BL$5,0))))</f>
        <v/>
      </c>
      <c r="BM113" s="124" t="str">
        <f>IF(BM$6="","",IF(BM$3="Maior",iferror(VLOOKUP($R112,Capa!$A:$Z,BM$5,0),0),IF(ISERROR(1/VLOOKUP($R112,Capa!$A:$Z,BM$5,0)),0,1/VLOOKUP($R112,Capa!$A:$Z,BM$5,0))))</f>
        <v/>
      </c>
      <c r="BN113" s="124" t="str">
        <f>IF(BN$6="","",IF(BN$3="Maior",iferror(VLOOKUP($R112,Capa!$A:$Z,BN$5,0),0),IF(ISERROR(1/VLOOKUP($R112,Capa!$A:$Z,BN$5,0)),0,1/VLOOKUP($R112,Capa!$A:$Z,BN$5,0))))</f>
        <v/>
      </c>
      <c r="BO113" s="124" t="str">
        <f>IF(BO$6="","",IF(BO$3="Maior",iferror(VLOOKUP($R112,Capa!$A:$Z,BO$5,0),0),IF(ISERROR(1/VLOOKUP($R112,Capa!$A:$Z,BO$5,0)),0,1/VLOOKUP($R112,Capa!$A:$Z,BO$5,0))))</f>
        <v/>
      </c>
      <c r="BP113" s="124" t="str">
        <f>IF(BP$6="","",IF(BP$3="Maior",iferror(VLOOKUP($R112,Capa!$A:$Z,BP$5,0),0),IF(ISERROR(1/VLOOKUP($R112,Capa!$A:$Z,BP$5,0)),0,1/VLOOKUP($R112,Capa!$A:$Z,BP$5,0))))</f>
        <v/>
      </c>
      <c r="BQ113" s="124" t="str">
        <f>IF(BQ$6="","",IF(BQ$3="Maior",iferror(VLOOKUP($R112,Capa!$A:$Z,BQ$5,0),0),IF(ISERROR(1/VLOOKUP($R112,Capa!$A:$Z,BQ$5,0)),0,1/VLOOKUP($R112,Capa!$A:$Z,BQ$5,0))))</f>
        <v/>
      </c>
      <c r="BR113" s="125" t="str">
        <f>IF(BR$6="","",IF(BR$3="Maior",iferror(VLOOKUP($R112,Capa!$A:$Z,BR$5,0),0),IF(ISERROR(1/VLOOKUP($R112,Capa!$A:$Z,BR$5,0)),0,1/VLOOKUP($R112,Capa!$A:$Z,BR$5,0))))</f>
        <v/>
      </c>
      <c r="BS113" s="88"/>
    </row>
    <row r="114">
      <c r="G114" s="9"/>
      <c r="H114" s="7">
        <v>108.0</v>
      </c>
      <c r="I114" s="111" t="str">
        <f t="shared" si="7"/>
        <v>HUSC11</v>
      </c>
      <c r="J114" s="112" t="str">
        <f>VLOOKUP(I114,Capa!A:G,7,0)</f>
        <v>Hospital</v>
      </c>
      <c r="K114" s="113">
        <f t="shared" si="8"/>
        <v>0.6758621021</v>
      </c>
      <c r="L114" s="113">
        <f t="shared" si="9"/>
        <v>0.09404954323</v>
      </c>
      <c r="M114" s="113" t="str">
        <f t="shared" si="10"/>
        <v/>
      </c>
      <c r="N114" s="113" t="str">
        <f t="shared" si="11"/>
        <v/>
      </c>
      <c r="O114" s="114">
        <f t="shared" si="12"/>
        <v>6854.4</v>
      </c>
      <c r="P114" s="9"/>
      <c r="Q114" s="9"/>
      <c r="R114" s="115" t="s">
        <v>141</v>
      </c>
      <c r="S114" s="116">
        <f t="shared" si="13"/>
        <v>206.00872</v>
      </c>
      <c r="T114" s="117">
        <f>MID(VLOOKUP($R114,'Dados ClubeFII'!$A:$AU,23,0),3,100)/1</f>
        <v>2476893.02</v>
      </c>
      <c r="U114" s="118">
        <f t="shared" si="14"/>
        <v>86.0086</v>
      </c>
      <c r="V114" s="118">
        <f t="shared" si="15"/>
        <v>120.00012</v>
      </c>
      <c r="W114" s="118" t="str">
        <f t="shared" ref="W114:AS114" si="123">IF(AV114="","", RANK(AV114,AV$7:AV$405,0))</f>
        <v/>
      </c>
      <c r="X114" s="118" t="str">
        <f t="shared" si="123"/>
        <v/>
      </c>
      <c r="Y114" s="118" t="str">
        <f t="shared" si="123"/>
        <v/>
      </c>
      <c r="Z114" s="118" t="str">
        <f t="shared" si="123"/>
        <v/>
      </c>
      <c r="AA114" s="118" t="str">
        <f t="shared" si="123"/>
        <v/>
      </c>
      <c r="AB114" s="118" t="str">
        <f t="shared" si="123"/>
        <v/>
      </c>
      <c r="AC114" s="118" t="str">
        <f t="shared" si="123"/>
        <v/>
      </c>
      <c r="AD114" s="118" t="str">
        <f t="shared" si="123"/>
        <v/>
      </c>
      <c r="AE114" s="118" t="str">
        <f t="shared" si="123"/>
        <v/>
      </c>
      <c r="AF114" s="118" t="str">
        <f t="shared" si="123"/>
        <v/>
      </c>
      <c r="AG114" s="118" t="str">
        <f t="shared" si="123"/>
        <v/>
      </c>
      <c r="AH114" s="118" t="str">
        <f t="shared" si="123"/>
        <v/>
      </c>
      <c r="AI114" s="118" t="str">
        <f t="shared" si="123"/>
        <v/>
      </c>
      <c r="AJ114" s="118" t="str">
        <f t="shared" si="123"/>
        <v/>
      </c>
      <c r="AK114" s="118" t="str">
        <f t="shared" si="123"/>
        <v/>
      </c>
      <c r="AL114" s="118" t="str">
        <f t="shared" si="123"/>
        <v/>
      </c>
      <c r="AM114" s="118" t="str">
        <f t="shared" si="123"/>
        <v/>
      </c>
      <c r="AN114" s="118" t="str">
        <f t="shared" si="123"/>
        <v/>
      </c>
      <c r="AO114" s="118" t="str">
        <f t="shared" si="123"/>
        <v/>
      </c>
      <c r="AP114" s="118" t="str">
        <f t="shared" si="123"/>
        <v/>
      </c>
      <c r="AQ114" s="118" t="str">
        <f t="shared" si="123"/>
        <v/>
      </c>
      <c r="AR114" s="118" t="str">
        <f t="shared" si="123"/>
        <v/>
      </c>
      <c r="AS114" s="118" t="str">
        <f t="shared" si="123"/>
        <v/>
      </c>
      <c r="AT114" s="123">
        <f>IF(AT$6="","",IF(AT$3="Maior",iferror(VLOOKUP($R114,Capa!$A:$Z,AT$5,0),0),IF(ISERROR(1/VLOOKUP($R114,Capa!$A:$Z,AT$5,0)),0,1/VLOOKUP($R114,Capa!$A:$Z,AT$5,0))))</f>
        <v>1.216714436</v>
      </c>
      <c r="AU114" s="124">
        <f>IF(AU$6="","",IF(AU$3="Maior",iferror(VLOOKUP($R114,Capa!$A:$Z,AU$5,0),0),IF(ISERROR(1/VLOOKUP($R114,Capa!$A:$Z,AU$5,0)),0,1/VLOOKUP($R114,Capa!$A:$Z,AU$5,0))))</f>
        <v>0.09912741441</v>
      </c>
      <c r="AV114" s="124" t="str">
        <f>IF(AV$6="","",IF(AV$3="Maior",iferror(VLOOKUP($R113,Capa!$A:$Z,AV$5,0),0),IF(ISERROR(1/VLOOKUP($R113,Capa!$A:$Z,AV$5,0)),0,1/VLOOKUP($R113,Capa!$A:$Z,AV$5,0))))</f>
        <v/>
      </c>
      <c r="AW114" s="124" t="str">
        <f>IF(AW$6="","",IF(AW$3="Maior",iferror(VLOOKUP($R113,Capa!$A:$Z,AW$5,0),0),IF(ISERROR(1/VLOOKUP($R113,Capa!$A:$Z,AW$5,0)),0,1/VLOOKUP($R113,Capa!$A:$Z,AW$5,0))))</f>
        <v/>
      </c>
      <c r="AX114" s="124" t="str">
        <f>IF(AX$6="","",IF(AX$3="Maior",iferror(VLOOKUP($R113,Capa!$A:$Z,AX$5,0),0),IF(ISERROR(1/VLOOKUP($R113,Capa!$A:$Z,AX$5,0)),0,1/VLOOKUP($R113,Capa!$A:$Z,AX$5,0))))</f>
        <v/>
      </c>
      <c r="AY114" s="124" t="str">
        <f>IF(AY$6="","",IF(AY$3="Maior",iferror(VLOOKUP($R113,Capa!$A:$Z,AY$5,0),0),IF(ISERROR(1/VLOOKUP($R113,Capa!$A:$Z,AY$5,0)),0,1/VLOOKUP($R113,Capa!$A:$Z,AY$5,0))))</f>
        <v/>
      </c>
      <c r="AZ114" s="124" t="str">
        <f>IF(AZ$6="","",IF(AZ$3="Maior",iferror(VLOOKUP($R113,Capa!$A:$Z,AZ$5,0),0),IF(ISERROR(1/VLOOKUP($R113,Capa!$A:$Z,AZ$5,0)),0,1/VLOOKUP($R113,Capa!$A:$Z,AZ$5,0))))</f>
        <v/>
      </c>
      <c r="BA114" s="124" t="str">
        <f>IF(BA$6="","",IF(BA$3="Maior",iferror(VLOOKUP($R113,Capa!$A:$Z,BA$5,0),0),IF(ISERROR(1/VLOOKUP($R113,Capa!$A:$Z,BA$5,0)),0,1/VLOOKUP($R113,Capa!$A:$Z,BA$5,0))))</f>
        <v/>
      </c>
      <c r="BB114" s="124" t="str">
        <f>IF(BB$6="","",IF(BB$3="Maior",iferror(VLOOKUP($R113,Capa!$A:$Z,BB$5,0),0),IF(ISERROR(1/VLOOKUP($R113,Capa!$A:$Z,BB$5,0)),0,1/VLOOKUP($R113,Capa!$A:$Z,BB$5,0))))</f>
        <v/>
      </c>
      <c r="BC114" s="124" t="str">
        <f>IF(BC$6="","",IF(BC$3="Maior",iferror(VLOOKUP($R113,Capa!$A:$Z,BC$5,0),0),IF(ISERROR(1/VLOOKUP($R113,Capa!$A:$Z,BC$5,0)),0,1/VLOOKUP($R113,Capa!$A:$Z,BC$5,0))))</f>
        <v/>
      </c>
      <c r="BD114" s="124" t="str">
        <f>IF(BD$6="","",IF(BD$3="Maior",iferror(VLOOKUP($R113,Capa!$A:$Z,BD$5,0),0),IF(ISERROR(1/VLOOKUP($R113,Capa!$A:$Z,BD$5,0)),0,1/VLOOKUP($R113,Capa!$A:$Z,BD$5,0))))</f>
        <v/>
      </c>
      <c r="BE114" s="124" t="str">
        <f>IF(BE$6="","",IF(BE$3="Maior",iferror(VLOOKUP($R113,Capa!$A:$Z,BE$5,0),0),IF(ISERROR(1/VLOOKUP($R113,Capa!$A:$Z,BE$5,0)),0,1/VLOOKUP($R113,Capa!$A:$Z,BE$5,0))))</f>
        <v/>
      </c>
      <c r="BF114" s="124" t="str">
        <f>IF(BF$6="","",IF(BF$3="Maior",iferror(VLOOKUP($R113,Capa!$A:$Z,BF$5,0),0),IF(ISERROR(1/VLOOKUP($R113,Capa!$A:$Z,BF$5,0)),0,1/VLOOKUP($R113,Capa!$A:$Z,BF$5,0))))</f>
        <v/>
      </c>
      <c r="BG114" s="124" t="str">
        <f>IF(BG$6="","",IF(BG$3="Maior",iferror(VLOOKUP($R113,Capa!$A:$Z,BG$5,0),0),IF(ISERROR(1/VLOOKUP($R113,Capa!$A:$Z,BG$5,0)),0,1/VLOOKUP($R113,Capa!$A:$Z,BG$5,0))))</f>
        <v/>
      </c>
      <c r="BH114" s="124" t="str">
        <f>IF(BH$6="","",IF(BH$3="Maior",iferror(VLOOKUP($R113,Capa!$A:$Z,BH$5,0),0),IF(ISERROR(1/VLOOKUP($R113,Capa!$A:$Z,BH$5,0)),0,1/VLOOKUP($R113,Capa!$A:$Z,BH$5,0))))</f>
        <v/>
      </c>
      <c r="BI114" s="124" t="str">
        <f>IF(BI$6="","",IF(BI$3="Maior",iferror(VLOOKUP($R113,Capa!$A:$Z,BI$5,0),0),IF(ISERROR(1/VLOOKUP($R113,Capa!$A:$Z,BI$5,0)),0,1/VLOOKUP($R113,Capa!$A:$Z,BI$5,0))))</f>
        <v/>
      </c>
      <c r="BJ114" s="124" t="str">
        <f>IF(BJ$6="","",IF(BJ$3="Maior",iferror(VLOOKUP($R113,Capa!$A:$Z,BJ$5,0),0),IF(ISERROR(1/VLOOKUP($R113,Capa!$A:$Z,BJ$5,0)),0,1/VLOOKUP($R113,Capa!$A:$Z,BJ$5,0))))</f>
        <v/>
      </c>
      <c r="BK114" s="124" t="str">
        <f>IF(BK$6="","",IF(BK$3="Maior",iferror(VLOOKUP($R113,Capa!$A:$Z,BK$5,0),0),IF(ISERROR(1/VLOOKUP($R113,Capa!$A:$Z,BK$5,0)),0,1/VLOOKUP($R113,Capa!$A:$Z,BK$5,0))))</f>
        <v/>
      </c>
      <c r="BL114" s="124" t="str">
        <f>IF(BL$6="","",IF(BL$3="Maior",iferror(VLOOKUP($R113,Capa!$A:$Z,BL$5,0),0),IF(ISERROR(1/VLOOKUP($R113,Capa!$A:$Z,BL$5,0)),0,1/VLOOKUP($R113,Capa!$A:$Z,BL$5,0))))</f>
        <v/>
      </c>
      <c r="BM114" s="124" t="str">
        <f>IF(BM$6="","",IF(BM$3="Maior",iferror(VLOOKUP($R113,Capa!$A:$Z,BM$5,0),0),IF(ISERROR(1/VLOOKUP($R113,Capa!$A:$Z,BM$5,0)),0,1/VLOOKUP($R113,Capa!$A:$Z,BM$5,0))))</f>
        <v/>
      </c>
      <c r="BN114" s="124" t="str">
        <f>IF(BN$6="","",IF(BN$3="Maior",iferror(VLOOKUP($R113,Capa!$A:$Z,BN$5,0),0),IF(ISERROR(1/VLOOKUP($R113,Capa!$A:$Z,BN$5,0)),0,1/VLOOKUP($R113,Capa!$A:$Z,BN$5,0))))</f>
        <v/>
      </c>
      <c r="BO114" s="124" t="str">
        <f>IF(BO$6="","",IF(BO$3="Maior",iferror(VLOOKUP($R113,Capa!$A:$Z,BO$5,0),0),IF(ISERROR(1/VLOOKUP($R113,Capa!$A:$Z,BO$5,0)),0,1/VLOOKUP($R113,Capa!$A:$Z,BO$5,0))))</f>
        <v/>
      </c>
      <c r="BP114" s="124" t="str">
        <f>IF(BP$6="","",IF(BP$3="Maior",iferror(VLOOKUP($R113,Capa!$A:$Z,BP$5,0),0),IF(ISERROR(1/VLOOKUP($R113,Capa!$A:$Z,BP$5,0)),0,1/VLOOKUP($R113,Capa!$A:$Z,BP$5,0))))</f>
        <v/>
      </c>
      <c r="BQ114" s="124" t="str">
        <f>IF(BQ$6="","",IF(BQ$3="Maior",iferror(VLOOKUP($R113,Capa!$A:$Z,BQ$5,0),0),IF(ISERROR(1/VLOOKUP($R113,Capa!$A:$Z,BQ$5,0)),0,1/VLOOKUP($R113,Capa!$A:$Z,BQ$5,0))))</f>
        <v/>
      </c>
      <c r="BR114" s="125" t="str">
        <f>IF(BR$6="","",IF(BR$3="Maior",iferror(VLOOKUP($R113,Capa!$A:$Z,BR$5,0),0),IF(ISERROR(1/VLOOKUP($R113,Capa!$A:$Z,BR$5,0)),0,1/VLOOKUP($R113,Capa!$A:$Z,BR$5,0))))</f>
        <v/>
      </c>
      <c r="BS114" s="88"/>
    </row>
    <row r="115">
      <c r="G115" s="9"/>
      <c r="H115" s="7">
        <v>109.0</v>
      </c>
      <c r="I115" s="111" t="str">
        <f t="shared" si="7"/>
        <v>HSLG11</v>
      </c>
      <c r="J115" s="112" t="str">
        <f>VLOOKUP(I115,Capa!A:G,7,0)</f>
        <v>Logisticos</v>
      </c>
      <c r="K115" s="113">
        <f t="shared" si="8"/>
        <v>0.7235150887</v>
      </c>
      <c r="L115" s="113">
        <f t="shared" si="9"/>
        <v>0.1021720632</v>
      </c>
      <c r="M115" s="113" t="str">
        <f t="shared" si="10"/>
        <v/>
      </c>
      <c r="N115" s="113" t="str">
        <f t="shared" si="11"/>
        <v/>
      </c>
      <c r="O115" s="114">
        <f t="shared" si="12"/>
        <v>666843.58</v>
      </c>
      <c r="P115" s="9"/>
      <c r="Q115" s="9"/>
      <c r="R115" s="115" t="s">
        <v>131</v>
      </c>
      <c r="S115" s="116">
        <f t="shared" si="13"/>
        <v>1293.015836</v>
      </c>
      <c r="T115" s="117">
        <f>MID(VLOOKUP($R115,'Dados ClubeFII'!$A:$AU,23,0),3,100)/1</f>
        <v>237770.19</v>
      </c>
      <c r="U115" s="118">
        <f t="shared" si="14"/>
        <v>157.0157</v>
      </c>
      <c r="V115" s="118">
        <f t="shared" si="15"/>
        <v>136.000136</v>
      </c>
      <c r="W115" s="118" t="str">
        <f t="shared" ref="W115:AS115" si="124">IF(AV115="","", RANK(AV115,AV$7:AV$405,0))</f>
        <v/>
      </c>
      <c r="X115" s="118" t="str">
        <f t="shared" si="124"/>
        <v/>
      </c>
      <c r="Y115" s="118" t="str">
        <f t="shared" si="124"/>
        <v/>
      </c>
      <c r="Z115" s="118" t="str">
        <f t="shared" si="124"/>
        <v/>
      </c>
      <c r="AA115" s="118" t="str">
        <f t="shared" si="124"/>
        <v/>
      </c>
      <c r="AB115" s="118" t="str">
        <f t="shared" si="124"/>
        <v/>
      </c>
      <c r="AC115" s="118" t="str">
        <f t="shared" si="124"/>
        <v/>
      </c>
      <c r="AD115" s="118" t="str">
        <f t="shared" si="124"/>
        <v/>
      </c>
      <c r="AE115" s="118" t="str">
        <f t="shared" si="124"/>
        <v/>
      </c>
      <c r="AF115" s="118" t="str">
        <f t="shared" si="124"/>
        <v/>
      </c>
      <c r="AG115" s="118" t="str">
        <f t="shared" si="124"/>
        <v/>
      </c>
      <c r="AH115" s="118" t="str">
        <f t="shared" si="124"/>
        <v/>
      </c>
      <c r="AI115" s="118" t="str">
        <f t="shared" si="124"/>
        <v/>
      </c>
      <c r="AJ115" s="118" t="str">
        <f t="shared" si="124"/>
        <v/>
      </c>
      <c r="AK115" s="118" t="str">
        <f t="shared" si="124"/>
        <v/>
      </c>
      <c r="AL115" s="118" t="str">
        <f t="shared" si="124"/>
        <v/>
      </c>
      <c r="AM115" s="118" t="str">
        <f t="shared" si="124"/>
        <v/>
      </c>
      <c r="AN115" s="118" t="str">
        <f t="shared" si="124"/>
        <v/>
      </c>
      <c r="AO115" s="118" t="str">
        <f t="shared" si="124"/>
        <v/>
      </c>
      <c r="AP115" s="118" t="str">
        <f t="shared" si="124"/>
        <v/>
      </c>
      <c r="AQ115" s="118" t="str">
        <f t="shared" si="124"/>
        <v/>
      </c>
      <c r="AR115" s="118" t="str">
        <f t="shared" si="124"/>
        <v/>
      </c>
      <c r="AS115" s="118" t="str">
        <f t="shared" si="124"/>
        <v/>
      </c>
      <c r="AT115" s="123">
        <f>IF(AT$6="","",IF(AT$3="Maior",iferror(VLOOKUP($R115,Capa!$A:$Z,AT$5,0),0),IF(ISERROR(1/VLOOKUP($R115,Capa!$A:$Z,AT$5,0)),0,1/VLOOKUP($R115,Capa!$A:$Z,AT$5,0))))</f>
        <v>1.048805509</v>
      </c>
      <c r="AU115" s="124">
        <f>IF(AU$6="","",IF(AU$3="Maior",iferror(VLOOKUP($R115,Capa!$A:$Z,AU$5,0),0),IF(ISERROR(1/VLOOKUP($R115,Capa!$A:$Z,AU$5,0)),0,1/VLOOKUP($R115,Capa!$A:$Z,AU$5,0))))</f>
        <v>0.09057923438</v>
      </c>
      <c r="AV115" s="124" t="str">
        <f>IF(AV$6="","",IF(AV$3="Maior",iferror(VLOOKUP($R114,Capa!$A:$Z,AV$5,0),0),IF(ISERROR(1/VLOOKUP($R114,Capa!$A:$Z,AV$5,0)),0,1/VLOOKUP($R114,Capa!$A:$Z,AV$5,0))))</f>
        <v/>
      </c>
      <c r="AW115" s="124" t="str">
        <f>IF(AW$6="","",IF(AW$3="Maior",iferror(VLOOKUP($R114,Capa!$A:$Z,AW$5,0),0),IF(ISERROR(1/VLOOKUP($R114,Capa!$A:$Z,AW$5,0)),0,1/VLOOKUP($R114,Capa!$A:$Z,AW$5,0))))</f>
        <v/>
      </c>
      <c r="AX115" s="124" t="str">
        <f>IF(AX$6="","",IF(AX$3="Maior",iferror(VLOOKUP($R114,Capa!$A:$Z,AX$5,0),0),IF(ISERROR(1/VLOOKUP($R114,Capa!$A:$Z,AX$5,0)),0,1/VLOOKUP($R114,Capa!$A:$Z,AX$5,0))))</f>
        <v/>
      </c>
      <c r="AY115" s="124" t="str">
        <f>IF(AY$6="","",IF(AY$3="Maior",iferror(VLOOKUP($R114,Capa!$A:$Z,AY$5,0),0),IF(ISERROR(1/VLOOKUP($R114,Capa!$A:$Z,AY$5,0)),0,1/VLOOKUP($R114,Capa!$A:$Z,AY$5,0))))</f>
        <v/>
      </c>
      <c r="AZ115" s="124" t="str">
        <f>IF(AZ$6="","",IF(AZ$3="Maior",iferror(VLOOKUP($R114,Capa!$A:$Z,AZ$5,0),0),IF(ISERROR(1/VLOOKUP($R114,Capa!$A:$Z,AZ$5,0)),0,1/VLOOKUP($R114,Capa!$A:$Z,AZ$5,0))))</f>
        <v/>
      </c>
      <c r="BA115" s="124" t="str">
        <f>IF(BA$6="","",IF(BA$3="Maior",iferror(VLOOKUP($R114,Capa!$A:$Z,BA$5,0),0),IF(ISERROR(1/VLOOKUP($R114,Capa!$A:$Z,BA$5,0)),0,1/VLOOKUP($R114,Capa!$A:$Z,BA$5,0))))</f>
        <v/>
      </c>
      <c r="BB115" s="124" t="str">
        <f>IF(BB$6="","",IF(BB$3="Maior",iferror(VLOOKUP($R114,Capa!$A:$Z,BB$5,0),0),IF(ISERROR(1/VLOOKUP($R114,Capa!$A:$Z,BB$5,0)),0,1/VLOOKUP($R114,Capa!$A:$Z,BB$5,0))))</f>
        <v/>
      </c>
      <c r="BC115" s="124" t="str">
        <f>IF(BC$6="","",IF(BC$3="Maior",iferror(VLOOKUP($R114,Capa!$A:$Z,BC$5,0),0),IF(ISERROR(1/VLOOKUP($R114,Capa!$A:$Z,BC$5,0)),0,1/VLOOKUP($R114,Capa!$A:$Z,BC$5,0))))</f>
        <v/>
      </c>
      <c r="BD115" s="124" t="str">
        <f>IF(BD$6="","",IF(BD$3="Maior",iferror(VLOOKUP($R114,Capa!$A:$Z,BD$5,0),0),IF(ISERROR(1/VLOOKUP($R114,Capa!$A:$Z,BD$5,0)),0,1/VLOOKUP($R114,Capa!$A:$Z,BD$5,0))))</f>
        <v/>
      </c>
      <c r="BE115" s="124" t="str">
        <f>IF(BE$6="","",IF(BE$3="Maior",iferror(VLOOKUP($R114,Capa!$A:$Z,BE$5,0),0),IF(ISERROR(1/VLOOKUP($R114,Capa!$A:$Z,BE$5,0)),0,1/VLOOKUP($R114,Capa!$A:$Z,BE$5,0))))</f>
        <v/>
      </c>
      <c r="BF115" s="124" t="str">
        <f>IF(BF$6="","",IF(BF$3="Maior",iferror(VLOOKUP($R114,Capa!$A:$Z,BF$5,0),0),IF(ISERROR(1/VLOOKUP($R114,Capa!$A:$Z,BF$5,0)),0,1/VLOOKUP($R114,Capa!$A:$Z,BF$5,0))))</f>
        <v/>
      </c>
      <c r="BG115" s="124" t="str">
        <f>IF(BG$6="","",IF(BG$3="Maior",iferror(VLOOKUP($R114,Capa!$A:$Z,BG$5,0),0),IF(ISERROR(1/VLOOKUP($R114,Capa!$A:$Z,BG$5,0)),0,1/VLOOKUP($R114,Capa!$A:$Z,BG$5,0))))</f>
        <v/>
      </c>
      <c r="BH115" s="124" t="str">
        <f>IF(BH$6="","",IF(BH$3="Maior",iferror(VLOOKUP($R114,Capa!$A:$Z,BH$5,0),0),IF(ISERROR(1/VLOOKUP($R114,Capa!$A:$Z,BH$5,0)),0,1/VLOOKUP($R114,Capa!$A:$Z,BH$5,0))))</f>
        <v/>
      </c>
      <c r="BI115" s="124" t="str">
        <f>IF(BI$6="","",IF(BI$3="Maior",iferror(VLOOKUP($R114,Capa!$A:$Z,BI$5,0),0),IF(ISERROR(1/VLOOKUP($R114,Capa!$A:$Z,BI$5,0)),0,1/VLOOKUP($R114,Capa!$A:$Z,BI$5,0))))</f>
        <v/>
      </c>
      <c r="BJ115" s="124" t="str">
        <f>IF(BJ$6="","",IF(BJ$3="Maior",iferror(VLOOKUP($R114,Capa!$A:$Z,BJ$5,0),0),IF(ISERROR(1/VLOOKUP($R114,Capa!$A:$Z,BJ$5,0)),0,1/VLOOKUP($R114,Capa!$A:$Z,BJ$5,0))))</f>
        <v/>
      </c>
      <c r="BK115" s="124" t="str">
        <f>IF(BK$6="","",IF(BK$3="Maior",iferror(VLOOKUP($R114,Capa!$A:$Z,BK$5,0),0),IF(ISERROR(1/VLOOKUP($R114,Capa!$A:$Z,BK$5,0)),0,1/VLOOKUP($R114,Capa!$A:$Z,BK$5,0))))</f>
        <v/>
      </c>
      <c r="BL115" s="124" t="str">
        <f>IF(BL$6="","",IF(BL$3="Maior",iferror(VLOOKUP($R114,Capa!$A:$Z,BL$5,0),0),IF(ISERROR(1/VLOOKUP($R114,Capa!$A:$Z,BL$5,0)),0,1/VLOOKUP($R114,Capa!$A:$Z,BL$5,0))))</f>
        <v/>
      </c>
      <c r="BM115" s="124" t="str">
        <f>IF(BM$6="","",IF(BM$3="Maior",iferror(VLOOKUP($R114,Capa!$A:$Z,BM$5,0),0),IF(ISERROR(1/VLOOKUP($R114,Capa!$A:$Z,BM$5,0)),0,1/VLOOKUP($R114,Capa!$A:$Z,BM$5,0))))</f>
        <v/>
      </c>
      <c r="BN115" s="124" t="str">
        <f>IF(BN$6="","",IF(BN$3="Maior",iferror(VLOOKUP($R114,Capa!$A:$Z,BN$5,0),0),IF(ISERROR(1/VLOOKUP($R114,Capa!$A:$Z,BN$5,0)),0,1/VLOOKUP($R114,Capa!$A:$Z,BN$5,0))))</f>
        <v/>
      </c>
      <c r="BO115" s="124" t="str">
        <f>IF(BO$6="","",IF(BO$3="Maior",iferror(VLOOKUP($R114,Capa!$A:$Z,BO$5,0),0),IF(ISERROR(1/VLOOKUP($R114,Capa!$A:$Z,BO$5,0)),0,1/VLOOKUP($R114,Capa!$A:$Z,BO$5,0))))</f>
        <v/>
      </c>
      <c r="BP115" s="124" t="str">
        <f>IF(BP$6="","",IF(BP$3="Maior",iferror(VLOOKUP($R114,Capa!$A:$Z,BP$5,0),0),IF(ISERROR(1/VLOOKUP($R114,Capa!$A:$Z,BP$5,0)),0,1/VLOOKUP($R114,Capa!$A:$Z,BP$5,0))))</f>
        <v/>
      </c>
      <c r="BQ115" s="124" t="str">
        <f>IF(BQ$6="","",IF(BQ$3="Maior",iferror(VLOOKUP($R114,Capa!$A:$Z,BQ$5,0),0),IF(ISERROR(1/VLOOKUP($R114,Capa!$A:$Z,BQ$5,0)),0,1/VLOOKUP($R114,Capa!$A:$Z,BQ$5,0))))</f>
        <v/>
      </c>
      <c r="BR115" s="125" t="str">
        <f>IF(BR$6="","",IF(BR$3="Maior",iferror(VLOOKUP($R114,Capa!$A:$Z,BR$5,0),0),IF(ISERROR(1/VLOOKUP($R114,Capa!$A:$Z,BR$5,0)),0,1/VLOOKUP($R114,Capa!$A:$Z,BR$5,0))))</f>
        <v/>
      </c>
      <c r="BS115" s="88"/>
    </row>
    <row r="116">
      <c r="G116" s="9"/>
      <c r="H116" s="7">
        <v>110.0</v>
      </c>
      <c r="I116" s="111" t="str">
        <f t="shared" si="7"/>
        <v>OUJP11</v>
      </c>
      <c r="J116" s="112" t="str">
        <f>VLOOKUP(I116,Capa!A:G,7,0)</f>
        <v>Recebíveis Imobiliários</v>
      </c>
      <c r="K116" s="113">
        <f t="shared" si="8"/>
        <v>0.9145799876</v>
      </c>
      <c r="L116" s="113">
        <f t="shared" si="9"/>
        <v>0.1493499691</v>
      </c>
      <c r="M116" s="113" t="str">
        <f t="shared" si="10"/>
        <v/>
      </c>
      <c r="N116" s="113" t="str">
        <f t="shared" si="11"/>
        <v/>
      </c>
      <c r="O116" s="114">
        <f t="shared" si="12"/>
        <v>974204.95</v>
      </c>
      <c r="P116" s="9"/>
      <c r="Q116" s="9"/>
      <c r="R116" s="127" t="s">
        <v>154</v>
      </c>
      <c r="S116" s="116">
        <f t="shared" si="13"/>
        <v>1259.012832</v>
      </c>
      <c r="T116" s="117">
        <f>MID(VLOOKUP($R116,'Dados ClubeFII'!$A:$AU,23,0),3,100)/1</f>
        <v>9013.69</v>
      </c>
      <c r="U116" s="118">
        <f t="shared" si="14"/>
        <v>127.0127</v>
      </c>
      <c r="V116" s="118">
        <f t="shared" si="15"/>
        <v>132.000132</v>
      </c>
      <c r="W116" s="118" t="str">
        <f t="shared" ref="W116:AS116" si="125">IF(AV116="","", RANK(AV116,AV$7:AV$405,0))</f>
        <v/>
      </c>
      <c r="X116" s="118" t="str">
        <f t="shared" si="125"/>
        <v/>
      </c>
      <c r="Y116" s="118" t="str">
        <f t="shared" si="125"/>
        <v/>
      </c>
      <c r="Z116" s="118" t="str">
        <f t="shared" si="125"/>
        <v/>
      </c>
      <c r="AA116" s="118" t="str">
        <f t="shared" si="125"/>
        <v/>
      </c>
      <c r="AB116" s="118" t="str">
        <f t="shared" si="125"/>
        <v/>
      </c>
      <c r="AC116" s="118" t="str">
        <f t="shared" si="125"/>
        <v/>
      </c>
      <c r="AD116" s="118" t="str">
        <f t="shared" si="125"/>
        <v/>
      </c>
      <c r="AE116" s="118" t="str">
        <f t="shared" si="125"/>
        <v/>
      </c>
      <c r="AF116" s="118" t="str">
        <f t="shared" si="125"/>
        <v/>
      </c>
      <c r="AG116" s="118" t="str">
        <f t="shared" si="125"/>
        <v/>
      </c>
      <c r="AH116" s="118" t="str">
        <f t="shared" si="125"/>
        <v/>
      </c>
      <c r="AI116" s="118" t="str">
        <f t="shared" si="125"/>
        <v/>
      </c>
      <c r="AJ116" s="118" t="str">
        <f t="shared" si="125"/>
        <v/>
      </c>
      <c r="AK116" s="118" t="str">
        <f t="shared" si="125"/>
        <v/>
      </c>
      <c r="AL116" s="118" t="str">
        <f t="shared" si="125"/>
        <v/>
      </c>
      <c r="AM116" s="118" t="str">
        <f t="shared" si="125"/>
        <v/>
      </c>
      <c r="AN116" s="118" t="str">
        <f t="shared" si="125"/>
        <v/>
      </c>
      <c r="AO116" s="118" t="str">
        <f t="shared" si="125"/>
        <v/>
      </c>
      <c r="AP116" s="118" t="str">
        <f t="shared" si="125"/>
        <v/>
      </c>
      <c r="AQ116" s="118" t="str">
        <f t="shared" si="125"/>
        <v/>
      </c>
      <c r="AR116" s="118" t="str">
        <f t="shared" si="125"/>
        <v/>
      </c>
      <c r="AS116" s="118" t="str">
        <f t="shared" si="125"/>
        <v/>
      </c>
      <c r="AT116" s="123">
        <f>IF(AT$6="","",IF(AT$3="Maior",iferror(VLOOKUP($R116,Capa!$A:$Z,AT$5,0),0),IF(ISERROR(1/VLOOKUP($R116,Capa!$A:$Z,AT$5,0)),0,1/VLOOKUP($R116,Capa!$A:$Z,AT$5,0))))</f>
        <v>1.137409543</v>
      </c>
      <c r="AU116" s="124">
        <f>IF(AU$6="","",IF(AU$3="Maior",iferror(VLOOKUP($R116,Capa!$A:$Z,AU$5,0),0),IF(ISERROR(1/VLOOKUP($R116,Capa!$A:$Z,AU$5,0)),0,1/VLOOKUP($R116,Capa!$A:$Z,AU$5,0))))</f>
        <v>0.09164608389</v>
      </c>
      <c r="AV116" s="124" t="str">
        <f>IF(AV$6="","",IF(AV$3="Maior",iferror(VLOOKUP($R115,Capa!$A:$Z,AV$5,0),0),IF(ISERROR(1/VLOOKUP($R115,Capa!$A:$Z,AV$5,0)),0,1/VLOOKUP($R115,Capa!$A:$Z,AV$5,0))))</f>
        <v/>
      </c>
      <c r="AW116" s="124" t="str">
        <f>IF(AW$6="","",IF(AW$3="Maior",iferror(VLOOKUP($R115,Capa!$A:$Z,AW$5,0),0),IF(ISERROR(1/VLOOKUP($R115,Capa!$A:$Z,AW$5,0)),0,1/VLOOKUP($R115,Capa!$A:$Z,AW$5,0))))</f>
        <v/>
      </c>
      <c r="AX116" s="124" t="str">
        <f>IF(AX$6="","",IF(AX$3="Maior",iferror(VLOOKUP($R115,Capa!$A:$Z,AX$5,0),0),IF(ISERROR(1/VLOOKUP($R115,Capa!$A:$Z,AX$5,0)),0,1/VLOOKUP($R115,Capa!$A:$Z,AX$5,0))))</f>
        <v/>
      </c>
      <c r="AY116" s="124" t="str">
        <f>IF(AY$6="","",IF(AY$3="Maior",iferror(VLOOKUP($R115,Capa!$A:$Z,AY$5,0),0),IF(ISERROR(1/VLOOKUP($R115,Capa!$A:$Z,AY$5,0)),0,1/VLOOKUP($R115,Capa!$A:$Z,AY$5,0))))</f>
        <v/>
      </c>
      <c r="AZ116" s="124" t="str">
        <f>IF(AZ$6="","",IF(AZ$3="Maior",iferror(VLOOKUP($R115,Capa!$A:$Z,AZ$5,0),0),IF(ISERROR(1/VLOOKUP($R115,Capa!$A:$Z,AZ$5,0)),0,1/VLOOKUP($R115,Capa!$A:$Z,AZ$5,0))))</f>
        <v/>
      </c>
      <c r="BA116" s="124" t="str">
        <f>IF(BA$6="","",IF(BA$3="Maior",iferror(VLOOKUP($R115,Capa!$A:$Z,BA$5,0),0),IF(ISERROR(1/VLOOKUP($R115,Capa!$A:$Z,BA$5,0)),0,1/VLOOKUP($R115,Capa!$A:$Z,BA$5,0))))</f>
        <v/>
      </c>
      <c r="BB116" s="124" t="str">
        <f>IF(BB$6="","",IF(BB$3="Maior",iferror(VLOOKUP($R115,Capa!$A:$Z,BB$5,0),0),IF(ISERROR(1/VLOOKUP($R115,Capa!$A:$Z,BB$5,0)),0,1/VLOOKUP($R115,Capa!$A:$Z,BB$5,0))))</f>
        <v/>
      </c>
      <c r="BC116" s="124" t="str">
        <f>IF(BC$6="","",IF(BC$3="Maior",iferror(VLOOKUP($R115,Capa!$A:$Z,BC$5,0),0),IF(ISERROR(1/VLOOKUP($R115,Capa!$A:$Z,BC$5,0)),0,1/VLOOKUP($R115,Capa!$A:$Z,BC$5,0))))</f>
        <v/>
      </c>
      <c r="BD116" s="124" t="str">
        <f>IF(BD$6="","",IF(BD$3="Maior",iferror(VLOOKUP($R115,Capa!$A:$Z,BD$5,0),0),IF(ISERROR(1/VLOOKUP($R115,Capa!$A:$Z,BD$5,0)),0,1/VLOOKUP($R115,Capa!$A:$Z,BD$5,0))))</f>
        <v/>
      </c>
      <c r="BE116" s="124" t="str">
        <f>IF(BE$6="","",IF(BE$3="Maior",iferror(VLOOKUP($R115,Capa!$A:$Z,BE$5,0),0),IF(ISERROR(1/VLOOKUP($R115,Capa!$A:$Z,BE$5,0)),0,1/VLOOKUP($R115,Capa!$A:$Z,BE$5,0))))</f>
        <v/>
      </c>
      <c r="BF116" s="124" t="str">
        <f>IF(BF$6="","",IF(BF$3="Maior",iferror(VLOOKUP($R115,Capa!$A:$Z,BF$5,0),0),IF(ISERROR(1/VLOOKUP($R115,Capa!$A:$Z,BF$5,0)),0,1/VLOOKUP($R115,Capa!$A:$Z,BF$5,0))))</f>
        <v/>
      </c>
      <c r="BG116" s="124" t="str">
        <f>IF(BG$6="","",IF(BG$3="Maior",iferror(VLOOKUP($R115,Capa!$A:$Z,BG$5,0),0),IF(ISERROR(1/VLOOKUP($R115,Capa!$A:$Z,BG$5,0)),0,1/VLOOKUP($R115,Capa!$A:$Z,BG$5,0))))</f>
        <v/>
      </c>
      <c r="BH116" s="124" t="str">
        <f>IF(BH$6="","",IF(BH$3="Maior",iferror(VLOOKUP($R115,Capa!$A:$Z,BH$5,0),0),IF(ISERROR(1/VLOOKUP($R115,Capa!$A:$Z,BH$5,0)),0,1/VLOOKUP($R115,Capa!$A:$Z,BH$5,0))))</f>
        <v/>
      </c>
      <c r="BI116" s="124" t="str">
        <f>IF(BI$6="","",IF(BI$3="Maior",iferror(VLOOKUP($R115,Capa!$A:$Z,BI$5,0),0),IF(ISERROR(1/VLOOKUP($R115,Capa!$A:$Z,BI$5,0)),0,1/VLOOKUP($R115,Capa!$A:$Z,BI$5,0))))</f>
        <v/>
      </c>
      <c r="BJ116" s="124" t="str">
        <f>IF(BJ$6="","",IF(BJ$3="Maior",iferror(VLOOKUP($R115,Capa!$A:$Z,BJ$5,0),0),IF(ISERROR(1/VLOOKUP($R115,Capa!$A:$Z,BJ$5,0)),0,1/VLOOKUP($R115,Capa!$A:$Z,BJ$5,0))))</f>
        <v/>
      </c>
      <c r="BK116" s="124" t="str">
        <f>IF(BK$6="","",IF(BK$3="Maior",iferror(VLOOKUP($R115,Capa!$A:$Z,BK$5,0),0),IF(ISERROR(1/VLOOKUP($R115,Capa!$A:$Z,BK$5,0)),0,1/VLOOKUP($R115,Capa!$A:$Z,BK$5,0))))</f>
        <v/>
      </c>
      <c r="BL116" s="124" t="str">
        <f>IF(BL$6="","",IF(BL$3="Maior",iferror(VLOOKUP($R115,Capa!$A:$Z,BL$5,0),0),IF(ISERROR(1/VLOOKUP($R115,Capa!$A:$Z,BL$5,0)),0,1/VLOOKUP($R115,Capa!$A:$Z,BL$5,0))))</f>
        <v/>
      </c>
      <c r="BM116" s="124" t="str">
        <f>IF(BM$6="","",IF(BM$3="Maior",iferror(VLOOKUP($R115,Capa!$A:$Z,BM$5,0),0),IF(ISERROR(1/VLOOKUP($R115,Capa!$A:$Z,BM$5,0)),0,1/VLOOKUP($R115,Capa!$A:$Z,BM$5,0))))</f>
        <v/>
      </c>
      <c r="BN116" s="124" t="str">
        <f>IF(BN$6="","",IF(BN$3="Maior",iferror(VLOOKUP($R115,Capa!$A:$Z,BN$5,0),0),IF(ISERROR(1/VLOOKUP($R115,Capa!$A:$Z,BN$5,0)),0,1/VLOOKUP($R115,Capa!$A:$Z,BN$5,0))))</f>
        <v/>
      </c>
      <c r="BO116" s="124" t="str">
        <f>IF(BO$6="","",IF(BO$3="Maior",iferror(VLOOKUP($R115,Capa!$A:$Z,BO$5,0),0),IF(ISERROR(1/VLOOKUP($R115,Capa!$A:$Z,BO$5,0)),0,1/VLOOKUP($R115,Capa!$A:$Z,BO$5,0))))</f>
        <v/>
      </c>
      <c r="BP116" s="124" t="str">
        <f>IF(BP$6="","",IF(BP$3="Maior",iferror(VLOOKUP($R115,Capa!$A:$Z,BP$5,0),0),IF(ISERROR(1/VLOOKUP($R115,Capa!$A:$Z,BP$5,0)),0,1/VLOOKUP($R115,Capa!$A:$Z,BP$5,0))))</f>
        <v/>
      </c>
      <c r="BQ116" s="124" t="str">
        <f>IF(BQ$6="","",IF(BQ$3="Maior",iferror(VLOOKUP($R115,Capa!$A:$Z,BQ$5,0),0),IF(ISERROR(1/VLOOKUP($R115,Capa!$A:$Z,BQ$5,0)),0,1/VLOOKUP($R115,Capa!$A:$Z,BQ$5,0))))</f>
        <v/>
      </c>
      <c r="BR116" s="125" t="str">
        <f>IF(BR$6="","",IF(BR$3="Maior",iferror(VLOOKUP($R115,Capa!$A:$Z,BR$5,0),0),IF(ISERROR(1/VLOOKUP($R115,Capa!$A:$Z,BR$5,0)),0,1/VLOOKUP($R115,Capa!$A:$Z,BR$5,0))))</f>
        <v/>
      </c>
      <c r="BS116" s="88"/>
    </row>
    <row r="117">
      <c r="G117" s="9"/>
      <c r="H117" s="7">
        <v>111.0</v>
      </c>
      <c r="I117" s="129" t="str">
        <f t="shared" si="7"/>
        <v>RBED11</v>
      </c>
      <c r="J117" s="112" t="str">
        <f>VLOOKUP(I117,Capa!A:G,7,0)</f>
        <v>Educacional</v>
      </c>
      <c r="K117" s="113">
        <f t="shared" si="8"/>
        <v>0.8551611253</v>
      </c>
      <c r="L117" s="113">
        <f t="shared" si="9"/>
        <v>0.128802046</v>
      </c>
      <c r="M117" s="113" t="str">
        <f t="shared" si="10"/>
        <v/>
      </c>
      <c r="N117" s="113" t="str">
        <f t="shared" si="11"/>
        <v/>
      </c>
      <c r="O117" s="114">
        <f t="shared" si="12"/>
        <v>175593.47</v>
      </c>
      <c r="P117" s="9"/>
      <c r="Q117" s="9"/>
      <c r="R117" s="115" t="s">
        <v>129</v>
      </c>
      <c r="S117" s="116">
        <f t="shared" si="13"/>
        <v>1172.007201</v>
      </c>
      <c r="T117" s="117">
        <f>MID(VLOOKUP($R117,'Dados ClubeFII'!$A:$AU,23,0),3,100)/1</f>
        <v>9838.11</v>
      </c>
      <c r="U117" s="118">
        <f t="shared" si="14"/>
        <v>71.0071</v>
      </c>
      <c r="V117" s="118">
        <f t="shared" si="15"/>
        <v>101.000101</v>
      </c>
      <c r="W117" s="118" t="str">
        <f t="shared" ref="W117:AS117" si="126">IF(AV117="","", RANK(AV117,AV$7:AV$405,0))</f>
        <v/>
      </c>
      <c r="X117" s="118" t="str">
        <f t="shared" si="126"/>
        <v/>
      </c>
      <c r="Y117" s="118" t="str">
        <f t="shared" si="126"/>
        <v/>
      </c>
      <c r="Z117" s="118" t="str">
        <f t="shared" si="126"/>
        <v/>
      </c>
      <c r="AA117" s="118" t="str">
        <f t="shared" si="126"/>
        <v/>
      </c>
      <c r="AB117" s="118" t="str">
        <f t="shared" si="126"/>
        <v/>
      </c>
      <c r="AC117" s="118" t="str">
        <f t="shared" si="126"/>
        <v/>
      </c>
      <c r="AD117" s="118" t="str">
        <f t="shared" si="126"/>
        <v/>
      </c>
      <c r="AE117" s="118" t="str">
        <f t="shared" si="126"/>
        <v/>
      </c>
      <c r="AF117" s="118" t="str">
        <f t="shared" si="126"/>
        <v/>
      </c>
      <c r="AG117" s="118" t="str">
        <f t="shared" si="126"/>
        <v/>
      </c>
      <c r="AH117" s="118" t="str">
        <f t="shared" si="126"/>
        <v/>
      </c>
      <c r="AI117" s="118" t="str">
        <f t="shared" si="126"/>
        <v/>
      </c>
      <c r="AJ117" s="118" t="str">
        <f t="shared" si="126"/>
        <v/>
      </c>
      <c r="AK117" s="118" t="str">
        <f t="shared" si="126"/>
        <v/>
      </c>
      <c r="AL117" s="118" t="str">
        <f t="shared" si="126"/>
        <v/>
      </c>
      <c r="AM117" s="118" t="str">
        <f t="shared" si="126"/>
        <v/>
      </c>
      <c r="AN117" s="118" t="str">
        <f t="shared" si="126"/>
        <v/>
      </c>
      <c r="AO117" s="118" t="str">
        <f t="shared" si="126"/>
        <v/>
      </c>
      <c r="AP117" s="118" t="str">
        <f t="shared" si="126"/>
        <v/>
      </c>
      <c r="AQ117" s="118" t="str">
        <f t="shared" si="126"/>
        <v/>
      </c>
      <c r="AR117" s="118" t="str">
        <f t="shared" si="126"/>
        <v/>
      </c>
      <c r="AS117" s="118" t="str">
        <f t="shared" si="126"/>
        <v/>
      </c>
      <c r="AT117" s="123">
        <f>IF(AT$6="","",IF(AT$3="Maior",iferror(VLOOKUP($R117,Capa!$A:$Z,AT$5,0),0),IF(ISERROR(1/VLOOKUP($R117,Capa!$A:$Z,AT$5,0)),0,1/VLOOKUP($R117,Capa!$A:$Z,AT$5,0))))</f>
        <v>1.289345161</v>
      </c>
      <c r="AU117" s="124">
        <f>IF(AU$6="","",IF(AU$3="Maior",iferror(VLOOKUP($R117,Capa!$A:$Z,AU$5,0),0),IF(ISERROR(1/VLOOKUP($R117,Capa!$A:$Z,AU$5,0)),0,1/VLOOKUP($R117,Capa!$A:$Z,AU$5,0))))</f>
        <v>0.1084840754</v>
      </c>
      <c r="AV117" s="124" t="str">
        <f>IF(AV$6="","",IF(AV$3="Maior",iferror(VLOOKUP($R116,Capa!$A:$Z,AV$5,0),0),IF(ISERROR(1/VLOOKUP($R116,Capa!$A:$Z,AV$5,0)),0,1/VLOOKUP($R116,Capa!$A:$Z,AV$5,0))))</f>
        <v/>
      </c>
      <c r="AW117" s="124" t="str">
        <f>IF(AW$6="","",IF(AW$3="Maior",iferror(VLOOKUP($R116,Capa!$A:$Z,AW$5,0),0),IF(ISERROR(1/VLOOKUP($R116,Capa!$A:$Z,AW$5,0)),0,1/VLOOKUP($R116,Capa!$A:$Z,AW$5,0))))</f>
        <v/>
      </c>
      <c r="AX117" s="124" t="str">
        <f>IF(AX$6="","",IF(AX$3="Maior",iferror(VLOOKUP($R116,Capa!$A:$Z,AX$5,0),0),IF(ISERROR(1/VLOOKUP($R116,Capa!$A:$Z,AX$5,0)),0,1/VLOOKUP($R116,Capa!$A:$Z,AX$5,0))))</f>
        <v/>
      </c>
      <c r="AY117" s="124" t="str">
        <f>IF(AY$6="","",IF(AY$3="Maior",iferror(VLOOKUP($R116,Capa!$A:$Z,AY$5,0),0),IF(ISERROR(1/VLOOKUP($R116,Capa!$A:$Z,AY$5,0)),0,1/VLOOKUP($R116,Capa!$A:$Z,AY$5,0))))</f>
        <v/>
      </c>
      <c r="AZ117" s="124" t="str">
        <f>IF(AZ$6="","",IF(AZ$3="Maior",iferror(VLOOKUP($R116,Capa!$A:$Z,AZ$5,0),0),IF(ISERROR(1/VLOOKUP($R116,Capa!$A:$Z,AZ$5,0)),0,1/VLOOKUP($R116,Capa!$A:$Z,AZ$5,0))))</f>
        <v/>
      </c>
      <c r="BA117" s="124" t="str">
        <f>IF(BA$6="","",IF(BA$3="Maior",iferror(VLOOKUP($R116,Capa!$A:$Z,BA$5,0),0),IF(ISERROR(1/VLOOKUP($R116,Capa!$A:$Z,BA$5,0)),0,1/VLOOKUP($R116,Capa!$A:$Z,BA$5,0))))</f>
        <v/>
      </c>
      <c r="BB117" s="124" t="str">
        <f>IF(BB$6="","",IF(BB$3="Maior",iferror(VLOOKUP($R116,Capa!$A:$Z,BB$5,0),0),IF(ISERROR(1/VLOOKUP($R116,Capa!$A:$Z,BB$5,0)),0,1/VLOOKUP($R116,Capa!$A:$Z,BB$5,0))))</f>
        <v/>
      </c>
      <c r="BC117" s="124" t="str">
        <f>IF(BC$6="","",IF(BC$3="Maior",iferror(VLOOKUP($R116,Capa!$A:$Z,BC$5,0),0),IF(ISERROR(1/VLOOKUP($R116,Capa!$A:$Z,BC$5,0)),0,1/VLOOKUP($R116,Capa!$A:$Z,BC$5,0))))</f>
        <v/>
      </c>
      <c r="BD117" s="124" t="str">
        <f>IF(BD$6="","",IF(BD$3="Maior",iferror(VLOOKUP($R116,Capa!$A:$Z,BD$5,0),0),IF(ISERROR(1/VLOOKUP($R116,Capa!$A:$Z,BD$5,0)),0,1/VLOOKUP($R116,Capa!$A:$Z,BD$5,0))))</f>
        <v/>
      </c>
      <c r="BE117" s="124" t="str">
        <f>IF(BE$6="","",IF(BE$3="Maior",iferror(VLOOKUP($R116,Capa!$A:$Z,BE$5,0),0),IF(ISERROR(1/VLOOKUP($R116,Capa!$A:$Z,BE$5,0)),0,1/VLOOKUP($R116,Capa!$A:$Z,BE$5,0))))</f>
        <v/>
      </c>
      <c r="BF117" s="124" t="str">
        <f>IF(BF$6="","",IF(BF$3="Maior",iferror(VLOOKUP($R116,Capa!$A:$Z,BF$5,0),0),IF(ISERROR(1/VLOOKUP($R116,Capa!$A:$Z,BF$5,0)),0,1/VLOOKUP($R116,Capa!$A:$Z,BF$5,0))))</f>
        <v/>
      </c>
      <c r="BG117" s="124" t="str">
        <f>IF(BG$6="","",IF(BG$3="Maior",iferror(VLOOKUP($R116,Capa!$A:$Z,BG$5,0),0),IF(ISERROR(1/VLOOKUP($R116,Capa!$A:$Z,BG$5,0)),0,1/VLOOKUP($R116,Capa!$A:$Z,BG$5,0))))</f>
        <v/>
      </c>
      <c r="BH117" s="124" t="str">
        <f>IF(BH$6="","",IF(BH$3="Maior",iferror(VLOOKUP($R116,Capa!$A:$Z,BH$5,0),0),IF(ISERROR(1/VLOOKUP($R116,Capa!$A:$Z,BH$5,0)),0,1/VLOOKUP($R116,Capa!$A:$Z,BH$5,0))))</f>
        <v/>
      </c>
      <c r="BI117" s="124" t="str">
        <f>IF(BI$6="","",IF(BI$3="Maior",iferror(VLOOKUP($R116,Capa!$A:$Z,BI$5,0),0),IF(ISERROR(1/VLOOKUP($R116,Capa!$A:$Z,BI$5,0)),0,1/VLOOKUP($R116,Capa!$A:$Z,BI$5,0))))</f>
        <v/>
      </c>
      <c r="BJ117" s="124" t="str">
        <f>IF(BJ$6="","",IF(BJ$3="Maior",iferror(VLOOKUP($R116,Capa!$A:$Z,BJ$5,0),0),IF(ISERROR(1/VLOOKUP($R116,Capa!$A:$Z,BJ$5,0)),0,1/VLOOKUP($R116,Capa!$A:$Z,BJ$5,0))))</f>
        <v/>
      </c>
      <c r="BK117" s="124" t="str">
        <f>IF(BK$6="","",IF(BK$3="Maior",iferror(VLOOKUP($R116,Capa!$A:$Z,BK$5,0),0),IF(ISERROR(1/VLOOKUP($R116,Capa!$A:$Z,BK$5,0)),0,1/VLOOKUP($R116,Capa!$A:$Z,BK$5,0))))</f>
        <v/>
      </c>
      <c r="BL117" s="124" t="str">
        <f>IF(BL$6="","",IF(BL$3="Maior",iferror(VLOOKUP($R116,Capa!$A:$Z,BL$5,0),0),IF(ISERROR(1/VLOOKUP($R116,Capa!$A:$Z,BL$5,0)),0,1/VLOOKUP($R116,Capa!$A:$Z,BL$5,0))))</f>
        <v/>
      </c>
      <c r="BM117" s="124" t="str">
        <f>IF(BM$6="","",IF(BM$3="Maior",iferror(VLOOKUP($R116,Capa!$A:$Z,BM$5,0),0),IF(ISERROR(1/VLOOKUP($R116,Capa!$A:$Z,BM$5,0)),0,1/VLOOKUP($R116,Capa!$A:$Z,BM$5,0))))</f>
        <v/>
      </c>
      <c r="BN117" s="124" t="str">
        <f>IF(BN$6="","",IF(BN$3="Maior",iferror(VLOOKUP($R116,Capa!$A:$Z,BN$5,0),0),IF(ISERROR(1/VLOOKUP($R116,Capa!$A:$Z,BN$5,0)),0,1/VLOOKUP($R116,Capa!$A:$Z,BN$5,0))))</f>
        <v/>
      </c>
      <c r="BO117" s="124" t="str">
        <f>IF(BO$6="","",IF(BO$3="Maior",iferror(VLOOKUP($R116,Capa!$A:$Z,BO$5,0),0),IF(ISERROR(1/VLOOKUP($R116,Capa!$A:$Z,BO$5,0)),0,1/VLOOKUP($R116,Capa!$A:$Z,BO$5,0))))</f>
        <v/>
      </c>
      <c r="BP117" s="124" t="str">
        <f>IF(BP$6="","",IF(BP$3="Maior",iferror(VLOOKUP($R116,Capa!$A:$Z,BP$5,0),0),IF(ISERROR(1/VLOOKUP($R116,Capa!$A:$Z,BP$5,0)),0,1/VLOOKUP($R116,Capa!$A:$Z,BP$5,0))))</f>
        <v/>
      </c>
      <c r="BQ117" s="124" t="str">
        <f>IF(BQ$6="","",IF(BQ$3="Maior",iferror(VLOOKUP($R116,Capa!$A:$Z,BQ$5,0),0),IF(ISERROR(1/VLOOKUP($R116,Capa!$A:$Z,BQ$5,0)),0,1/VLOOKUP($R116,Capa!$A:$Z,BQ$5,0))))</f>
        <v/>
      </c>
      <c r="BR117" s="125" t="str">
        <f>IF(BR$6="","",IF(BR$3="Maior",iferror(VLOOKUP($R116,Capa!$A:$Z,BR$5,0),0),IF(ISERROR(1/VLOOKUP($R116,Capa!$A:$Z,BR$5,0)),0,1/VLOOKUP($R116,Capa!$A:$Z,BR$5,0))))</f>
        <v/>
      </c>
      <c r="BS117" s="88"/>
    </row>
    <row r="118">
      <c r="G118" s="9"/>
      <c r="H118" s="7">
        <v>112.0</v>
      </c>
      <c r="I118" s="111" t="str">
        <f t="shared" si="7"/>
        <v>VIFI11</v>
      </c>
      <c r="J118" s="112" t="str">
        <f>VLOOKUP(I118,Capa!A:G,7,0)</f>
        <v>Fundo de Fundos</v>
      </c>
      <c r="K118" s="113">
        <f t="shared" si="8"/>
        <v>0.7858035714</v>
      </c>
      <c r="L118" s="113">
        <f t="shared" si="9"/>
        <v>0.1109191964</v>
      </c>
      <c r="M118" s="113" t="str">
        <f t="shared" si="10"/>
        <v/>
      </c>
      <c r="N118" s="113" t="str">
        <f t="shared" si="11"/>
        <v/>
      </c>
      <c r="O118" s="114">
        <f t="shared" si="12"/>
        <v>86646.39</v>
      </c>
      <c r="P118" s="9"/>
      <c r="Q118" s="9"/>
      <c r="R118" s="115" t="s">
        <v>148</v>
      </c>
      <c r="S118" s="116">
        <f t="shared" si="13"/>
        <v>268.01195</v>
      </c>
      <c r="T118" s="117">
        <f>MID(VLOOKUP($R118,'Dados ClubeFII'!$A:$AU,23,0),3,100)/1</f>
        <v>2973327.17</v>
      </c>
      <c r="U118" s="118">
        <f t="shared" si="14"/>
        <v>118.0118</v>
      </c>
      <c r="V118" s="118">
        <f t="shared" si="15"/>
        <v>150.00015</v>
      </c>
      <c r="W118" s="118" t="str">
        <f t="shared" ref="W118:AS118" si="127">IF(AV118="","", RANK(AV118,AV$7:AV$405,0))</f>
        <v/>
      </c>
      <c r="X118" s="118" t="str">
        <f t="shared" si="127"/>
        <v/>
      </c>
      <c r="Y118" s="118" t="str">
        <f t="shared" si="127"/>
        <v/>
      </c>
      <c r="Z118" s="118" t="str">
        <f t="shared" si="127"/>
        <v/>
      </c>
      <c r="AA118" s="118" t="str">
        <f t="shared" si="127"/>
        <v/>
      </c>
      <c r="AB118" s="118" t="str">
        <f t="shared" si="127"/>
        <v/>
      </c>
      <c r="AC118" s="118" t="str">
        <f t="shared" si="127"/>
        <v/>
      </c>
      <c r="AD118" s="118" t="str">
        <f t="shared" si="127"/>
        <v/>
      </c>
      <c r="AE118" s="118" t="str">
        <f t="shared" si="127"/>
        <v/>
      </c>
      <c r="AF118" s="118" t="str">
        <f t="shared" si="127"/>
        <v/>
      </c>
      <c r="AG118" s="118" t="str">
        <f t="shared" si="127"/>
        <v/>
      </c>
      <c r="AH118" s="118" t="str">
        <f t="shared" si="127"/>
        <v/>
      </c>
      <c r="AI118" s="118" t="str">
        <f t="shared" si="127"/>
        <v/>
      </c>
      <c r="AJ118" s="118" t="str">
        <f t="shared" si="127"/>
        <v/>
      </c>
      <c r="AK118" s="118" t="str">
        <f t="shared" si="127"/>
        <v/>
      </c>
      <c r="AL118" s="118" t="str">
        <f t="shared" si="127"/>
        <v/>
      </c>
      <c r="AM118" s="118" t="str">
        <f t="shared" si="127"/>
        <v/>
      </c>
      <c r="AN118" s="118" t="str">
        <f t="shared" si="127"/>
        <v/>
      </c>
      <c r="AO118" s="118" t="str">
        <f t="shared" si="127"/>
        <v/>
      </c>
      <c r="AP118" s="118" t="str">
        <f t="shared" si="127"/>
        <v/>
      </c>
      <c r="AQ118" s="118" t="str">
        <f t="shared" si="127"/>
        <v/>
      </c>
      <c r="AR118" s="118" t="str">
        <f t="shared" si="127"/>
        <v/>
      </c>
      <c r="AS118" s="118" t="str">
        <f t="shared" si="127"/>
        <v/>
      </c>
      <c r="AT118" s="123">
        <f>IF(AT$6="","",IF(AT$3="Maior",iferror(VLOOKUP($R118,Capa!$A:$Z,AT$5,0),0),IF(ISERROR(1/VLOOKUP($R118,Capa!$A:$Z,AT$5,0)),0,1/VLOOKUP($R118,Capa!$A:$Z,AT$5,0))))</f>
        <v>1.154560129</v>
      </c>
      <c r="AU118" s="124">
        <f>IF(AU$6="","",IF(AU$3="Maior",iferror(VLOOKUP($R118,Capa!$A:$Z,AU$5,0),0),IF(ISERROR(1/VLOOKUP($R118,Capa!$A:$Z,AU$5,0)),0,1/VLOOKUP($R118,Capa!$A:$Z,AU$5,0))))</f>
        <v>0.08125131073</v>
      </c>
      <c r="AV118" s="124" t="str">
        <f>IF(AV$6="","",IF(AV$3="Maior",iferror(VLOOKUP($R117,Capa!$A:$Z,AV$5,0),0),IF(ISERROR(1/VLOOKUP($R117,Capa!$A:$Z,AV$5,0)),0,1/VLOOKUP($R117,Capa!$A:$Z,AV$5,0))))</f>
        <v/>
      </c>
      <c r="AW118" s="124" t="str">
        <f>IF(AW$6="","",IF(AW$3="Maior",iferror(VLOOKUP($R117,Capa!$A:$Z,AW$5,0),0),IF(ISERROR(1/VLOOKUP($R117,Capa!$A:$Z,AW$5,0)),0,1/VLOOKUP($R117,Capa!$A:$Z,AW$5,0))))</f>
        <v/>
      </c>
      <c r="AX118" s="124" t="str">
        <f>IF(AX$6="","",IF(AX$3="Maior",iferror(VLOOKUP($R117,Capa!$A:$Z,AX$5,0),0),IF(ISERROR(1/VLOOKUP($R117,Capa!$A:$Z,AX$5,0)),0,1/VLOOKUP($R117,Capa!$A:$Z,AX$5,0))))</f>
        <v/>
      </c>
      <c r="AY118" s="124" t="str">
        <f>IF(AY$6="","",IF(AY$3="Maior",iferror(VLOOKUP($R117,Capa!$A:$Z,AY$5,0),0),IF(ISERROR(1/VLOOKUP($R117,Capa!$A:$Z,AY$5,0)),0,1/VLOOKUP($R117,Capa!$A:$Z,AY$5,0))))</f>
        <v/>
      </c>
      <c r="AZ118" s="124" t="str">
        <f>IF(AZ$6="","",IF(AZ$3="Maior",iferror(VLOOKUP($R117,Capa!$A:$Z,AZ$5,0),0),IF(ISERROR(1/VLOOKUP($R117,Capa!$A:$Z,AZ$5,0)),0,1/VLOOKUP($R117,Capa!$A:$Z,AZ$5,0))))</f>
        <v/>
      </c>
      <c r="BA118" s="124" t="str">
        <f>IF(BA$6="","",IF(BA$3="Maior",iferror(VLOOKUP($R117,Capa!$A:$Z,BA$5,0),0),IF(ISERROR(1/VLOOKUP($R117,Capa!$A:$Z,BA$5,0)),0,1/VLOOKUP($R117,Capa!$A:$Z,BA$5,0))))</f>
        <v/>
      </c>
      <c r="BB118" s="124" t="str">
        <f>IF(BB$6="","",IF(BB$3="Maior",iferror(VLOOKUP($R117,Capa!$A:$Z,BB$5,0),0),IF(ISERROR(1/VLOOKUP($R117,Capa!$A:$Z,BB$5,0)),0,1/VLOOKUP($R117,Capa!$A:$Z,BB$5,0))))</f>
        <v/>
      </c>
      <c r="BC118" s="124" t="str">
        <f>IF(BC$6="","",IF(BC$3="Maior",iferror(VLOOKUP($R117,Capa!$A:$Z,BC$5,0),0),IF(ISERROR(1/VLOOKUP($R117,Capa!$A:$Z,BC$5,0)),0,1/VLOOKUP($R117,Capa!$A:$Z,BC$5,0))))</f>
        <v/>
      </c>
      <c r="BD118" s="124" t="str">
        <f>IF(BD$6="","",IF(BD$3="Maior",iferror(VLOOKUP($R117,Capa!$A:$Z,BD$5,0),0),IF(ISERROR(1/VLOOKUP($R117,Capa!$A:$Z,BD$5,0)),0,1/VLOOKUP($R117,Capa!$A:$Z,BD$5,0))))</f>
        <v/>
      </c>
      <c r="BE118" s="124" t="str">
        <f>IF(BE$6="","",IF(BE$3="Maior",iferror(VLOOKUP($R117,Capa!$A:$Z,BE$5,0),0),IF(ISERROR(1/VLOOKUP($R117,Capa!$A:$Z,BE$5,0)),0,1/VLOOKUP($R117,Capa!$A:$Z,BE$5,0))))</f>
        <v/>
      </c>
      <c r="BF118" s="124" t="str">
        <f>IF(BF$6="","",IF(BF$3="Maior",iferror(VLOOKUP($R117,Capa!$A:$Z,BF$5,0),0),IF(ISERROR(1/VLOOKUP($R117,Capa!$A:$Z,BF$5,0)),0,1/VLOOKUP($R117,Capa!$A:$Z,BF$5,0))))</f>
        <v/>
      </c>
      <c r="BG118" s="124" t="str">
        <f>IF(BG$6="","",IF(BG$3="Maior",iferror(VLOOKUP($R117,Capa!$A:$Z,BG$5,0),0),IF(ISERROR(1/VLOOKUP($R117,Capa!$A:$Z,BG$5,0)),0,1/VLOOKUP($R117,Capa!$A:$Z,BG$5,0))))</f>
        <v/>
      </c>
      <c r="BH118" s="124" t="str">
        <f>IF(BH$6="","",IF(BH$3="Maior",iferror(VLOOKUP($R117,Capa!$A:$Z,BH$5,0),0),IF(ISERROR(1/VLOOKUP($R117,Capa!$A:$Z,BH$5,0)),0,1/VLOOKUP($R117,Capa!$A:$Z,BH$5,0))))</f>
        <v/>
      </c>
      <c r="BI118" s="124" t="str">
        <f>IF(BI$6="","",IF(BI$3="Maior",iferror(VLOOKUP($R117,Capa!$A:$Z,BI$5,0),0),IF(ISERROR(1/VLOOKUP($R117,Capa!$A:$Z,BI$5,0)),0,1/VLOOKUP($R117,Capa!$A:$Z,BI$5,0))))</f>
        <v/>
      </c>
      <c r="BJ118" s="124" t="str">
        <f>IF(BJ$6="","",IF(BJ$3="Maior",iferror(VLOOKUP($R117,Capa!$A:$Z,BJ$5,0),0),IF(ISERROR(1/VLOOKUP($R117,Capa!$A:$Z,BJ$5,0)),0,1/VLOOKUP($R117,Capa!$A:$Z,BJ$5,0))))</f>
        <v/>
      </c>
      <c r="BK118" s="124" t="str">
        <f>IF(BK$6="","",IF(BK$3="Maior",iferror(VLOOKUP($R117,Capa!$A:$Z,BK$5,0),0),IF(ISERROR(1/VLOOKUP($R117,Capa!$A:$Z,BK$5,0)),0,1/VLOOKUP($R117,Capa!$A:$Z,BK$5,0))))</f>
        <v/>
      </c>
      <c r="BL118" s="124" t="str">
        <f>IF(BL$6="","",IF(BL$3="Maior",iferror(VLOOKUP($R117,Capa!$A:$Z,BL$5,0),0),IF(ISERROR(1/VLOOKUP($R117,Capa!$A:$Z,BL$5,0)),0,1/VLOOKUP($R117,Capa!$A:$Z,BL$5,0))))</f>
        <v/>
      </c>
      <c r="BM118" s="124" t="str">
        <f>IF(BM$6="","",IF(BM$3="Maior",iferror(VLOOKUP($R117,Capa!$A:$Z,BM$5,0),0),IF(ISERROR(1/VLOOKUP($R117,Capa!$A:$Z,BM$5,0)),0,1/VLOOKUP($R117,Capa!$A:$Z,BM$5,0))))</f>
        <v/>
      </c>
      <c r="BN118" s="124" t="str">
        <f>IF(BN$6="","",IF(BN$3="Maior",iferror(VLOOKUP($R117,Capa!$A:$Z,BN$5,0),0),IF(ISERROR(1/VLOOKUP($R117,Capa!$A:$Z,BN$5,0)),0,1/VLOOKUP($R117,Capa!$A:$Z,BN$5,0))))</f>
        <v/>
      </c>
      <c r="BO118" s="124" t="str">
        <f>IF(BO$6="","",IF(BO$3="Maior",iferror(VLOOKUP($R117,Capa!$A:$Z,BO$5,0),0),IF(ISERROR(1/VLOOKUP($R117,Capa!$A:$Z,BO$5,0)),0,1/VLOOKUP($R117,Capa!$A:$Z,BO$5,0))))</f>
        <v/>
      </c>
      <c r="BP118" s="124" t="str">
        <f>IF(BP$6="","",IF(BP$3="Maior",iferror(VLOOKUP($R117,Capa!$A:$Z,BP$5,0),0),IF(ISERROR(1/VLOOKUP($R117,Capa!$A:$Z,BP$5,0)),0,1/VLOOKUP($R117,Capa!$A:$Z,BP$5,0))))</f>
        <v/>
      </c>
      <c r="BQ118" s="124" t="str">
        <f>IF(BQ$6="","",IF(BQ$3="Maior",iferror(VLOOKUP($R117,Capa!$A:$Z,BQ$5,0),0),IF(ISERROR(1/VLOOKUP($R117,Capa!$A:$Z,BQ$5,0)),0,1/VLOOKUP($R117,Capa!$A:$Z,BQ$5,0))))</f>
        <v/>
      </c>
      <c r="BR118" s="125" t="str">
        <f>IF(BR$6="","",IF(BR$3="Maior",iferror(VLOOKUP($R117,Capa!$A:$Z,BR$5,0),0),IF(ISERROR(1/VLOOKUP($R117,Capa!$A:$Z,BR$5,0)),0,1/VLOOKUP($R117,Capa!$A:$Z,BR$5,0))))</f>
        <v/>
      </c>
      <c r="BS118" s="88"/>
    </row>
    <row r="119">
      <c r="G119" s="9"/>
      <c r="H119" s="7">
        <v>113.0</v>
      </c>
      <c r="I119" s="111" t="str">
        <f t="shared" si="7"/>
        <v>CRFF11</v>
      </c>
      <c r="J119" s="112" t="str">
        <f>VLOOKUP(I119,Capa!A:G,7,0)</f>
        <v>Fundo de Fundos</v>
      </c>
      <c r="K119" s="113">
        <f t="shared" si="8"/>
        <v>0.7755875077</v>
      </c>
      <c r="L119" s="113">
        <f t="shared" si="9"/>
        <v>0.1084840754</v>
      </c>
      <c r="M119" s="113" t="str">
        <f t="shared" si="10"/>
        <v/>
      </c>
      <c r="N119" s="113" t="str">
        <f t="shared" si="11"/>
        <v/>
      </c>
      <c r="O119" s="114">
        <f t="shared" si="12"/>
        <v>9838.11</v>
      </c>
      <c r="P119" s="9"/>
      <c r="Q119" s="9"/>
      <c r="R119" s="115" t="s">
        <v>173</v>
      </c>
      <c r="S119" s="116">
        <f t="shared" si="13"/>
        <v>1160.013723</v>
      </c>
      <c r="T119" s="117">
        <f>MID(VLOOKUP($R119,'Dados ClubeFII'!$A:$AU,23,0),3,100)/1</f>
        <v>5129.79</v>
      </c>
      <c r="U119" s="118">
        <f t="shared" si="14"/>
        <v>137.0137</v>
      </c>
      <c r="V119" s="118">
        <f t="shared" si="15"/>
        <v>23.000023</v>
      </c>
      <c r="W119" s="118" t="str">
        <f t="shared" ref="W119:AS119" si="128">IF(AV119="","", RANK(AV119,AV$7:AV$405,0))</f>
        <v/>
      </c>
      <c r="X119" s="118" t="str">
        <f t="shared" si="128"/>
        <v/>
      </c>
      <c r="Y119" s="118" t="str">
        <f t="shared" si="128"/>
        <v/>
      </c>
      <c r="Z119" s="118" t="str">
        <f t="shared" si="128"/>
        <v/>
      </c>
      <c r="AA119" s="118" t="str">
        <f t="shared" si="128"/>
        <v/>
      </c>
      <c r="AB119" s="118" t="str">
        <f t="shared" si="128"/>
        <v/>
      </c>
      <c r="AC119" s="118" t="str">
        <f t="shared" si="128"/>
        <v/>
      </c>
      <c r="AD119" s="118" t="str">
        <f t="shared" si="128"/>
        <v/>
      </c>
      <c r="AE119" s="118" t="str">
        <f t="shared" si="128"/>
        <v/>
      </c>
      <c r="AF119" s="118" t="str">
        <f t="shared" si="128"/>
        <v/>
      </c>
      <c r="AG119" s="118" t="str">
        <f t="shared" si="128"/>
        <v/>
      </c>
      <c r="AH119" s="118" t="str">
        <f t="shared" si="128"/>
        <v/>
      </c>
      <c r="AI119" s="118" t="str">
        <f t="shared" si="128"/>
        <v/>
      </c>
      <c r="AJ119" s="118" t="str">
        <f t="shared" si="128"/>
        <v/>
      </c>
      <c r="AK119" s="118" t="str">
        <f t="shared" si="128"/>
        <v/>
      </c>
      <c r="AL119" s="118" t="str">
        <f t="shared" si="128"/>
        <v/>
      </c>
      <c r="AM119" s="118" t="str">
        <f t="shared" si="128"/>
        <v/>
      </c>
      <c r="AN119" s="118" t="str">
        <f t="shared" si="128"/>
        <v/>
      </c>
      <c r="AO119" s="118" t="str">
        <f t="shared" si="128"/>
        <v/>
      </c>
      <c r="AP119" s="118" t="str">
        <f t="shared" si="128"/>
        <v/>
      </c>
      <c r="AQ119" s="118" t="str">
        <f t="shared" si="128"/>
        <v/>
      </c>
      <c r="AR119" s="118" t="str">
        <f t="shared" si="128"/>
        <v/>
      </c>
      <c r="AS119" s="118" t="str">
        <f t="shared" si="128"/>
        <v/>
      </c>
      <c r="AT119" s="123">
        <f>IF(AT$6="","",IF(AT$3="Maior",iferror(VLOOKUP($R119,Capa!$A:$Z,AT$5,0),0),IF(ISERROR(1/VLOOKUP($R119,Capa!$A:$Z,AT$5,0)),0,1/VLOOKUP($R119,Capa!$A:$Z,AT$5,0))))</f>
        <v>1.110925231</v>
      </c>
      <c r="AU119" s="124">
        <f>IF(AU$6="","",IF(AU$3="Maior",iferror(VLOOKUP($R119,Capa!$A:$Z,AU$5,0),0),IF(ISERROR(1/VLOOKUP($R119,Capa!$A:$Z,AU$5,0)),0,1/VLOOKUP($R119,Capa!$A:$Z,AU$5,0))))</f>
        <v>0.1510472471</v>
      </c>
      <c r="AV119" s="124" t="str">
        <f>IF(AV$6="","",IF(AV$3="Maior",iferror(VLOOKUP($R118,Capa!$A:$Z,AV$5,0),0),IF(ISERROR(1/VLOOKUP($R118,Capa!$A:$Z,AV$5,0)),0,1/VLOOKUP($R118,Capa!$A:$Z,AV$5,0))))</f>
        <v/>
      </c>
      <c r="AW119" s="124" t="str">
        <f>IF(AW$6="","",IF(AW$3="Maior",iferror(VLOOKUP($R118,Capa!$A:$Z,AW$5,0),0),IF(ISERROR(1/VLOOKUP($R118,Capa!$A:$Z,AW$5,0)),0,1/VLOOKUP($R118,Capa!$A:$Z,AW$5,0))))</f>
        <v/>
      </c>
      <c r="AX119" s="124" t="str">
        <f>IF(AX$6="","",IF(AX$3="Maior",iferror(VLOOKUP($R118,Capa!$A:$Z,AX$5,0),0),IF(ISERROR(1/VLOOKUP($R118,Capa!$A:$Z,AX$5,0)),0,1/VLOOKUP($R118,Capa!$A:$Z,AX$5,0))))</f>
        <v/>
      </c>
      <c r="AY119" s="124" t="str">
        <f>IF(AY$6="","",IF(AY$3="Maior",iferror(VLOOKUP($R118,Capa!$A:$Z,AY$5,0),0),IF(ISERROR(1/VLOOKUP($R118,Capa!$A:$Z,AY$5,0)),0,1/VLOOKUP($R118,Capa!$A:$Z,AY$5,0))))</f>
        <v/>
      </c>
      <c r="AZ119" s="124" t="str">
        <f>IF(AZ$6="","",IF(AZ$3="Maior",iferror(VLOOKUP($R118,Capa!$A:$Z,AZ$5,0),0),IF(ISERROR(1/VLOOKUP($R118,Capa!$A:$Z,AZ$5,0)),0,1/VLOOKUP($R118,Capa!$A:$Z,AZ$5,0))))</f>
        <v/>
      </c>
      <c r="BA119" s="124" t="str">
        <f>IF(BA$6="","",IF(BA$3="Maior",iferror(VLOOKUP($R118,Capa!$A:$Z,BA$5,0),0),IF(ISERROR(1/VLOOKUP($R118,Capa!$A:$Z,BA$5,0)),0,1/VLOOKUP($R118,Capa!$A:$Z,BA$5,0))))</f>
        <v/>
      </c>
      <c r="BB119" s="124" t="str">
        <f>IF(BB$6="","",IF(BB$3="Maior",iferror(VLOOKUP($R118,Capa!$A:$Z,BB$5,0),0),IF(ISERROR(1/VLOOKUP($R118,Capa!$A:$Z,BB$5,0)),0,1/VLOOKUP($R118,Capa!$A:$Z,BB$5,0))))</f>
        <v/>
      </c>
      <c r="BC119" s="124" t="str">
        <f>IF(BC$6="","",IF(BC$3="Maior",iferror(VLOOKUP($R118,Capa!$A:$Z,BC$5,0),0),IF(ISERROR(1/VLOOKUP($R118,Capa!$A:$Z,BC$5,0)),0,1/VLOOKUP($R118,Capa!$A:$Z,BC$5,0))))</f>
        <v/>
      </c>
      <c r="BD119" s="124" t="str">
        <f>IF(BD$6="","",IF(BD$3="Maior",iferror(VLOOKUP($R118,Capa!$A:$Z,BD$5,0),0),IF(ISERROR(1/VLOOKUP($R118,Capa!$A:$Z,BD$5,0)),0,1/VLOOKUP($R118,Capa!$A:$Z,BD$5,0))))</f>
        <v/>
      </c>
      <c r="BE119" s="124" t="str">
        <f>IF(BE$6="","",IF(BE$3="Maior",iferror(VLOOKUP($R118,Capa!$A:$Z,BE$5,0),0),IF(ISERROR(1/VLOOKUP($R118,Capa!$A:$Z,BE$5,0)),0,1/VLOOKUP($R118,Capa!$A:$Z,BE$5,0))))</f>
        <v/>
      </c>
      <c r="BF119" s="124" t="str">
        <f>IF(BF$6="","",IF(BF$3="Maior",iferror(VLOOKUP($R118,Capa!$A:$Z,BF$5,0),0),IF(ISERROR(1/VLOOKUP($R118,Capa!$A:$Z,BF$5,0)),0,1/VLOOKUP($R118,Capa!$A:$Z,BF$5,0))))</f>
        <v/>
      </c>
      <c r="BG119" s="124" t="str">
        <f>IF(BG$6="","",IF(BG$3="Maior",iferror(VLOOKUP($R118,Capa!$A:$Z,BG$5,0),0),IF(ISERROR(1/VLOOKUP($R118,Capa!$A:$Z,BG$5,0)),0,1/VLOOKUP($R118,Capa!$A:$Z,BG$5,0))))</f>
        <v/>
      </c>
      <c r="BH119" s="124" t="str">
        <f>IF(BH$6="","",IF(BH$3="Maior",iferror(VLOOKUP($R118,Capa!$A:$Z,BH$5,0),0),IF(ISERROR(1/VLOOKUP($R118,Capa!$A:$Z,BH$5,0)),0,1/VLOOKUP($R118,Capa!$A:$Z,BH$5,0))))</f>
        <v/>
      </c>
      <c r="BI119" s="124" t="str">
        <f>IF(BI$6="","",IF(BI$3="Maior",iferror(VLOOKUP($R118,Capa!$A:$Z,BI$5,0),0),IF(ISERROR(1/VLOOKUP($R118,Capa!$A:$Z,BI$5,0)),0,1/VLOOKUP($R118,Capa!$A:$Z,BI$5,0))))</f>
        <v/>
      </c>
      <c r="BJ119" s="124" t="str">
        <f>IF(BJ$6="","",IF(BJ$3="Maior",iferror(VLOOKUP($R118,Capa!$A:$Z,BJ$5,0),0),IF(ISERROR(1/VLOOKUP($R118,Capa!$A:$Z,BJ$5,0)),0,1/VLOOKUP($R118,Capa!$A:$Z,BJ$5,0))))</f>
        <v/>
      </c>
      <c r="BK119" s="124" t="str">
        <f>IF(BK$6="","",IF(BK$3="Maior",iferror(VLOOKUP($R118,Capa!$A:$Z,BK$5,0),0),IF(ISERROR(1/VLOOKUP($R118,Capa!$A:$Z,BK$5,0)),0,1/VLOOKUP($R118,Capa!$A:$Z,BK$5,0))))</f>
        <v/>
      </c>
      <c r="BL119" s="124" t="str">
        <f>IF(BL$6="","",IF(BL$3="Maior",iferror(VLOOKUP($R118,Capa!$A:$Z,BL$5,0),0),IF(ISERROR(1/VLOOKUP($R118,Capa!$A:$Z,BL$5,0)),0,1/VLOOKUP($R118,Capa!$A:$Z,BL$5,0))))</f>
        <v/>
      </c>
      <c r="BM119" s="124" t="str">
        <f>IF(BM$6="","",IF(BM$3="Maior",iferror(VLOOKUP($R118,Capa!$A:$Z,BM$5,0),0),IF(ISERROR(1/VLOOKUP($R118,Capa!$A:$Z,BM$5,0)),0,1/VLOOKUP($R118,Capa!$A:$Z,BM$5,0))))</f>
        <v/>
      </c>
      <c r="BN119" s="124" t="str">
        <f>IF(BN$6="","",IF(BN$3="Maior",iferror(VLOOKUP($R118,Capa!$A:$Z,BN$5,0),0),IF(ISERROR(1/VLOOKUP($R118,Capa!$A:$Z,BN$5,0)),0,1/VLOOKUP($R118,Capa!$A:$Z,BN$5,0))))</f>
        <v/>
      </c>
      <c r="BO119" s="124" t="str">
        <f>IF(BO$6="","",IF(BO$3="Maior",iferror(VLOOKUP($R118,Capa!$A:$Z,BO$5,0),0),IF(ISERROR(1/VLOOKUP($R118,Capa!$A:$Z,BO$5,0)),0,1/VLOOKUP($R118,Capa!$A:$Z,BO$5,0))))</f>
        <v/>
      </c>
      <c r="BP119" s="124" t="str">
        <f>IF(BP$6="","",IF(BP$3="Maior",iferror(VLOOKUP($R118,Capa!$A:$Z,BP$5,0),0),IF(ISERROR(1/VLOOKUP($R118,Capa!$A:$Z,BP$5,0)),0,1/VLOOKUP($R118,Capa!$A:$Z,BP$5,0))))</f>
        <v/>
      </c>
      <c r="BQ119" s="124" t="str">
        <f>IF(BQ$6="","",IF(BQ$3="Maior",iferror(VLOOKUP($R118,Capa!$A:$Z,BQ$5,0),0),IF(ISERROR(1/VLOOKUP($R118,Capa!$A:$Z,BQ$5,0)),0,1/VLOOKUP($R118,Capa!$A:$Z,BQ$5,0))))</f>
        <v/>
      </c>
      <c r="BR119" s="125" t="str">
        <f>IF(BR$6="","",IF(BR$3="Maior",iferror(VLOOKUP($R118,Capa!$A:$Z,BR$5,0),0),IF(ISERROR(1/VLOOKUP($R118,Capa!$A:$Z,BR$5,0)),0,1/VLOOKUP($R118,Capa!$A:$Z,BR$5,0))))</f>
        <v/>
      </c>
      <c r="BS119" s="88"/>
    </row>
    <row r="120">
      <c r="G120" s="9"/>
      <c r="H120" s="7">
        <v>114.0</v>
      </c>
      <c r="I120" s="129" t="str">
        <f t="shared" si="7"/>
        <v>RFOF11</v>
      </c>
      <c r="J120" s="112" t="str">
        <f>VLOOKUP(I120,Capa!A:G,7,0)</f>
        <v>Fundo de Fundos</v>
      </c>
      <c r="K120" s="113">
        <f t="shared" si="8"/>
        <v>0.8426512968</v>
      </c>
      <c r="L120" s="113">
        <f t="shared" si="9"/>
        <v>0.1247123919</v>
      </c>
      <c r="M120" s="113" t="str">
        <f t="shared" si="10"/>
        <v/>
      </c>
      <c r="N120" s="113" t="str">
        <f t="shared" si="11"/>
        <v/>
      </c>
      <c r="O120" s="114">
        <f t="shared" si="12"/>
        <v>80490.88</v>
      </c>
      <c r="P120" s="9"/>
      <c r="Q120" s="9"/>
      <c r="R120" s="115" t="s">
        <v>178</v>
      </c>
      <c r="S120" s="116">
        <f t="shared" si="13"/>
        <v>218.016058</v>
      </c>
      <c r="T120" s="117">
        <f>MID(VLOOKUP($R120,'Dados ClubeFII'!$A:$AU,23,0),3,100)/1</f>
        <v>11063586.71</v>
      </c>
      <c r="U120" s="118">
        <f t="shared" si="14"/>
        <v>160.016</v>
      </c>
      <c r="V120" s="118">
        <f t="shared" si="15"/>
        <v>58.000058</v>
      </c>
      <c r="W120" s="118" t="str">
        <f t="shared" ref="W120:AS120" si="129">IF(AV120="","", RANK(AV120,AV$7:AV$405,0))</f>
        <v/>
      </c>
      <c r="X120" s="118" t="str">
        <f t="shared" si="129"/>
        <v/>
      </c>
      <c r="Y120" s="118" t="str">
        <f t="shared" si="129"/>
        <v/>
      </c>
      <c r="Z120" s="118" t="str">
        <f t="shared" si="129"/>
        <v/>
      </c>
      <c r="AA120" s="118" t="str">
        <f t="shared" si="129"/>
        <v/>
      </c>
      <c r="AB120" s="118" t="str">
        <f t="shared" si="129"/>
        <v/>
      </c>
      <c r="AC120" s="118" t="str">
        <f t="shared" si="129"/>
        <v/>
      </c>
      <c r="AD120" s="118" t="str">
        <f t="shared" si="129"/>
        <v/>
      </c>
      <c r="AE120" s="118" t="str">
        <f t="shared" si="129"/>
        <v/>
      </c>
      <c r="AF120" s="118" t="str">
        <f t="shared" si="129"/>
        <v/>
      </c>
      <c r="AG120" s="118" t="str">
        <f t="shared" si="129"/>
        <v/>
      </c>
      <c r="AH120" s="118" t="str">
        <f t="shared" si="129"/>
        <v/>
      </c>
      <c r="AI120" s="118" t="str">
        <f t="shared" si="129"/>
        <v/>
      </c>
      <c r="AJ120" s="118" t="str">
        <f t="shared" si="129"/>
        <v/>
      </c>
      <c r="AK120" s="118" t="str">
        <f t="shared" si="129"/>
        <v/>
      </c>
      <c r="AL120" s="118" t="str">
        <f t="shared" si="129"/>
        <v/>
      </c>
      <c r="AM120" s="118" t="str">
        <f t="shared" si="129"/>
        <v/>
      </c>
      <c r="AN120" s="118" t="str">
        <f t="shared" si="129"/>
        <v/>
      </c>
      <c r="AO120" s="118" t="str">
        <f t="shared" si="129"/>
        <v/>
      </c>
      <c r="AP120" s="118" t="str">
        <f t="shared" si="129"/>
        <v/>
      </c>
      <c r="AQ120" s="118" t="str">
        <f t="shared" si="129"/>
        <v/>
      </c>
      <c r="AR120" s="118" t="str">
        <f t="shared" si="129"/>
        <v/>
      </c>
      <c r="AS120" s="118" t="str">
        <f t="shared" si="129"/>
        <v/>
      </c>
      <c r="AT120" s="123">
        <f>IF(AT$6="","",IF(AT$3="Maior",iferror(VLOOKUP($R120,Capa!$A:$Z,AT$5,0),0),IF(ISERROR(1/VLOOKUP($R120,Capa!$A:$Z,AT$5,0)),0,1/VLOOKUP($R120,Capa!$A:$Z,AT$5,0))))</f>
        <v>1.038760828</v>
      </c>
      <c r="AU120" s="124">
        <f>IF(AU$6="","",IF(AU$3="Maior",iferror(VLOOKUP($R120,Capa!$A:$Z,AU$5,0),0),IF(ISERROR(1/VLOOKUP($R120,Capa!$A:$Z,AU$5,0)),0,1/VLOOKUP($R120,Capa!$A:$Z,AU$5,0))))</f>
        <v>0.1307484099</v>
      </c>
      <c r="AV120" s="124" t="str">
        <f>IF(AV$6="","",IF(AV$3="Maior",iferror(VLOOKUP($R119,Capa!$A:$Z,AV$5,0),0),IF(ISERROR(1/VLOOKUP($R119,Capa!$A:$Z,AV$5,0)),0,1/VLOOKUP($R119,Capa!$A:$Z,AV$5,0))))</f>
        <v/>
      </c>
      <c r="AW120" s="124" t="str">
        <f>IF(AW$6="","",IF(AW$3="Maior",iferror(VLOOKUP($R119,Capa!$A:$Z,AW$5,0),0),IF(ISERROR(1/VLOOKUP($R119,Capa!$A:$Z,AW$5,0)),0,1/VLOOKUP($R119,Capa!$A:$Z,AW$5,0))))</f>
        <v/>
      </c>
      <c r="AX120" s="124" t="str">
        <f>IF(AX$6="","",IF(AX$3="Maior",iferror(VLOOKUP($R119,Capa!$A:$Z,AX$5,0),0),IF(ISERROR(1/VLOOKUP($R119,Capa!$A:$Z,AX$5,0)),0,1/VLOOKUP($R119,Capa!$A:$Z,AX$5,0))))</f>
        <v/>
      </c>
      <c r="AY120" s="124" t="str">
        <f>IF(AY$6="","",IF(AY$3="Maior",iferror(VLOOKUP($R119,Capa!$A:$Z,AY$5,0),0),IF(ISERROR(1/VLOOKUP($R119,Capa!$A:$Z,AY$5,0)),0,1/VLOOKUP($R119,Capa!$A:$Z,AY$5,0))))</f>
        <v/>
      </c>
      <c r="AZ120" s="124" t="str">
        <f>IF(AZ$6="","",IF(AZ$3="Maior",iferror(VLOOKUP($R119,Capa!$A:$Z,AZ$5,0),0),IF(ISERROR(1/VLOOKUP($R119,Capa!$A:$Z,AZ$5,0)),0,1/VLOOKUP($R119,Capa!$A:$Z,AZ$5,0))))</f>
        <v/>
      </c>
      <c r="BA120" s="124" t="str">
        <f>IF(BA$6="","",IF(BA$3="Maior",iferror(VLOOKUP($R119,Capa!$A:$Z,BA$5,0),0),IF(ISERROR(1/VLOOKUP($R119,Capa!$A:$Z,BA$5,0)),0,1/VLOOKUP($R119,Capa!$A:$Z,BA$5,0))))</f>
        <v/>
      </c>
      <c r="BB120" s="124" t="str">
        <f>IF(BB$6="","",IF(BB$3="Maior",iferror(VLOOKUP($R119,Capa!$A:$Z,BB$5,0),0),IF(ISERROR(1/VLOOKUP($R119,Capa!$A:$Z,BB$5,0)),0,1/VLOOKUP($R119,Capa!$A:$Z,BB$5,0))))</f>
        <v/>
      </c>
      <c r="BC120" s="124" t="str">
        <f>IF(BC$6="","",IF(BC$3="Maior",iferror(VLOOKUP($R119,Capa!$A:$Z,BC$5,0),0),IF(ISERROR(1/VLOOKUP($R119,Capa!$A:$Z,BC$5,0)),0,1/VLOOKUP($R119,Capa!$A:$Z,BC$5,0))))</f>
        <v/>
      </c>
      <c r="BD120" s="124" t="str">
        <f>IF(BD$6="","",IF(BD$3="Maior",iferror(VLOOKUP($R119,Capa!$A:$Z,BD$5,0),0),IF(ISERROR(1/VLOOKUP($R119,Capa!$A:$Z,BD$5,0)),0,1/VLOOKUP($R119,Capa!$A:$Z,BD$5,0))))</f>
        <v/>
      </c>
      <c r="BE120" s="124" t="str">
        <f>IF(BE$6="","",IF(BE$3="Maior",iferror(VLOOKUP($R119,Capa!$A:$Z,BE$5,0),0),IF(ISERROR(1/VLOOKUP($R119,Capa!$A:$Z,BE$5,0)),0,1/VLOOKUP($R119,Capa!$A:$Z,BE$5,0))))</f>
        <v/>
      </c>
      <c r="BF120" s="124" t="str">
        <f>IF(BF$6="","",IF(BF$3="Maior",iferror(VLOOKUP($R119,Capa!$A:$Z,BF$5,0),0),IF(ISERROR(1/VLOOKUP($R119,Capa!$A:$Z,BF$5,0)),0,1/VLOOKUP($R119,Capa!$A:$Z,BF$5,0))))</f>
        <v/>
      </c>
      <c r="BG120" s="124" t="str">
        <f>IF(BG$6="","",IF(BG$3="Maior",iferror(VLOOKUP($R119,Capa!$A:$Z,BG$5,0),0),IF(ISERROR(1/VLOOKUP($R119,Capa!$A:$Z,BG$5,0)),0,1/VLOOKUP($R119,Capa!$A:$Z,BG$5,0))))</f>
        <v/>
      </c>
      <c r="BH120" s="124" t="str">
        <f>IF(BH$6="","",IF(BH$3="Maior",iferror(VLOOKUP($R119,Capa!$A:$Z,BH$5,0),0),IF(ISERROR(1/VLOOKUP($R119,Capa!$A:$Z,BH$5,0)),0,1/VLOOKUP($R119,Capa!$A:$Z,BH$5,0))))</f>
        <v/>
      </c>
      <c r="BI120" s="124" t="str">
        <f>IF(BI$6="","",IF(BI$3="Maior",iferror(VLOOKUP($R119,Capa!$A:$Z,BI$5,0),0),IF(ISERROR(1/VLOOKUP($R119,Capa!$A:$Z,BI$5,0)),0,1/VLOOKUP($R119,Capa!$A:$Z,BI$5,0))))</f>
        <v/>
      </c>
      <c r="BJ120" s="124" t="str">
        <f>IF(BJ$6="","",IF(BJ$3="Maior",iferror(VLOOKUP($R119,Capa!$A:$Z,BJ$5,0),0),IF(ISERROR(1/VLOOKUP($R119,Capa!$A:$Z,BJ$5,0)),0,1/VLOOKUP($R119,Capa!$A:$Z,BJ$5,0))))</f>
        <v/>
      </c>
      <c r="BK120" s="124" t="str">
        <f>IF(BK$6="","",IF(BK$3="Maior",iferror(VLOOKUP($R119,Capa!$A:$Z,BK$5,0),0),IF(ISERROR(1/VLOOKUP($R119,Capa!$A:$Z,BK$5,0)),0,1/VLOOKUP($R119,Capa!$A:$Z,BK$5,0))))</f>
        <v/>
      </c>
      <c r="BL120" s="124" t="str">
        <f>IF(BL$6="","",IF(BL$3="Maior",iferror(VLOOKUP($R119,Capa!$A:$Z,BL$5,0),0),IF(ISERROR(1/VLOOKUP($R119,Capa!$A:$Z,BL$5,0)),0,1/VLOOKUP($R119,Capa!$A:$Z,BL$5,0))))</f>
        <v/>
      </c>
      <c r="BM120" s="124" t="str">
        <f>IF(BM$6="","",IF(BM$3="Maior",iferror(VLOOKUP($R119,Capa!$A:$Z,BM$5,0),0),IF(ISERROR(1/VLOOKUP($R119,Capa!$A:$Z,BM$5,0)),0,1/VLOOKUP($R119,Capa!$A:$Z,BM$5,0))))</f>
        <v/>
      </c>
      <c r="BN120" s="124" t="str">
        <f>IF(BN$6="","",IF(BN$3="Maior",iferror(VLOOKUP($R119,Capa!$A:$Z,BN$5,0),0),IF(ISERROR(1/VLOOKUP($R119,Capa!$A:$Z,BN$5,0)),0,1/VLOOKUP($R119,Capa!$A:$Z,BN$5,0))))</f>
        <v/>
      </c>
      <c r="BO120" s="124" t="str">
        <f>IF(BO$6="","",IF(BO$3="Maior",iferror(VLOOKUP($R119,Capa!$A:$Z,BO$5,0),0),IF(ISERROR(1/VLOOKUP($R119,Capa!$A:$Z,BO$5,0)),0,1/VLOOKUP($R119,Capa!$A:$Z,BO$5,0))))</f>
        <v/>
      </c>
      <c r="BP120" s="124" t="str">
        <f>IF(BP$6="","",IF(BP$3="Maior",iferror(VLOOKUP($R119,Capa!$A:$Z,BP$5,0),0),IF(ISERROR(1/VLOOKUP($R119,Capa!$A:$Z,BP$5,0)),0,1/VLOOKUP($R119,Capa!$A:$Z,BP$5,0))))</f>
        <v/>
      </c>
      <c r="BQ120" s="124" t="str">
        <f>IF(BQ$6="","",IF(BQ$3="Maior",iferror(VLOOKUP($R119,Capa!$A:$Z,BQ$5,0),0),IF(ISERROR(1/VLOOKUP($R119,Capa!$A:$Z,BQ$5,0)),0,1/VLOOKUP($R119,Capa!$A:$Z,BQ$5,0))))</f>
        <v/>
      </c>
      <c r="BR120" s="125" t="str">
        <f>IF(BR$6="","",IF(BR$3="Maior",iferror(VLOOKUP($R119,Capa!$A:$Z,BR$5,0),0),IF(ISERROR(1/VLOOKUP($R119,Capa!$A:$Z,BR$5,0)),0,1/VLOOKUP($R119,Capa!$A:$Z,BR$5,0))))</f>
        <v/>
      </c>
      <c r="BS120" s="88"/>
    </row>
    <row r="121">
      <c r="G121" s="9"/>
      <c r="H121" s="7">
        <v>115.0</v>
      </c>
      <c r="I121" s="111" t="str">
        <f t="shared" si="7"/>
        <v>RVBI11</v>
      </c>
      <c r="J121" s="112" t="str">
        <f>VLOOKUP(I121,Capa!A:G,7,0)</f>
        <v>Fundo de Fundos</v>
      </c>
      <c r="K121" s="113">
        <f t="shared" si="8"/>
        <v>0.8497578348</v>
      </c>
      <c r="L121" s="113">
        <f t="shared" si="9"/>
        <v>0.1276636182</v>
      </c>
      <c r="M121" s="113" t="str">
        <f t="shared" si="10"/>
        <v/>
      </c>
      <c r="N121" s="113" t="str">
        <f t="shared" si="11"/>
        <v/>
      </c>
      <c r="O121" s="114">
        <f t="shared" si="12"/>
        <v>187943.84</v>
      </c>
      <c r="P121" s="9"/>
      <c r="Q121" s="9"/>
      <c r="R121" s="115" t="s">
        <v>151</v>
      </c>
      <c r="S121" s="116">
        <f t="shared" si="13"/>
        <v>1220.013288</v>
      </c>
      <c r="T121" s="117">
        <f>MID(VLOOKUP($R121,'Dados ClubeFII'!$A:$AU,23,0),3,100)/1</f>
        <v>719277.69</v>
      </c>
      <c r="U121" s="118">
        <f t="shared" si="14"/>
        <v>132.0132</v>
      </c>
      <c r="V121" s="118">
        <f t="shared" si="15"/>
        <v>88.000088</v>
      </c>
      <c r="W121" s="118" t="str">
        <f t="shared" ref="W121:AS121" si="130">IF(AV121="","", RANK(AV121,AV$7:AV$405,0))</f>
        <v/>
      </c>
      <c r="X121" s="118" t="str">
        <f t="shared" si="130"/>
        <v/>
      </c>
      <c r="Y121" s="118" t="str">
        <f t="shared" si="130"/>
        <v/>
      </c>
      <c r="Z121" s="118" t="str">
        <f t="shared" si="130"/>
        <v/>
      </c>
      <c r="AA121" s="118" t="str">
        <f t="shared" si="130"/>
        <v/>
      </c>
      <c r="AB121" s="118" t="str">
        <f t="shared" si="130"/>
        <v/>
      </c>
      <c r="AC121" s="118" t="str">
        <f t="shared" si="130"/>
        <v/>
      </c>
      <c r="AD121" s="118" t="str">
        <f t="shared" si="130"/>
        <v/>
      </c>
      <c r="AE121" s="118" t="str">
        <f t="shared" si="130"/>
        <v/>
      </c>
      <c r="AF121" s="118" t="str">
        <f t="shared" si="130"/>
        <v/>
      </c>
      <c r="AG121" s="118" t="str">
        <f t="shared" si="130"/>
        <v/>
      </c>
      <c r="AH121" s="118" t="str">
        <f t="shared" si="130"/>
        <v/>
      </c>
      <c r="AI121" s="118" t="str">
        <f t="shared" si="130"/>
        <v/>
      </c>
      <c r="AJ121" s="118" t="str">
        <f t="shared" si="130"/>
        <v/>
      </c>
      <c r="AK121" s="118" t="str">
        <f t="shared" si="130"/>
        <v/>
      </c>
      <c r="AL121" s="118" t="str">
        <f t="shared" si="130"/>
        <v/>
      </c>
      <c r="AM121" s="118" t="str">
        <f t="shared" si="130"/>
        <v/>
      </c>
      <c r="AN121" s="118" t="str">
        <f t="shared" si="130"/>
        <v/>
      </c>
      <c r="AO121" s="118" t="str">
        <f t="shared" si="130"/>
        <v/>
      </c>
      <c r="AP121" s="118" t="str">
        <f t="shared" si="130"/>
        <v/>
      </c>
      <c r="AQ121" s="118" t="str">
        <f t="shared" si="130"/>
        <v/>
      </c>
      <c r="AR121" s="118" t="str">
        <f t="shared" si="130"/>
        <v/>
      </c>
      <c r="AS121" s="118" t="str">
        <f t="shared" si="130"/>
        <v/>
      </c>
      <c r="AT121" s="123">
        <f>IF(AT$6="","",IF(AT$3="Maior",iferror(VLOOKUP($R121,Capa!$A:$Z,AT$5,0),0),IF(ISERROR(1/VLOOKUP($R121,Capa!$A:$Z,AT$5,0)),0,1/VLOOKUP($R121,Capa!$A:$Z,AT$5,0))))</f>
        <v>1.123752876</v>
      </c>
      <c r="AU121" s="124">
        <f>IF(AU$6="","",IF(AU$3="Maior",iferror(VLOOKUP($R121,Capa!$A:$Z,AU$5,0),0),IF(ISERROR(1/VLOOKUP($R121,Capa!$A:$Z,AU$5,0)),0,1/VLOOKUP($R121,Capa!$A:$Z,AU$5,0))))</f>
        <v>0.1139247414</v>
      </c>
      <c r="AV121" s="124" t="str">
        <f>IF(AV$6="","",IF(AV$3="Maior",iferror(VLOOKUP($R120,Capa!$A:$Z,AV$5,0),0),IF(ISERROR(1/VLOOKUP($R120,Capa!$A:$Z,AV$5,0)),0,1/VLOOKUP($R120,Capa!$A:$Z,AV$5,0))))</f>
        <v/>
      </c>
      <c r="AW121" s="124" t="str">
        <f>IF(AW$6="","",IF(AW$3="Maior",iferror(VLOOKUP($R120,Capa!$A:$Z,AW$5,0),0),IF(ISERROR(1/VLOOKUP($R120,Capa!$A:$Z,AW$5,0)),0,1/VLOOKUP($R120,Capa!$A:$Z,AW$5,0))))</f>
        <v/>
      </c>
      <c r="AX121" s="124" t="str">
        <f>IF(AX$6="","",IF(AX$3="Maior",iferror(VLOOKUP($R120,Capa!$A:$Z,AX$5,0),0),IF(ISERROR(1/VLOOKUP($R120,Capa!$A:$Z,AX$5,0)),0,1/VLOOKUP($R120,Capa!$A:$Z,AX$5,0))))</f>
        <v/>
      </c>
      <c r="AY121" s="124" t="str">
        <f>IF(AY$6="","",IF(AY$3="Maior",iferror(VLOOKUP($R120,Capa!$A:$Z,AY$5,0),0),IF(ISERROR(1/VLOOKUP($R120,Capa!$A:$Z,AY$5,0)),0,1/VLOOKUP($R120,Capa!$A:$Z,AY$5,0))))</f>
        <v/>
      </c>
      <c r="AZ121" s="124" t="str">
        <f>IF(AZ$6="","",IF(AZ$3="Maior",iferror(VLOOKUP($R120,Capa!$A:$Z,AZ$5,0),0),IF(ISERROR(1/VLOOKUP($R120,Capa!$A:$Z,AZ$5,0)),0,1/VLOOKUP($R120,Capa!$A:$Z,AZ$5,0))))</f>
        <v/>
      </c>
      <c r="BA121" s="124" t="str">
        <f>IF(BA$6="","",IF(BA$3="Maior",iferror(VLOOKUP($R120,Capa!$A:$Z,BA$5,0),0),IF(ISERROR(1/VLOOKUP($R120,Capa!$A:$Z,BA$5,0)),0,1/VLOOKUP($R120,Capa!$A:$Z,BA$5,0))))</f>
        <v/>
      </c>
      <c r="BB121" s="124" t="str">
        <f>IF(BB$6="","",IF(BB$3="Maior",iferror(VLOOKUP($R120,Capa!$A:$Z,BB$5,0),0),IF(ISERROR(1/VLOOKUP($R120,Capa!$A:$Z,BB$5,0)),0,1/VLOOKUP($R120,Capa!$A:$Z,BB$5,0))))</f>
        <v/>
      </c>
      <c r="BC121" s="124" t="str">
        <f>IF(BC$6="","",IF(BC$3="Maior",iferror(VLOOKUP($R120,Capa!$A:$Z,BC$5,0),0),IF(ISERROR(1/VLOOKUP($R120,Capa!$A:$Z,BC$5,0)),0,1/VLOOKUP($R120,Capa!$A:$Z,BC$5,0))))</f>
        <v/>
      </c>
      <c r="BD121" s="124" t="str">
        <f>IF(BD$6="","",IF(BD$3="Maior",iferror(VLOOKUP($R120,Capa!$A:$Z,BD$5,0),0),IF(ISERROR(1/VLOOKUP($R120,Capa!$A:$Z,BD$5,0)),0,1/VLOOKUP($R120,Capa!$A:$Z,BD$5,0))))</f>
        <v/>
      </c>
      <c r="BE121" s="124" t="str">
        <f>IF(BE$6="","",IF(BE$3="Maior",iferror(VLOOKUP($R120,Capa!$A:$Z,BE$5,0),0),IF(ISERROR(1/VLOOKUP($R120,Capa!$A:$Z,BE$5,0)),0,1/VLOOKUP($R120,Capa!$A:$Z,BE$5,0))))</f>
        <v/>
      </c>
      <c r="BF121" s="124" t="str">
        <f>IF(BF$6="","",IF(BF$3="Maior",iferror(VLOOKUP($R120,Capa!$A:$Z,BF$5,0),0),IF(ISERROR(1/VLOOKUP($R120,Capa!$A:$Z,BF$5,0)),0,1/VLOOKUP($R120,Capa!$A:$Z,BF$5,0))))</f>
        <v/>
      </c>
      <c r="BG121" s="124" t="str">
        <f>IF(BG$6="","",IF(BG$3="Maior",iferror(VLOOKUP($R120,Capa!$A:$Z,BG$5,0),0),IF(ISERROR(1/VLOOKUP($R120,Capa!$A:$Z,BG$5,0)),0,1/VLOOKUP($R120,Capa!$A:$Z,BG$5,0))))</f>
        <v/>
      </c>
      <c r="BH121" s="124" t="str">
        <f>IF(BH$6="","",IF(BH$3="Maior",iferror(VLOOKUP($R120,Capa!$A:$Z,BH$5,0),0),IF(ISERROR(1/VLOOKUP($R120,Capa!$A:$Z,BH$5,0)),0,1/VLOOKUP($R120,Capa!$A:$Z,BH$5,0))))</f>
        <v/>
      </c>
      <c r="BI121" s="124" t="str">
        <f>IF(BI$6="","",IF(BI$3="Maior",iferror(VLOOKUP($R120,Capa!$A:$Z,BI$5,0),0),IF(ISERROR(1/VLOOKUP($R120,Capa!$A:$Z,BI$5,0)),0,1/VLOOKUP($R120,Capa!$A:$Z,BI$5,0))))</f>
        <v/>
      </c>
      <c r="BJ121" s="124" t="str">
        <f>IF(BJ$6="","",IF(BJ$3="Maior",iferror(VLOOKUP($R120,Capa!$A:$Z,BJ$5,0),0),IF(ISERROR(1/VLOOKUP($R120,Capa!$A:$Z,BJ$5,0)),0,1/VLOOKUP($R120,Capa!$A:$Z,BJ$5,0))))</f>
        <v/>
      </c>
      <c r="BK121" s="124" t="str">
        <f>IF(BK$6="","",IF(BK$3="Maior",iferror(VLOOKUP($R120,Capa!$A:$Z,BK$5,0),0),IF(ISERROR(1/VLOOKUP($R120,Capa!$A:$Z,BK$5,0)),0,1/VLOOKUP($R120,Capa!$A:$Z,BK$5,0))))</f>
        <v/>
      </c>
      <c r="BL121" s="124" t="str">
        <f>IF(BL$6="","",IF(BL$3="Maior",iferror(VLOOKUP($R120,Capa!$A:$Z,BL$5,0),0),IF(ISERROR(1/VLOOKUP($R120,Capa!$A:$Z,BL$5,0)),0,1/VLOOKUP($R120,Capa!$A:$Z,BL$5,0))))</f>
        <v/>
      </c>
      <c r="BM121" s="124" t="str">
        <f>IF(BM$6="","",IF(BM$3="Maior",iferror(VLOOKUP($R120,Capa!$A:$Z,BM$5,0),0),IF(ISERROR(1/VLOOKUP($R120,Capa!$A:$Z,BM$5,0)),0,1/VLOOKUP($R120,Capa!$A:$Z,BM$5,0))))</f>
        <v/>
      </c>
      <c r="BN121" s="124" t="str">
        <f>IF(BN$6="","",IF(BN$3="Maior",iferror(VLOOKUP($R120,Capa!$A:$Z,BN$5,0),0),IF(ISERROR(1/VLOOKUP($R120,Capa!$A:$Z,BN$5,0)),0,1/VLOOKUP($R120,Capa!$A:$Z,BN$5,0))))</f>
        <v/>
      </c>
      <c r="BO121" s="124" t="str">
        <f>IF(BO$6="","",IF(BO$3="Maior",iferror(VLOOKUP($R120,Capa!$A:$Z,BO$5,0),0),IF(ISERROR(1/VLOOKUP($R120,Capa!$A:$Z,BO$5,0)),0,1/VLOOKUP($R120,Capa!$A:$Z,BO$5,0))))</f>
        <v/>
      </c>
      <c r="BP121" s="124" t="str">
        <f>IF(BP$6="","",IF(BP$3="Maior",iferror(VLOOKUP($R120,Capa!$A:$Z,BP$5,0),0),IF(ISERROR(1/VLOOKUP($R120,Capa!$A:$Z,BP$5,0)),0,1/VLOOKUP($R120,Capa!$A:$Z,BP$5,0))))</f>
        <v/>
      </c>
      <c r="BQ121" s="124" t="str">
        <f>IF(BQ$6="","",IF(BQ$3="Maior",iferror(VLOOKUP($R120,Capa!$A:$Z,BQ$5,0),0),IF(ISERROR(1/VLOOKUP($R120,Capa!$A:$Z,BQ$5,0)),0,1/VLOOKUP($R120,Capa!$A:$Z,BQ$5,0))))</f>
        <v/>
      </c>
      <c r="BR121" s="125" t="str">
        <f>IF(BR$6="","",IF(BR$3="Maior",iferror(VLOOKUP($R120,Capa!$A:$Z,BR$5,0),0),IF(ISERROR(1/VLOOKUP($R120,Capa!$A:$Z,BR$5,0)),0,1/VLOOKUP($R120,Capa!$A:$Z,BR$5,0))))</f>
        <v/>
      </c>
      <c r="BS121" s="88"/>
    </row>
    <row r="122">
      <c r="G122" s="9"/>
      <c r="H122" s="7">
        <v>116.0</v>
      </c>
      <c r="I122" s="111" t="str">
        <f t="shared" si="7"/>
        <v>EQIR11</v>
      </c>
      <c r="J122" s="112" t="str">
        <f>VLOOKUP(I122,Capa!A:G,7,0)</f>
        <v>Recebíveis Imobiliários</v>
      </c>
      <c r="K122" s="113">
        <f t="shared" si="8"/>
        <v>0.9595354239</v>
      </c>
      <c r="L122" s="113">
        <f t="shared" si="9"/>
        <v>0.1552987224</v>
      </c>
      <c r="M122" s="113" t="str">
        <f t="shared" si="10"/>
        <v/>
      </c>
      <c r="N122" s="113" t="str">
        <f t="shared" si="11"/>
        <v/>
      </c>
      <c r="O122" s="114">
        <f t="shared" si="12"/>
        <v>33040.66</v>
      </c>
      <c r="P122" s="9"/>
      <c r="Q122" s="9"/>
      <c r="R122" s="115" t="s">
        <v>91</v>
      </c>
      <c r="S122" s="116">
        <f t="shared" si="13"/>
        <v>175.007996</v>
      </c>
      <c r="T122" s="117">
        <f>MID(VLOOKUP($R122,'Dados ClubeFII'!$A:$AU,23,0),3,100)/1</f>
        <v>2087732.73</v>
      </c>
      <c r="U122" s="118">
        <f t="shared" si="14"/>
        <v>79.0079</v>
      </c>
      <c r="V122" s="118">
        <f t="shared" si="15"/>
        <v>96.000096</v>
      </c>
      <c r="W122" s="118" t="str">
        <f t="shared" ref="W122:AS122" si="131">IF(AV122="","", RANK(AV122,AV$7:AV$405,0))</f>
        <v/>
      </c>
      <c r="X122" s="118" t="str">
        <f t="shared" si="131"/>
        <v/>
      </c>
      <c r="Y122" s="118" t="str">
        <f t="shared" si="131"/>
        <v/>
      </c>
      <c r="Z122" s="118" t="str">
        <f t="shared" si="131"/>
        <v/>
      </c>
      <c r="AA122" s="118" t="str">
        <f t="shared" si="131"/>
        <v/>
      </c>
      <c r="AB122" s="118" t="str">
        <f t="shared" si="131"/>
        <v/>
      </c>
      <c r="AC122" s="118" t="str">
        <f t="shared" si="131"/>
        <v/>
      </c>
      <c r="AD122" s="118" t="str">
        <f t="shared" si="131"/>
        <v/>
      </c>
      <c r="AE122" s="118" t="str">
        <f t="shared" si="131"/>
        <v/>
      </c>
      <c r="AF122" s="118" t="str">
        <f t="shared" si="131"/>
        <v/>
      </c>
      <c r="AG122" s="118" t="str">
        <f t="shared" si="131"/>
        <v/>
      </c>
      <c r="AH122" s="118" t="str">
        <f t="shared" si="131"/>
        <v/>
      </c>
      <c r="AI122" s="118" t="str">
        <f t="shared" si="131"/>
        <v/>
      </c>
      <c r="AJ122" s="118" t="str">
        <f t="shared" si="131"/>
        <v/>
      </c>
      <c r="AK122" s="118" t="str">
        <f t="shared" si="131"/>
        <v/>
      </c>
      <c r="AL122" s="118" t="str">
        <f t="shared" si="131"/>
        <v/>
      </c>
      <c r="AM122" s="118" t="str">
        <f t="shared" si="131"/>
        <v/>
      </c>
      <c r="AN122" s="118" t="str">
        <f t="shared" si="131"/>
        <v/>
      </c>
      <c r="AO122" s="118" t="str">
        <f t="shared" si="131"/>
        <v/>
      </c>
      <c r="AP122" s="118" t="str">
        <f t="shared" si="131"/>
        <v/>
      </c>
      <c r="AQ122" s="118" t="str">
        <f t="shared" si="131"/>
        <v/>
      </c>
      <c r="AR122" s="118" t="str">
        <f t="shared" si="131"/>
        <v/>
      </c>
      <c r="AS122" s="118" t="str">
        <f t="shared" si="131"/>
        <v/>
      </c>
      <c r="AT122" s="123">
        <f>IF(AT$6="","",IF(AT$3="Maior",iferror(VLOOKUP($R122,Capa!$A:$Z,AT$5,0),0),IF(ISERROR(1/VLOOKUP($R122,Capa!$A:$Z,AT$5,0)),0,1/VLOOKUP($R122,Capa!$A:$Z,AT$5,0))))</f>
        <v>1.238275312</v>
      </c>
      <c r="AU122" s="124">
        <f>IF(AU$6="","",IF(AU$3="Maior",iferror(VLOOKUP($R122,Capa!$A:$Z,AU$5,0),0),IF(ISERROR(1/VLOOKUP($R122,Capa!$A:$Z,AU$5,0)),0,1/VLOOKUP($R122,Capa!$A:$Z,AU$5,0))))</f>
        <v>0.1111661677</v>
      </c>
      <c r="AV122" s="124" t="str">
        <f>IF(AV$6="","",IF(AV$3="Maior",iferror(VLOOKUP($R121,Capa!$A:$Z,AV$5,0),0),IF(ISERROR(1/VLOOKUP($R121,Capa!$A:$Z,AV$5,0)),0,1/VLOOKUP($R121,Capa!$A:$Z,AV$5,0))))</f>
        <v/>
      </c>
      <c r="AW122" s="124" t="str">
        <f>IF(AW$6="","",IF(AW$3="Maior",iferror(VLOOKUP($R121,Capa!$A:$Z,AW$5,0),0),IF(ISERROR(1/VLOOKUP($R121,Capa!$A:$Z,AW$5,0)),0,1/VLOOKUP($R121,Capa!$A:$Z,AW$5,0))))</f>
        <v/>
      </c>
      <c r="AX122" s="124" t="str">
        <f>IF(AX$6="","",IF(AX$3="Maior",iferror(VLOOKUP($R121,Capa!$A:$Z,AX$5,0),0),IF(ISERROR(1/VLOOKUP($R121,Capa!$A:$Z,AX$5,0)),0,1/VLOOKUP($R121,Capa!$A:$Z,AX$5,0))))</f>
        <v/>
      </c>
      <c r="AY122" s="124" t="str">
        <f>IF(AY$6="","",IF(AY$3="Maior",iferror(VLOOKUP($R121,Capa!$A:$Z,AY$5,0),0),IF(ISERROR(1/VLOOKUP($R121,Capa!$A:$Z,AY$5,0)),0,1/VLOOKUP($R121,Capa!$A:$Z,AY$5,0))))</f>
        <v/>
      </c>
      <c r="AZ122" s="124" t="str">
        <f>IF(AZ$6="","",IF(AZ$3="Maior",iferror(VLOOKUP($R121,Capa!$A:$Z,AZ$5,0),0),IF(ISERROR(1/VLOOKUP($R121,Capa!$A:$Z,AZ$5,0)),0,1/VLOOKUP($R121,Capa!$A:$Z,AZ$5,0))))</f>
        <v/>
      </c>
      <c r="BA122" s="124" t="str">
        <f>IF(BA$6="","",IF(BA$3="Maior",iferror(VLOOKUP($R121,Capa!$A:$Z,BA$5,0),0),IF(ISERROR(1/VLOOKUP($R121,Capa!$A:$Z,BA$5,0)),0,1/VLOOKUP($R121,Capa!$A:$Z,BA$5,0))))</f>
        <v/>
      </c>
      <c r="BB122" s="124" t="str">
        <f>IF(BB$6="","",IF(BB$3="Maior",iferror(VLOOKUP($R121,Capa!$A:$Z,BB$5,0),0),IF(ISERROR(1/VLOOKUP($R121,Capa!$A:$Z,BB$5,0)),0,1/VLOOKUP($R121,Capa!$A:$Z,BB$5,0))))</f>
        <v/>
      </c>
      <c r="BC122" s="124" t="str">
        <f>IF(BC$6="","",IF(BC$3="Maior",iferror(VLOOKUP($R121,Capa!$A:$Z,BC$5,0),0),IF(ISERROR(1/VLOOKUP($R121,Capa!$A:$Z,BC$5,0)),0,1/VLOOKUP($R121,Capa!$A:$Z,BC$5,0))))</f>
        <v/>
      </c>
      <c r="BD122" s="124" t="str">
        <f>IF(BD$6="","",IF(BD$3="Maior",iferror(VLOOKUP($R121,Capa!$A:$Z,BD$5,0),0),IF(ISERROR(1/VLOOKUP($R121,Capa!$A:$Z,BD$5,0)),0,1/VLOOKUP($R121,Capa!$A:$Z,BD$5,0))))</f>
        <v/>
      </c>
      <c r="BE122" s="124" t="str">
        <f>IF(BE$6="","",IF(BE$3="Maior",iferror(VLOOKUP($R121,Capa!$A:$Z,BE$5,0),0),IF(ISERROR(1/VLOOKUP($R121,Capa!$A:$Z,BE$5,0)),0,1/VLOOKUP($R121,Capa!$A:$Z,BE$5,0))))</f>
        <v/>
      </c>
      <c r="BF122" s="124" t="str">
        <f>IF(BF$6="","",IF(BF$3="Maior",iferror(VLOOKUP($R121,Capa!$A:$Z,BF$5,0),0),IF(ISERROR(1/VLOOKUP($R121,Capa!$A:$Z,BF$5,0)),0,1/VLOOKUP($R121,Capa!$A:$Z,BF$5,0))))</f>
        <v/>
      </c>
      <c r="BG122" s="124" t="str">
        <f>IF(BG$6="","",IF(BG$3="Maior",iferror(VLOOKUP($R121,Capa!$A:$Z,BG$5,0),0),IF(ISERROR(1/VLOOKUP($R121,Capa!$A:$Z,BG$5,0)),0,1/VLOOKUP($R121,Capa!$A:$Z,BG$5,0))))</f>
        <v/>
      </c>
      <c r="BH122" s="124" t="str">
        <f>IF(BH$6="","",IF(BH$3="Maior",iferror(VLOOKUP($R121,Capa!$A:$Z,BH$5,0),0),IF(ISERROR(1/VLOOKUP($R121,Capa!$A:$Z,BH$5,0)),0,1/VLOOKUP($R121,Capa!$A:$Z,BH$5,0))))</f>
        <v/>
      </c>
      <c r="BI122" s="124" t="str">
        <f>IF(BI$6="","",IF(BI$3="Maior",iferror(VLOOKUP($R121,Capa!$A:$Z,BI$5,0),0),IF(ISERROR(1/VLOOKUP($R121,Capa!$A:$Z,BI$5,0)),0,1/VLOOKUP($R121,Capa!$A:$Z,BI$5,0))))</f>
        <v/>
      </c>
      <c r="BJ122" s="124" t="str">
        <f>IF(BJ$6="","",IF(BJ$3="Maior",iferror(VLOOKUP($R121,Capa!$A:$Z,BJ$5,0),0),IF(ISERROR(1/VLOOKUP($R121,Capa!$A:$Z,BJ$5,0)),0,1/VLOOKUP($R121,Capa!$A:$Z,BJ$5,0))))</f>
        <v/>
      </c>
      <c r="BK122" s="124" t="str">
        <f>IF(BK$6="","",IF(BK$3="Maior",iferror(VLOOKUP($R121,Capa!$A:$Z,BK$5,0),0),IF(ISERROR(1/VLOOKUP($R121,Capa!$A:$Z,BK$5,0)),0,1/VLOOKUP($R121,Capa!$A:$Z,BK$5,0))))</f>
        <v/>
      </c>
      <c r="BL122" s="124" t="str">
        <f>IF(BL$6="","",IF(BL$3="Maior",iferror(VLOOKUP($R121,Capa!$A:$Z,BL$5,0),0),IF(ISERROR(1/VLOOKUP($R121,Capa!$A:$Z,BL$5,0)),0,1/VLOOKUP($R121,Capa!$A:$Z,BL$5,0))))</f>
        <v/>
      </c>
      <c r="BM122" s="124" t="str">
        <f>IF(BM$6="","",IF(BM$3="Maior",iferror(VLOOKUP($R121,Capa!$A:$Z,BM$5,0),0),IF(ISERROR(1/VLOOKUP($R121,Capa!$A:$Z,BM$5,0)),0,1/VLOOKUP($R121,Capa!$A:$Z,BM$5,0))))</f>
        <v/>
      </c>
      <c r="BN122" s="124" t="str">
        <f>IF(BN$6="","",IF(BN$3="Maior",iferror(VLOOKUP($R121,Capa!$A:$Z,BN$5,0),0),IF(ISERROR(1/VLOOKUP($R121,Capa!$A:$Z,BN$5,0)),0,1/VLOOKUP($R121,Capa!$A:$Z,BN$5,0))))</f>
        <v/>
      </c>
      <c r="BO122" s="124" t="str">
        <f>IF(BO$6="","",IF(BO$3="Maior",iferror(VLOOKUP($R121,Capa!$A:$Z,BO$5,0),0),IF(ISERROR(1/VLOOKUP($R121,Capa!$A:$Z,BO$5,0)),0,1/VLOOKUP($R121,Capa!$A:$Z,BO$5,0))))</f>
        <v/>
      </c>
      <c r="BP122" s="124" t="str">
        <f>IF(BP$6="","",IF(BP$3="Maior",iferror(VLOOKUP($R121,Capa!$A:$Z,BP$5,0),0),IF(ISERROR(1/VLOOKUP($R121,Capa!$A:$Z,BP$5,0)),0,1/VLOOKUP($R121,Capa!$A:$Z,BP$5,0))))</f>
        <v/>
      </c>
      <c r="BQ122" s="124" t="str">
        <f>IF(BQ$6="","",IF(BQ$3="Maior",iferror(VLOOKUP($R121,Capa!$A:$Z,BQ$5,0),0),IF(ISERROR(1/VLOOKUP($R121,Capa!$A:$Z,BQ$5,0)),0,1/VLOOKUP($R121,Capa!$A:$Z,BQ$5,0))))</f>
        <v/>
      </c>
      <c r="BR122" s="125" t="str">
        <f>IF(BR$6="","",IF(BR$3="Maior",iferror(VLOOKUP($R121,Capa!$A:$Z,BR$5,0),0),IF(ISERROR(1/VLOOKUP($R121,Capa!$A:$Z,BR$5,0)),0,1/VLOOKUP($R121,Capa!$A:$Z,BR$5,0))))</f>
        <v/>
      </c>
      <c r="BS122" s="88"/>
    </row>
    <row r="123">
      <c r="G123" s="9"/>
      <c r="H123" s="7">
        <v>117.0</v>
      </c>
      <c r="I123" s="111" t="str">
        <f t="shared" si="7"/>
        <v>PQDP11</v>
      </c>
      <c r="J123" s="112" t="str">
        <f>VLOOKUP(I123,Capa!A:G,7,0)</f>
        <v>Shopping/Varejo</v>
      </c>
      <c r="K123" s="113">
        <f t="shared" si="8"/>
        <v>0.6446599079</v>
      </c>
      <c r="L123" s="113">
        <f t="shared" si="9"/>
        <v>0.09005403022</v>
      </c>
      <c r="M123" s="113" t="str">
        <f t="shared" si="10"/>
        <v/>
      </c>
      <c r="N123" s="113" t="str">
        <f t="shared" si="11"/>
        <v/>
      </c>
      <c r="O123" s="114">
        <f t="shared" si="12"/>
        <v>85390.68</v>
      </c>
      <c r="P123" s="9"/>
      <c r="Q123" s="9"/>
      <c r="R123" s="127" t="s">
        <v>156</v>
      </c>
      <c r="S123" s="116">
        <f t="shared" si="13"/>
        <v>230.010427</v>
      </c>
      <c r="T123" s="117">
        <f>MID(VLOOKUP($R123,'Dados ClubeFII'!$A:$AU,23,0),3,100)/1</f>
        <v>4691271.61</v>
      </c>
      <c r="U123" s="118">
        <f t="shared" si="14"/>
        <v>103.0103</v>
      </c>
      <c r="V123" s="118">
        <f t="shared" si="15"/>
        <v>127.000127</v>
      </c>
      <c r="W123" s="118" t="str">
        <f t="shared" ref="W123:AS123" si="132">IF(AV123="","", RANK(AV123,AV$7:AV$405,0))</f>
        <v/>
      </c>
      <c r="X123" s="118" t="str">
        <f t="shared" si="132"/>
        <v/>
      </c>
      <c r="Y123" s="118" t="str">
        <f t="shared" si="132"/>
        <v/>
      </c>
      <c r="Z123" s="118" t="str">
        <f t="shared" si="132"/>
        <v/>
      </c>
      <c r="AA123" s="118" t="str">
        <f t="shared" si="132"/>
        <v/>
      </c>
      <c r="AB123" s="118" t="str">
        <f t="shared" si="132"/>
        <v/>
      </c>
      <c r="AC123" s="118" t="str">
        <f t="shared" si="132"/>
        <v/>
      </c>
      <c r="AD123" s="118" t="str">
        <f t="shared" si="132"/>
        <v/>
      </c>
      <c r="AE123" s="118" t="str">
        <f t="shared" si="132"/>
        <v/>
      </c>
      <c r="AF123" s="118" t="str">
        <f t="shared" si="132"/>
        <v/>
      </c>
      <c r="AG123" s="118" t="str">
        <f t="shared" si="132"/>
        <v/>
      </c>
      <c r="AH123" s="118" t="str">
        <f t="shared" si="132"/>
        <v/>
      </c>
      <c r="AI123" s="118" t="str">
        <f t="shared" si="132"/>
        <v/>
      </c>
      <c r="AJ123" s="118" t="str">
        <f t="shared" si="132"/>
        <v/>
      </c>
      <c r="AK123" s="118" t="str">
        <f t="shared" si="132"/>
        <v/>
      </c>
      <c r="AL123" s="118" t="str">
        <f t="shared" si="132"/>
        <v/>
      </c>
      <c r="AM123" s="118" t="str">
        <f t="shared" si="132"/>
        <v/>
      </c>
      <c r="AN123" s="118" t="str">
        <f t="shared" si="132"/>
        <v/>
      </c>
      <c r="AO123" s="118" t="str">
        <f t="shared" si="132"/>
        <v/>
      </c>
      <c r="AP123" s="118" t="str">
        <f t="shared" si="132"/>
        <v/>
      </c>
      <c r="AQ123" s="118" t="str">
        <f t="shared" si="132"/>
        <v/>
      </c>
      <c r="AR123" s="118" t="str">
        <f t="shared" si="132"/>
        <v/>
      </c>
      <c r="AS123" s="118" t="str">
        <f t="shared" si="132"/>
        <v/>
      </c>
      <c r="AT123" s="123">
        <f>IF(AT$6="","",IF(AT$3="Maior",iferror(VLOOKUP($R123,Capa!$A:$Z,AT$5,0),0),IF(ISERROR(1/VLOOKUP($R123,Capa!$A:$Z,AT$5,0)),0,1/VLOOKUP($R123,Capa!$A:$Z,AT$5,0))))</f>
        <v>1.184229572</v>
      </c>
      <c r="AU123" s="124">
        <f>IF(AU$6="","",IF(AU$3="Maior",iferror(VLOOKUP($R123,Capa!$A:$Z,AU$5,0),0),IF(ISERROR(1/VLOOKUP($R123,Capa!$A:$Z,AU$5,0)),0,1/VLOOKUP($R123,Capa!$A:$Z,AU$5,0))))</f>
        <v>0.09391718869</v>
      </c>
      <c r="AV123" s="124" t="str">
        <f>IF(AV$6="","",IF(AV$3="Maior",iferror(VLOOKUP($R122,Capa!$A:$Z,AV$5,0),0),IF(ISERROR(1/VLOOKUP($R122,Capa!$A:$Z,AV$5,0)),0,1/VLOOKUP($R122,Capa!$A:$Z,AV$5,0))))</f>
        <v/>
      </c>
      <c r="AW123" s="124" t="str">
        <f>IF(AW$6="","",IF(AW$3="Maior",iferror(VLOOKUP($R122,Capa!$A:$Z,AW$5,0),0),IF(ISERROR(1/VLOOKUP($R122,Capa!$A:$Z,AW$5,0)),0,1/VLOOKUP($R122,Capa!$A:$Z,AW$5,0))))</f>
        <v/>
      </c>
      <c r="AX123" s="124" t="str">
        <f>IF(AX$6="","",IF(AX$3="Maior",iferror(VLOOKUP($R122,Capa!$A:$Z,AX$5,0),0),IF(ISERROR(1/VLOOKUP($R122,Capa!$A:$Z,AX$5,0)),0,1/VLOOKUP($R122,Capa!$A:$Z,AX$5,0))))</f>
        <v/>
      </c>
      <c r="AY123" s="124" t="str">
        <f>IF(AY$6="","",IF(AY$3="Maior",iferror(VLOOKUP($R122,Capa!$A:$Z,AY$5,0),0),IF(ISERROR(1/VLOOKUP($R122,Capa!$A:$Z,AY$5,0)),0,1/VLOOKUP($R122,Capa!$A:$Z,AY$5,0))))</f>
        <v/>
      </c>
      <c r="AZ123" s="124" t="str">
        <f>IF(AZ$6="","",IF(AZ$3="Maior",iferror(VLOOKUP($R122,Capa!$A:$Z,AZ$5,0),0),IF(ISERROR(1/VLOOKUP($R122,Capa!$A:$Z,AZ$5,0)),0,1/VLOOKUP($R122,Capa!$A:$Z,AZ$5,0))))</f>
        <v/>
      </c>
      <c r="BA123" s="124" t="str">
        <f>IF(BA$6="","",IF(BA$3="Maior",iferror(VLOOKUP($R122,Capa!$A:$Z,BA$5,0),0),IF(ISERROR(1/VLOOKUP($R122,Capa!$A:$Z,BA$5,0)),0,1/VLOOKUP($R122,Capa!$A:$Z,BA$5,0))))</f>
        <v/>
      </c>
      <c r="BB123" s="124" t="str">
        <f>IF(BB$6="","",IF(BB$3="Maior",iferror(VLOOKUP($R122,Capa!$A:$Z,BB$5,0),0),IF(ISERROR(1/VLOOKUP($R122,Capa!$A:$Z,BB$5,0)),0,1/VLOOKUP($R122,Capa!$A:$Z,BB$5,0))))</f>
        <v/>
      </c>
      <c r="BC123" s="124" t="str">
        <f>IF(BC$6="","",IF(BC$3="Maior",iferror(VLOOKUP($R122,Capa!$A:$Z,BC$5,0),0),IF(ISERROR(1/VLOOKUP($R122,Capa!$A:$Z,BC$5,0)),0,1/VLOOKUP($R122,Capa!$A:$Z,BC$5,0))))</f>
        <v/>
      </c>
      <c r="BD123" s="124" t="str">
        <f>IF(BD$6="","",IF(BD$3="Maior",iferror(VLOOKUP($R122,Capa!$A:$Z,BD$5,0),0),IF(ISERROR(1/VLOOKUP($R122,Capa!$A:$Z,BD$5,0)),0,1/VLOOKUP($R122,Capa!$A:$Z,BD$5,0))))</f>
        <v/>
      </c>
      <c r="BE123" s="124" t="str">
        <f>IF(BE$6="","",IF(BE$3="Maior",iferror(VLOOKUP($R122,Capa!$A:$Z,BE$5,0),0),IF(ISERROR(1/VLOOKUP($R122,Capa!$A:$Z,BE$5,0)),0,1/VLOOKUP($R122,Capa!$A:$Z,BE$5,0))))</f>
        <v/>
      </c>
      <c r="BF123" s="124" t="str">
        <f>IF(BF$6="","",IF(BF$3="Maior",iferror(VLOOKUP($R122,Capa!$A:$Z,BF$5,0),0),IF(ISERROR(1/VLOOKUP($R122,Capa!$A:$Z,BF$5,0)),0,1/VLOOKUP($R122,Capa!$A:$Z,BF$5,0))))</f>
        <v/>
      </c>
      <c r="BG123" s="124" t="str">
        <f>IF(BG$6="","",IF(BG$3="Maior",iferror(VLOOKUP($R122,Capa!$A:$Z,BG$5,0),0),IF(ISERROR(1/VLOOKUP($R122,Capa!$A:$Z,BG$5,0)),0,1/VLOOKUP($R122,Capa!$A:$Z,BG$5,0))))</f>
        <v/>
      </c>
      <c r="BH123" s="124" t="str">
        <f>IF(BH$6="","",IF(BH$3="Maior",iferror(VLOOKUP($R122,Capa!$A:$Z,BH$5,0),0),IF(ISERROR(1/VLOOKUP($R122,Capa!$A:$Z,BH$5,0)),0,1/VLOOKUP($R122,Capa!$A:$Z,BH$5,0))))</f>
        <v/>
      </c>
      <c r="BI123" s="124" t="str">
        <f>IF(BI$6="","",IF(BI$3="Maior",iferror(VLOOKUP($R122,Capa!$A:$Z,BI$5,0),0),IF(ISERROR(1/VLOOKUP($R122,Capa!$A:$Z,BI$5,0)),0,1/VLOOKUP($R122,Capa!$A:$Z,BI$5,0))))</f>
        <v/>
      </c>
      <c r="BJ123" s="124" t="str">
        <f>IF(BJ$6="","",IF(BJ$3="Maior",iferror(VLOOKUP($R122,Capa!$A:$Z,BJ$5,0),0),IF(ISERROR(1/VLOOKUP($R122,Capa!$A:$Z,BJ$5,0)),0,1/VLOOKUP($R122,Capa!$A:$Z,BJ$5,0))))</f>
        <v/>
      </c>
      <c r="BK123" s="124" t="str">
        <f>IF(BK$6="","",IF(BK$3="Maior",iferror(VLOOKUP($R122,Capa!$A:$Z,BK$5,0),0),IF(ISERROR(1/VLOOKUP($R122,Capa!$A:$Z,BK$5,0)),0,1/VLOOKUP($R122,Capa!$A:$Z,BK$5,0))))</f>
        <v/>
      </c>
      <c r="BL123" s="124" t="str">
        <f>IF(BL$6="","",IF(BL$3="Maior",iferror(VLOOKUP($R122,Capa!$A:$Z,BL$5,0),0),IF(ISERROR(1/VLOOKUP($R122,Capa!$A:$Z,BL$5,0)),0,1/VLOOKUP($R122,Capa!$A:$Z,BL$5,0))))</f>
        <v/>
      </c>
      <c r="BM123" s="124" t="str">
        <f>IF(BM$6="","",IF(BM$3="Maior",iferror(VLOOKUP($R122,Capa!$A:$Z,BM$5,0),0),IF(ISERROR(1/VLOOKUP($R122,Capa!$A:$Z,BM$5,0)),0,1/VLOOKUP($R122,Capa!$A:$Z,BM$5,0))))</f>
        <v/>
      </c>
      <c r="BN123" s="124" t="str">
        <f>IF(BN$6="","",IF(BN$3="Maior",iferror(VLOOKUP($R122,Capa!$A:$Z,BN$5,0),0),IF(ISERROR(1/VLOOKUP($R122,Capa!$A:$Z,BN$5,0)),0,1/VLOOKUP($R122,Capa!$A:$Z,BN$5,0))))</f>
        <v/>
      </c>
      <c r="BO123" s="124" t="str">
        <f>IF(BO$6="","",IF(BO$3="Maior",iferror(VLOOKUP($R122,Capa!$A:$Z,BO$5,0),0),IF(ISERROR(1/VLOOKUP($R122,Capa!$A:$Z,BO$5,0)),0,1/VLOOKUP($R122,Capa!$A:$Z,BO$5,0))))</f>
        <v/>
      </c>
      <c r="BP123" s="124" t="str">
        <f>IF(BP$6="","",IF(BP$3="Maior",iferror(VLOOKUP($R122,Capa!$A:$Z,BP$5,0),0),IF(ISERROR(1/VLOOKUP($R122,Capa!$A:$Z,BP$5,0)),0,1/VLOOKUP($R122,Capa!$A:$Z,BP$5,0))))</f>
        <v/>
      </c>
      <c r="BQ123" s="124" t="str">
        <f>IF(BQ$6="","",IF(BQ$3="Maior",iferror(VLOOKUP($R122,Capa!$A:$Z,BQ$5,0),0),IF(ISERROR(1/VLOOKUP($R122,Capa!$A:$Z,BQ$5,0)),0,1/VLOOKUP($R122,Capa!$A:$Z,BQ$5,0))))</f>
        <v/>
      </c>
      <c r="BR123" s="125" t="str">
        <f>IF(BR$6="","",IF(BR$3="Maior",iferror(VLOOKUP($R122,Capa!$A:$Z,BR$5,0),0),IF(ISERROR(1/VLOOKUP($R122,Capa!$A:$Z,BR$5,0)),0,1/VLOOKUP($R122,Capa!$A:$Z,BR$5,0))))</f>
        <v/>
      </c>
      <c r="BS123" s="88"/>
    </row>
    <row r="124">
      <c r="G124" s="9"/>
      <c r="H124" s="7">
        <v>118.0</v>
      </c>
      <c r="I124" s="111" t="str">
        <f t="shared" si="7"/>
        <v>JPPC11</v>
      </c>
      <c r="J124" s="112" t="str">
        <f>VLOOKUP(I124,Capa!A:G,7,0)</f>
        <v>Incorporação</v>
      </c>
      <c r="K124" s="113">
        <f t="shared" si="8"/>
        <v>0.35568</v>
      </c>
      <c r="L124" s="113">
        <f t="shared" si="9"/>
        <v>0.0545376</v>
      </c>
      <c r="M124" s="113" t="str">
        <f t="shared" si="10"/>
        <v/>
      </c>
      <c r="N124" s="113" t="str">
        <f t="shared" si="11"/>
        <v/>
      </c>
      <c r="O124" s="114">
        <f t="shared" si="12"/>
        <v>2693.01</v>
      </c>
      <c r="P124" s="9"/>
      <c r="Q124" s="9"/>
      <c r="R124" s="127" t="s">
        <v>149</v>
      </c>
      <c r="S124" s="116">
        <f t="shared" si="13"/>
        <v>196.00673</v>
      </c>
      <c r="T124" s="117">
        <f>MID(VLOOKUP($R124,'Dados ClubeFII'!$A:$AU,23,0),3,100)/1</f>
        <v>2271334.66</v>
      </c>
      <c r="U124" s="118">
        <f t="shared" si="14"/>
        <v>66.0066</v>
      </c>
      <c r="V124" s="118">
        <f t="shared" si="15"/>
        <v>130.00013</v>
      </c>
      <c r="W124" s="118" t="str">
        <f t="shared" ref="W124:AS124" si="133">IF(AV124="","", RANK(AV124,AV$7:AV$405,0))</f>
        <v/>
      </c>
      <c r="X124" s="118" t="str">
        <f t="shared" si="133"/>
        <v/>
      </c>
      <c r="Y124" s="118" t="str">
        <f t="shared" si="133"/>
        <v/>
      </c>
      <c r="Z124" s="118" t="str">
        <f t="shared" si="133"/>
        <v/>
      </c>
      <c r="AA124" s="118" t="str">
        <f t="shared" si="133"/>
        <v/>
      </c>
      <c r="AB124" s="118" t="str">
        <f t="shared" si="133"/>
        <v/>
      </c>
      <c r="AC124" s="118" t="str">
        <f t="shared" si="133"/>
        <v/>
      </c>
      <c r="AD124" s="118" t="str">
        <f t="shared" si="133"/>
        <v/>
      </c>
      <c r="AE124" s="118" t="str">
        <f t="shared" si="133"/>
        <v/>
      </c>
      <c r="AF124" s="118" t="str">
        <f t="shared" si="133"/>
        <v/>
      </c>
      <c r="AG124" s="118" t="str">
        <f t="shared" si="133"/>
        <v/>
      </c>
      <c r="AH124" s="118" t="str">
        <f t="shared" si="133"/>
        <v/>
      </c>
      <c r="AI124" s="118" t="str">
        <f t="shared" si="133"/>
        <v/>
      </c>
      <c r="AJ124" s="118" t="str">
        <f t="shared" si="133"/>
        <v/>
      </c>
      <c r="AK124" s="118" t="str">
        <f t="shared" si="133"/>
        <v/>
      </c>
      <c r="AL124" s="118" t="str">
        <f t="shared" si="133"/>
        <v/>
      </c>
      <c r="AM124" s="118" t="str">
        <f t="shared" si="133"/>
        <v/>
      </c>
      <c r="AN124" s="118" t="str">
        <f t="shared" si="133"/>
        <v/>
      </c>
      <c r="AO124" s="118" t="str">
        <f t="shared" si="133"/>
        <v/>
      </c>
      <c r="AP124" s="118" t="str">
        <f t="shared" si="133"/>
        <v/>
      </c>
      <c r="AQ124" s="118" t="str">
        <f t="shared" si="133"/>
        <v/>
      </c>
      <c r="AR124" s="118" t="str">
        <f t="shared" si="133"/>
        <v/>
      </c>
      <c r="AS124" s="118" t="str">
        <f t="shared" si="133"/>
        <v/>
      </c>
      <c r="AT124" s="123">
        <f>IF(AT$6="","",IF(AT$3="Maior",iferror(VLOOKUP($R124,Capa!$A:$Z,AT$5,0),0),IF(ISERROR(1/VLOOKUP($R124,Capa!$A:$Z,AT$5,0)),0,1/VLOOKUP($R124,Capa!$A:$Z,AT$5,0))))</f>
        <v>1.312105975</v>
      </c>
      <c r="AU124" s="124">
        <f>IF(AU$6="","",IF(AU$3="Maior",iferror(VLOOKUP($R124,Capa!$A:$Z,AU$5,0),0),IF(ISERROR(1/VLOOKUP($R124,Capa!$A:$Z,AU$5,0)),0,1/VLOOKUP($R124,Capa!$A:$Z,AU$5,0))))</f>
        <v>0.09261369863</v>
      </c>
      <c r="AV124" s="124" t="str">
        <f>IF(AV$6="","",IF(AV$3="Maior",iferror(VLOOKUP($R123,Capa!$A:$Z,AV$5,0),0),IF(ISERROR(1/VLOOKUP($R123,Capa!$A:$Z,AV$5,0)),0,1/VLOOKUP($R123,Capa!$A:$Z,AV$5,0))))</f>
        <v/>
      </c>
      <c r="AW124" s="124" t="str">
        <f>IF(AW$6="","",IF(AW$3="Maior",iferror(VLOOKUP($R123,Capa!$A:$Z,AW$5,0),0),IF(ISERROR(1/VLOOKUP($R123,Capa!$A:$Z,AW$5,0)),0,1/VLOOKUP($R123,Capa!$A:$Z,AW$5,0))))</f>
        <v/>
      </c>
      <c r="AX124" s="124" t="str">
        <f>IF(AX$6="","",IF(AX$3="Maior",iferror(VLOOKUP($R123,Capa!$A:$Z,AX$5,0),0),IF(ISERROR(1/VLOOKUP($R123,Capa!$A:$Z,AX$5,0)),0,1/VLOOKUP($R123,Capa!$A:$Z,AX$5,0))))</f>
        <v/>
      </c>
      <c r="AY124" s="124" t="str">
        <f>IF(AY$6="","",IF(AY$3="Maior",iferror(VLOOKUP($R123,Capa!$A:$Z,AY$5,0),0),IF(ISERROR(1/VLOOKUP($R123,Capa!$A:$Z,AY$5,0)),0,1/VLOOKUP($R123,Capa!$A:$Z,AY$5,0))))</f>
        <v/>
      </c>
      <c r="AZ124" s="124" t="str">
        <f>IF(AZ$6="","",IF(AZ$3="Maior",iferror(VLOOKUP($R123,Capa!$A:$Z,AZ$5,0),0),IF(ISERROR(1/VLOOKUP($R123,Capa!$A:$Z,AZ$5,0)),0,1/VLOOKUP($R123,Capa!$A:$Z,AZ$5,0))))</f>
        <v/>
      </c>
      <c r="BA124" s="124" t="str">
        <f>IF(BA$6="","",IF(BA$3="Maior",iferror(VLOOKUP($R123,Capa!$A:$Z,BA$5,0),0),IF(ISERROR(1/VLOOKUP($R123,Capa!$A:$Z,BA$5,0)),0,1/VLOOKUP($R123,Capa!$A:$Z,BA$5,0))))</f>
        <v/>
      </c>
      <c r="BB124" s="124" t="str">
        <f>IF(BB$6="","",IF(BB$3="Maior",iferror(VLOOKUP($R123,Capa!$A:$Z,BB$5,0),0),IF(ISERROR(1/VLOOKUP($R123,Capa!$A:$Z,BB$5,0)),0,1/VLOOKUP($R123,Capa!$A:$Z,BB$5,0))))</f>
        <v/>
      </c>
      <c r="BC124" s="124" t="str">
        <f>IF(BC$6="","",IF(BC$3="Maior",iferror(VLOOKUP($R123,Capa!$A:$Z,BC$5,0),0),IF(ISERROR(1/VLOOKUP($R123,Capa!$A:$Z,BC$5,0)),0,1/VLOOKUP($R123,Capa!$A:$Z,BC$5,0))))</f>
        <v/>
      </c>
      <c r="BD124" s="124" t="str">
        <f>IF(BD$6="","",IF(BD$3="Maior",iferror(VLOOKUP($R123,Capa!$A:$Z,BD$5,0),0),IF(ISERROR(1/VLOOKUP($R123,Capa!$A:$Z,BD$5,0)),0,1/VLOOKUP($R123,Capa!$A:$Z,BD$5,0))))</f>
        <v/>
      </c>
      <c r="BE124" s="124" t="str">
        <f>IF(BE$6="","",IF(BE$3="Maior",iferror(VLOOKUP($R123,Capa!$A:$Z,BE$5,0),0),IF(ISERROR(1/VLOOKUP($R123,Capa!$A:$Z,BE$5,0)),0,1/VLOOKUP($R123,Capa!$A:$Z,BE$5,0))))</f>
        <v/>
      </c>
      <c r="BF124" s="124" t="str">
        <f>IF(BF$6="","",IF(BF$3="Maior",iferror(VLOOKUP($R123,Capa!$A:$Z,BF$5,0),0),IF(ISERROR(1/VLOOKUP($R123,Capa!$A:$Z,BF$5,0)),0,1/VLOOKUP($R123,Capa!$A:$Z,BF$5,0))))</f>
        <v/>
      </c>
      <c r="BG124" s="124" t="str">
        <f>IF(BG$6="","",IF(BG$3="Maior",iferror(VLOOKUP($R123,Capa!$A:$Z,BG$5,0),0),IF(ISERROR(1/VLOOKUP($R123,Capa!$A:$Z,BG$5,0)),0,1/VLOOKUP($R123,Capa!$A:$Z,BG$5,0))))</f>
        <v/>
      </c>
      <c r="BH124" s="124" t="str">
        <f>IF(BH$6="","",IF(BH$3="Maior",iferror(VLOOKUP($R123,Capa!$A:$Z,BH$5,0),0),IF(ISERROR(1/VLOOKUP($R123,Capa!$A:$Z,BH$5,0)),0,1/VLOOKUP($R123,Capa!$A:$Z,BH$5,0))))</f>
        <v/>
      </c>
      <c r="BI124" s="124" t="str">
        <f>IF(BI$6="","",IF(BI$3="Maior",iferror(VLOOKUP($R123,Capa!$A:$Z,BI$5,0),0),IF(ISERROR(1/VLOOKUP($R123,Capa!$A:$Z,BI$5,0)),0,1/VLOOKUP($R123,Capa!$A:$Z,BI$5,0))))</f>
        <v/>
      </c>
      <c r="BJ124" s="124" t="str">
        <f>IF(BJ$6="","",IF(BJ$3="Maior",iferror(VLOOKUP($R123,Capa!$A:$Z,BJ$5,0),0),IF(ISERROR(1/VLOOKUP($R123,Capa!$A:$Z,BJ$5,0)),0,1/VLOOKUP($R123,Capa!$A:$Z,BJ$5,0))))</f>
        <v/>
      </c>
      <c r="BK124" s="124" t="str">
        <f>IF(BK$6="","",IF(BK$3="Maior",iferror(VLOOKUP($R123,Capa!$A:$Z,BK$5,0),0),IF(ISERROR(1/VLOOKUP($R123,Capa!$A:$Z,BK$5,0)),0,1/VLOOKUP($R123,Capa!$A:$Z,BK$5,0))))</f>
        <v/>
      </c>
      <c r="BL124" s="124" t="str">
        <f>IF(BL$6="","",IF(BL$3="Maior",iferror(VLOOKUP($R123,Capa!$A:$Z,BL$5,0),0),IF(ISERROR(1/VLOOKUP($R123,Capa!$A:$Z,BL$5,0)),0,1/VLOOKUP($R123,Capa!$A:$Z,BL$5,0))))</f>
        <v/>
      </c>
      <c r="BM124" s="124" t="str">
        <f>IF(BM$6="","",IF(BM$3="Maior",iferror(VLOOKUP($R123,Capa!$A:$Z,BM$5,0),0),IF(ISERROR(1/VLOOKUP($R123,Capa!$A:$Z,BM$5,0)),0,1/VLOOKUP($R123,Capa!$A:$Z,BM$5,0))))</f>
        <v/>
      </c>
      <c r="BN124" s="124" t="str">
        <f>IF(BN$6="","",IF(BN$3="Maior",iferror(VLOOKUP($R123,Capa!$A:$Z,BN$5,0),0),IF(ISERROR(1/VLOOKUP($R123,Capa!$A:$Z,BN$5,0)),0,1/VLOOKUP($R123,Capa!$A:$Z,BN$5,0))))</f>
        <v/>
      </c>
      <c r="BO124" s="124" t="str">
        <f>IF(BO$6="","",IF(BO$3="Maior",iferror(VLOOKUP($R123,Capa!$A:$Z,BO$5,0),0),IF(ISERROR(1/VLOOKUP($R123,Capa!$A:$Z,BO$5,0)),0,1/VLOOKUP($R123,Capa!$A:$Z,BO$5,0))))</f>
        <v/>
      </c>
      <c r="BP124" s="124" t="str">
        <f>IF(BP$6="","",IF(BP$3="Maior",iferror(VLOOKUP($R123,Capa!$A:$Z,BP$5,0),0),IF(ISERROR(1/VLOOKUP($R123,Capa!$A:$Z,BP$5,0)),0,1/VLOOKUP($R123,Capa!$A:$Z,BP$5,0))))</f>
        <v/>
      </c>
      <c r="BQ124" s="124" t="str">
        <f>IF(BQ$6="","",IF(BQ$3="Maior",iferror(VLOOKUP($R123,Capa!$A:$Z,BQ$5,0),0),IF(ISERROR(1/VLOOKUP($R123,Capa!$A:$Z,BQ$5,0)),0,1/VLOOKUP($R123,Capa!$A:$Z,BQ$5,0))))</f>
        <v/>
      </c>
      <c r="BR124" s="125" t="str">
        <f>IF(BR$6="","",IF(BR$3="Maior",iferror(VLOOKUP($R123,Capa!$A:$Z,BR$5,0),0),IF(ISERROR(1/VLOOKUP($R123,Capa!$A:$Z,BR$5,0)),0,1/VLOOKUP($R123,Capa!$A:$Z,BR$5,0))))</f>
        <v/>
      </c>
      <c r="BS124" s="88"/>
    </row>
    <row r="125">
      <c r="G125" s="9"/>
      <c r="H125" s="7">
        <v>119.0</v>
      </c>
      <c r="I125" s="129" t="str">
        <f t="shared" si="7"/>
        <v>ABCP11</v>
      </c>
      <c r="J125" s="112" t="str">
        <f>VLOOKUP(I125,Capa!A:G,7,0)</f>
        <v>Shopping/Varejo</v>
      </c>
      <c r="K125" s="113">
        <f t="shared" si="8"/>
        <v>0.7218068536</v>
      </c>
      <c r="L125" s="113">
        <f t="shared" si="9"/>
        <v>0.09610342679</v>
      </c>
      <c r="M125" s="113" t="str">
        <f t="shared" si="10"/>
        <v/>
      </c>
      <c r="N125" s="113" t="str">
        <f t="shared" si="11"/>
        <v/>
      </c>
      <c r="O125" s="114">
        <f t="shared" si="12"/>
        <v>80710.6</v>
      </c>
      <c r="P125" s="9"/>
      <c r="Q125" s="9"/>
      <c r="R125" s="127" t="s">
        <v>140</v>
      </c>
      <c r="S125" s="116">
        <f t="shared" si="13"/>
        <v>1181.002458</v>
      </c>
      <c r="T125" s="117">
        <f>MID(VLOOKUP($R125,'Dados ClubeFII'!$A:$AU,23,0),3,100)/1</f>
        <v>458063.05</v>
      </c>
      <c r="U125" s="118">
        <f t="shared" si="14"/>
        <v>23.0023</v>
      </c>
      <c r="V125" s="118">
        <f t="shared" si="15"/>
        <v>158.000158</v>
      </c>
      <c r="W125" s="118" t="str">
        <f t="shared" ref="W125:AS125" si="134">IF(AV125="","", RANK(AV125,AV$7:AV$405,0))</f>
        <v/>
      </c>
      <c r="X125" s="118" t="str">
        <f t="shared" si="134"/>
        <v/>
      </c>
      <c r="Y125" s="118" t="str">
        <f t="shared" si="134"/>
        <v/>
      </c>
      <c r="Z125" s="118" t="str">
        <f t="shared" si="134"/>
        <v/>
      </c>
      <c r="AA125" s="118" t="str">
        <f t="shared" si="134"/>
        <v/>
      </c>
      <c r="AB125" s="118" t="str">
        <f t="shared" si="134"/>
        <v/>
      </c>
      <c r="AC125" s="118" t="str">
        <f t="shared" si="134"/>
        <v/>
      </c>
      <c r="AD125" s="118" t="str">
        <f t="shared" si="134"/>
        <v/>
      </c>
      <c r="AE125" s="118" t="str">
        <f t="shared" si="134"/>
        <v/>
      </c>
      <c r="AF125" s="118" t="str">
        <f t="shared" si="134"/>
        <v/>
      </c>
      <c r="AG125" s="118" t="str">
        <f t="shared" si="134"/>
        <v/>
      </c>
      <c r="AH125" s="118" t="str">
        <f t="shared" si="134"/>
        <v/>
      </c>
      <c r="AI125" s="118" t="str">
        <f t="shared" si="134"/>
        <v/>
      </c>
      <c r="AJ125" s="118" t="str">
        <f t="shared" si="134"/>
        <v/>
      </c>
      <c r="AK125" s="118" t="str">
        <f t="shared" si="134"/>
        <v/>
      </c>
      <c r="AL125" s="118" t="str">
        <f t="shared" si="134"/>
        <v/>
      </c>
      <c r="AM125" s="118" t="str">
        <f t="shared" si="134"/>
        <v/>
      </c>
      <c r="AN125" s="118" t="str">
        <f t="shared" si="134"/>
        <v/>
      </c>
      <c r="AO125" s="118" t="str">
        <f t="shared" si="134"/>
        <v/>
      </c>
      <c r="AP125" s="118" t="str">
        <f t="shared" si="134"/>
        <v/>
      </c>
      <c r="AQ125" s="118" t="str">
        <f t="shared" si="134"/>
        <v/>
      </c>
      <c r="AR125" s="118" t="str">
        <f t="shared" si="134"/>
        <v/>
      </c>
      <c r="AS125" s="118" t="str">
        <f t="shared" si="134"/>
        <v/>
      </c>
      <c r="AT125" s="123">
        <f>IF(AT$6="","",IF(AT$3="Maior",iferror(VLOOKUP($R125,Capa!$A:$Z,AT$5,0),0),IF(ISERROR(1/VLOOKUP($R125,Capa!$A:$Z,AT$5,0)),0,1/VLOOKUP($R125,Capa!$A:$Z,AT$5,0))))</f>
        <v>1.818502259</v>
      </c>
      <c r="AU125" s="124">
        <f>IF(AU$6="","",IF(AU$3="Maior",iferror(VLOOKUP($R125,Capa!$A:$Z,AU$5,0),0),IF(ISERROR(1/VLOOKUP($R125,Capa!$A:$Z,AU$5,0)),0,1/VLOOKUP($R125,Capa!$A:$Z,AU$5,0))))</f>
        <v>0.07208729515</v>
      </c>
      <c r="AV125" s="124" t="str">
        <f>IF(AV$6="","",IF(AV$3="Maior",iferror(VLOOKUP($R124,Capa!$A:$Z,AV$5,0),0),IF(ISERROR(1/VLOOKUP($R124,Capa!$A:$Z,AV$5,0)),0,1/VLOOKUP($R124,Capa!$A:$Z,AV$5,0))))</f>
        <v/>
      </c>
      <c r="AW125" s="124" t="str">
        <f>IF(AW$6="","",IF(AW$3="Maior",iferror(VLOOKUP($R124,Capa!$A:$Z,AW$5,0),0),IF(ISERROR(1/VLOOKUP($R124,Capa!$A:$Z,AW$5,0)),0,1/VLOOKUP($R124,Capa!$A:$Z,AW$5,0))))</f>
        <v/>
      </c>
      <c r="AX125" s="124" t="str">
        <f>IF(AX$6="","",IF(AX$3="Maior",iferror(VLOOKUP($R124,Capa!$A:$Z,AX$5,0),0),IF(ISERROR(1/VLOOKUP($R124,Capa!$A:$Z,AX$5,0)),0,1/VLOOKUP($R124,Capa!$A:$Z,AX$5,0))))</f>
        <v/>
      </c>
      <c r="AY125" s="124" t="str">
        <f>IF(AY$6="","",IF(AY$3="Maior",iferror(VLOOKUP($R124,Capa!$A:$Z,AY$5,0),0),IF(ISERROR(1/VLOOKUP($R124,Capa!$A:$Z,AY$5,0)),0,1/VLOOKUP($R124,Capa!$A:$Z,AY$5,0))))</f>
        <v/>
      </c>
      <c r="AZ125" s="124" t="str">
        <f>IF(AZ$6="","",IF(AZ$3="Maior",iferror(VLOOKUP($R124,Capa!$A:$Z,AZ$5,0),0),IF(ISERROR(1/VLOOKUP($R124,Capa!$A:$Z,AZ$5,0)),0,1/VLOOKUP($R124,Capa!$A:$Z,AZ$5,0))))</f>
        <v/>
      </c>
      <c r="BA125" s="124" t="str">
        <f>IF(BA$6="","",IF(BA$3="Maior",iferror(VLOOKUP($R124,Capa!$A:$Z,BA$5,0),0),IF(ISERROR(1/VLOOKUP($R124,Capa!$A:$Z,BA$5,0)),0,1/VLOOKUP($R124,Capa!$A:$Z,BA$5,0))))</f>
        <v/>
      </c>
      <c r="BB125" s="124" t="str">
        <f>IF(BB$6="","",IF(BB$3="Maior",iferror(VLOOKUP($R124,Capa!$A:$Z,BB$5,0),0),IF(ISERROR(1/VLOOKUP($R124,Capa!$A:$Z,BB$5,0)),0,1/VLOOKUP($R124,Capa!$A:$Z,BB$5,0))))</f>
        <v/>
      </c>
      <c r="BC125" s="124" t="str">
        <f>IF(BC$6="","",IF(BC$3="Maior",iferror(VLOOKUP($R124,Capa!$A:$Z,BC$5,0),0),IF(ISERROR(1/VLOOKUP($R124,Capa!$A:$Z,BC$5,0)),0,1/VLOOKUP($R124,Capa!$A:$Z,BC$5,0))))</f>
        <v/>
      </c>
      <c r="BD125" s="124" t="str">
        <f>IF(BD$6="","",IF(BD$3="Maior",iferror(VLOOKUP($R124,Capa!$A:$Z,BD$5,0),0),IF(ISERROR(1/VLOOKUP($R124,Capa!$A:$Z,BD$5,0)),0,1/VLOOKUP($R124,Capa!$A:$Z,BD$5,0))))</f>
        <v/>
      </c>
      <c r="BE125" s="124" t="str">
        <f>IF(BE$6="","",IF(BE$3="Maior",iferror(VLOOKUP($R124,Capa!$A:$Z,BE$5,0),0),IF(ISERROR(1/VLOOKUP($R124,Capa!$A:$Z,BE$5,0)),0,1/VLOOKUP($R124,Capa!$A:$Z,BE$5,0))))</f>
        <v/>
      </c>
      <c r="BF125" s="124" t="str">
        <f>IF(BF$6="","",IF(BF$3="Maior",iferror(VLOOKUP($R124,Capa!$A:$Z,BF$5,0),0),IF(ISERROR(1/VLOOKUP($R124,Capa!$A:$Z,BF$5,0)),0,1/VLOOKUP($R124,Capa!$A:$Z,BF$5,0))))</f>
        <v/>
      </c>
      <c r="BG125" s="124" t="str">
        <f>IF(BG$6="","",IF(BG$3="Maior",iferror(VLOOKUP($R124,Capa!$A:$Z,BG$5,0),0),IF(ISERROR(1/VLOOKUP($R124,Capa!$A:$Z,BG$5,0)),0,1/VLOOKUP($R124,Capa!$A:$Z,BG$5,0))))</f>
        <v/>
      </c>
      <c r="BH125" s="124" t="str">
        <f>IF(BH$6="","",IF(BH$3="Maior",iferror(VLOOKUP($R124,Capa!$A:$Z,BH$5,0),0),IF(ISERROR(1/VLOOKUP($R124,Capa!$A:$Z,BH$5,0)),0,1/VLOOKUP($R124,Capa!$A:$Z,BH$5,0))))</f>
        <v/>
      </c>
      <c r="BI125" s="124" t="str">
        <f>IF(BI$6="","",IF(BI$3="Maior",iferror(VLOOKUP($R124,Capa!$A:$Z,BI$5,0),0),IF(ISERROR(1/VLOOKUP($R124,Capa!$A:$Z,BI$5,0)),0,1/VLOOKUP($R124,Capa!$A:$Z,BI$5,0))))</f>
        <v/>
      </c>
      <c r="BJ125" s="124" t="str">
        <f>IF(BJ$6="","",IF(BJ$3="Maior",iferror(VLOOKUP($R124,Capa!$A:$Z,BJ$5,0),0),IF(ISERROR(1/VLOOKUP($R124,Capa!$A:$Z,BJ$5,0)),0,1/VLOOKUP($R124,Capa!$A:$Z,BJ$5,0))))</f>
        <v/>
      </c>
      <c r="BK125" s="124" t="str">
        <f>IF(BK$6="","",IF(BK$3="Maior",iferror(VLOOKUP($R124,Capa!$A:$Z,BK$5,0),0),IF(ISERROR(1/VLOOKUP($R124,Capa!$A:$Z,BK$5,0)),0,1/VLOOKUP($R124,Capa!$A:$Z,BK$5,0))))</f>
        <v/>
      </c>
      <c r="BL125" s="124" t="str">
        <f>IF(BL$6="","",IF(BL$3="Maior",iferror(VLOOKUP($R124,Capa!$A:$Z,BL$5,0),0),IF(ISERROR(1/VLOOKUP($R124,Capa!$A:$Z,BL$5,0)),0,1/VLOOKUP($R124,Capa!$A:$Z,BL$5,0))))</f>
        <v/>
      </c>
      <c r="BM125" s="124" t="str">
        <f>IF(BM$6="","",IF(BM$3="Maior",iferror(VLOOKUP($R124,Capa!$A:$Z,BM$5,0),0),IF(ISERROR(1/VLOOKUP($R124,Capa!$A:$Z,BM$5,0)),0,1/VLOOKUP($R124,Capa!$A:$Z,BM$5,0))))</f>
        <v/>
      </c>
      <c r="BN125" s="124" t="str">
        <f>IF(BN$6="","",IF(BN$3="Maior",iferror(VLOOKUP($R124,Capa!$A:$Z,BN$5,0),0),IF(ISERROR(1/VLOOKUP($R124,Capa!$A:$Z,BN$5,0)),0,1/VLOOKUP($R124,Capa!$A:$Z,BN$5,0))))</f>
        <v/>
      </c>
      <c r="BO125" s="124" t="str">
        <f>IF(BO$6="","",IF(BO$3="Maior",iferror(VLOOKUP($R124,Capa!$A:$Z,BO$5,0),0),IF(ISERROR(1/VLOOKUP($R124,Capa!$A:$Z,BO$5,0)),0,1/VLOOKUP($R124,Capa!$A:$Z,BO$5,0))))</f>
        <v/>
      </c>
      <c r="BP125" s="124" t="str">
        <f>IF(BP$6="","",IF(BP$3="Maior",iferror(VLOOKUP($R124,Capa!$A:$Z,BP$5,0),0),IF(ISERROR(1/VLOOKUP($R124,Capa!$A:$Z,BP$5,0)),0,1/VLOOKUP($R124,Capa!$A:$Z,BP$5,0))))</f>
        <v/>
      </c>
      <c r="BQ125" s="124" t="str">
        <f>IF(BQ$6="","",IF(BQ$3="Maior",iferror(VLOOKUP($R124,Capa!$A:$Z,BQ$5,0),0),IF(ISERROR(1/VLOOKUP($R124,Capa!$A:$Z,BQ$5,0)),0,1/VLOOKUP($R124,Capa!$A:$Z,BQ$5,0))))</f>
        <v/>
      </c>
      <c r="BR125" s="125" t="str">
        <f>IF(BR$6="","",IF(BR$3="Maior",iferror(VLOOKUP($R124,Capa!$A:$Z,BR$5,0),0),IF(ISERROR(1/VLOOKUP($R124,Capa!$A:$Z,BR$5,0)),0,1/VLOOKUP($R124,Capa!$A:$Z,BR$5,0))))</f>
        <v/>
      </c>
      <c r="BS125" s="88"/>
    </row>
    <row r="126">
      <c r="G126" s="9"/>
      <c r="H126" s="7">
        <v>120.0</v>
      </c>
      <c r="I126" s="111" t="str">
        <f t="shared" si="7"/>
        <v>RBVA11</v>
      </c>
      <c r="J126" s="112" t="str">
        <f>VLOOKUP(I126,Capa!A:G,7,0)</f>
        <v>Híbrido</v>
      </c>
      <c r="K126" s="113">
        <f t="shared" si="8"/>
        <v>0.8647014682</v>
      </c>
      <c r="L126" s="113">
        <f t="shared" si="9"/>
        <v>0.1294070473</v>
      </c>
      <c r="M126" s="113" t="str">
        <f t="shared" si="10"/>
        <v/>
      </c>
      <c r="N126" s="113" t="str">
        <f t="shared" si="11"/>
        <v/>
      </c>
      <c r="O126" s="114">
        <f t="shared" si="12"/>
        <v>848917.32</v>
      </c>
      <c r="P126" s="9"/>
      <c r="Q126" s="9"/>
      <c r="R126" s="127" t="s">
        <v>62</v>
      </c>
      <c r="S126" s="116">
        <f t="shared" si="13"/>
        <v>1139.005782</v>
      </c>
      <c r="T126" s="117">
        <f>MID(VLOOKUP($R126,'Dados ClubeFII'!$A:$AU,23,0),3,100)/1</f>
        <v>299963.4</v>
      </c>
      <c r="U126" s="118">
        <f t="shared" si="14"/>
        <v>57.0057</v>
      </c>
      <c r="V126" s="118">
        <f t="shared" si="15"/>
        <v>82.000082</v>
      </c>
      <c r="W126" s="118" t="str">
        <f t="shared" ref="W126:AS126" si="135">IF(AV126="","", RANK(AV126,AV$7:AV$405,0))</f>
        <v/>
      </c>
      <c r="X126" s="118" t="str">
        <f t="shared" si="135"/>
        <v/>
      </c>
      <c r="Y126" s="118" t="str">
        <f t="shared" si="135"/>
        <v/>
      </c>
      <c r="Z126" s="118" t="str">
        <f t="shared" si="135"/>
        <v/>
      </c>
      <c r="AA126" s="118" t="str">
        <f t="shared" si="135"/>
        <v/>
      </c>
      <c r="AB126" s="118" t="str">
        <f t="shared" si="135"/>
        <v/>
      </c>
      <c r="AC126" s="118" t="str">
        <f t="shared" si="135"/>
        <v/>
      </c>
      <c r="AD126" s="118" t="str">
        <f t="shared" si="135"/>
        <v/>
      </c>
      <c r="AE126" s="118" t="str">
        <f t="shared" si="135"/>
        <v/>
      </c>
      <c r="AF126" s="118" t="str">
        <f t="shared" si="135"/>
        <v/>
      </c>
      <c r="AG126" s="118" t="str">
        <f t="shared" si="135"/>
        <v/>
      </c>
      <c r="AH126" s="118" t="str">
        <f t="shared" si="135"/>
        <v/>
      </c>
      <c r="AI126" s="118" t="str">
        <f t="shared" si="135"/>
        <v/>
      </c>
      <c r="AJ126" s="118" t="str">
        <f t="shared" si="135"/>
        <v/>
      </c>
      <c r="AK126" s="118" t="str">
        <f t="shared" si="135"/>
        <v/>
      </c>
      <c r="AL126" s="118" t="str">
        <f t="shared" si="135"/>
        <v/>
      </c>
      <c r="AM126" s="118" t="str">
        <f t="shared" si="135"/>
        <v/>
      </c>
      <c r="AN126" s="118" t="str">
        <f t="shared" si="135"/>
        <v/>
      </c>
      <c r="AO126" s="118" t="str">
        <f t="shared" si="135"/>
        <v/>
      </c>
      <c r="AP126" s="118" t="str">
        <f t="shared" si="135"/>
        <v/>
      </c>
      <c r="AQ126" s="118" t="str">
        <f t="shared" si="135"/>
        <v/>
      </c>
      <c r="AR126" s="118" t="str">
        <f t="shared" si="135"/>
        <v/>
      </c>
      <c r="AS126" s="118" t="str">
        <f t="shared" si="135"/>
        <v/>
      </c>
      <c r="AT126" s="123">
        <f>IF(AT$6="","",IF(AT$3="Maior",iferror(VLOOKUP($R126,Capa!$A:$Z,AT$5,0),0),IF(ISERROR(1/VLOOKUP($R126,Capa!$A:$Z,AT$5,0)),0,1/VLOOKUP($R126,Capa!$A:$Z,AT$5,0))))</f>
        <v>1.354292624</v>
      </c>
      <c r="AU126" s="124">
        <f>IF(AU$6="","",IF(AU$3="Maior",iferror(VLOOKUP($R126,Capa!$A:$Z,AU$5,0),0),IF(ISERROR(1/VLOOKUP($R126,Capa!$A:$Z,AU$5,0)),0,1/VLOOKUP($R126,Capa!$A:$Z,AU$5,0))))</f>
        <v>0.1167458977</v>
      </c>
      <c r="AV126" s="124" t="str">
        <f>IF(AV$6="","",IF(AV$3="Maior",iferror(VLOOKUP($R125,Capa!$A:$Z,AV$5,0),0),IF(ISERROR(1/VLOOKUP($R125,Capa!$A:$Z,AV$5,0)),0,1/VLOOKUP($R125,Capa!$A:$Z,AV$5,0))))</f>
        <v/>
      </c>
      <c r="AW126" s="124" t="str">
        <f>IF(AW$6="","",IF(AW$3="Maior",iferror(VLOOKUP($R125,Capa!$A:$Z,AW$5,0),0),IF(ISERROR(1/VLOOKUP($R125,Capa!$A:$Z,AW$5,0)),0,1/VLOOKUP($R125,Capa!$A:$Z,AW$5,0))))</f>
        <v/>
      </c>
      <c r="AX126" s="124" t="str">
        <f>IF(AX$6="","",IF(AX$3="Maior",iferror(VLOOKUP($R125,Capa!$A:$Z,AX$5,0),0),IF(ISERROR(1/VLOOKUP($R125,Capa!$A:$Z,AX$5,0)),0,1/VLOOKUP($R125,Capa!$A:$Z,AX$5,0))))</f>
        <v/>
      </c>
      <c r="AY126" s="124" t="str">
        <f>IF(AY$6="","",IF(AY$3="Maior",iferror(VLOOKUP($R125,Capa!$A:$Z,AY$5,0),0),IF(ISERROR(1/VLOOKUP($R125,Capa!$A:$Z,AY$5,0)),0,1/VLOOKUP($R125,Capa!$A:$Z,AY$5,0))))</f>
        <v/>
      </c>
      <c r="AZ126" s="124" t="str">
        <f>IF(AZ$6="","",IF(AZ$3="Maior",iferror(VLOOKUP($R125,Capa!$A:$Z,AZ$5,0),0),IF(ISERROR(1/VLOOKUP($R125,Capa!$A:$Z,AZ$5,0)),0,1/VLOOKUP($R125,Capa!$A:$Z,AZ$5,0))))</f>
        <v/>
      </c>
      <c r="BA126" s="124" t="str">
        <f>IF(BA$6="","",IF(BA$3="Maior",iferror(VLOOKUP($R125,Capa!$A:$Z,BA$5,0),0),IF(ISERROR(1/VLOOKUP($R125,Capa!$A:$Z,BA$5,0)),0,1/VLOOKUP($R125,Capa!$A:$Z,BA$5,0))))</f>
        <v/>
      </c>
      <c r="BB126" s="124" t="str">
        <f>IF(BB$6="","",IF(BB$3="Maior",iferror(VLOOKUP($R125,Capa!$A:$Z,BB$5,0),0),IF(ISERROR(1/VLOOKUP($R125,Capa!$A:$Z,BB$5,0)),0,1/VLOOKUP($R125,Capa!$A:$Z,BB$5,0))))</f>
        <v/>
      </c>
      <c r="BC126" s="124" t="str">
        <f>IF(BC$6="","",IF(BC$3="Maior",iferror(VLOOKUP($R125,Capa!$A:$Z,BC$5,0),0),IF(ISERROR(1/VLOOKUP($R125,Capa!$A:$Z,BC$5,0)),0,1/VLOOKUP($R125,Capa!$A:$Z,BC$5,0))))</f>
        <v/>
      </c>
      <c r="BD126" s="124" t="str">
        <f>IF(BD$6="","",IF(BD$3="Maior",iferror(VLOOKUP($R125,Capa!$A:$Z,BD$5,0),0),IF(ISERROR(1/VLOOKUP($R125,Capa!$A:$Z,BD$5,0)),0,1/VLOOKUP($R125,Capa!$A:$Z,BD$5,0))))</f>
        <v/>
      </c>
      <c r="BE126" s="124" t="str">
        <f>IF(BE$6="","",IF(BE$3="Maior",iferror(VLOOKUP($R125,Capa!$A:$Z,BE$5,0),0),IF(ISERROR(1/VLOOKUP($R125,Capa!$A:$Z,BE$5,0)),0,1/VLOOKUP($R125,Capa!$A:$Z,BE$5,0))))</f>
        <v/>
      </c>
      <c r="BF126" s="124" t="str">
        <f>IF(BF$6="","",IF(BF$3="Maior",iferror(VLOOKUP($R125,Capa!$A:$Z,BF$5,0),0),IF(ISERROR(1/VLOOKUP($R125,Capa!$A:$Z,BF$5,0)),0,1/VLOOKUP($R125,Capa!$A:$Z,BF$5,0))))</f>
        <v/>
      </c>
      <c r="BG126" s="124" t="str">
        <f>IF(BG$6="","",IF(BG$3="Maior",iferror(VLOOKUP($R125,Capa!$A:$Z,BG$5,0),0),IF(ISERROR(1/VLOOKUP($R125,Capa!$A:$Z,BG$5,0)),0,1/VLOOKUP($R125,Capa!$A:$Z,BG$5,0))))</f>
        <v/>
      </c>
      <c r="BH126" s="124" t="str">
        <f>IF(BH$6="","",IF(BH$3="Maior",iferror(VLOOKUP($R125,Capa!$A:$Z,BH$5,0),0),IF(ISERROR(1/VLOOKUP($R125,Capa!$A:$Z,BH$5,0)),0,1/VLOOKUP($R125,Capa!$A:$Z,BH$5,0))))</f>
        <v/>
      </c>
      <c r="BI126" s="124" t="str">
        <f>IF(BI$6="","",IF(BI$3="Maior",iferror(VLOOKUP($R125,Capa!$A:$Z,BI$5,0),0),IF(ISERROR(1/VLOOKUP($R125,Capa!$A:$Z,BI$5,0)),0,1/VLOOKUP($R125,Capa!$A:$Z,BI$5,0))))</f>
        <v/>
      </c>
      <c r="BJ126" s="124" t="str">
        <f>IF(BJ$6="","",IF(BJ$3="Maior",iferror(VLOOKUP($R125,Capa!$A:$Z,BJ$5,0),0),IF(ISERROR(1/VLOOKUP($R125,Capa!$A:$Z,BJ$5,0)),0,1/VLOOKUP($R125,Capa!$A:$Z,BJ$5,0))))</f>
        <v/>
      </c>
      <c r="BK126" s="124" t="str">
        <f>IF(BK$6="","",IF(BK$3="Maior",iferror(VLOOKUP($R125,Capa!$A:$Z,BK$5,0),0),IF(ISERROR(1/VLOOKUP($R125,Capa!$A:$Z,BK$5,0)),0,1/VLOOKUP($R125,Capa!$A:$Z,BK$5,0))))</f>
        <v/>
      </c>
      <c r="BL126" s="124" t="str">
        <f>IF(BL$6="","",IF(BL$3="Maior",iferror(VLOOKUP($R125,Capa!$A:$Z,BL$5,0),0),IF(ISERROR(1/VLOOKUP($R125,Capa!$A:$Z,BL$5,0)),0,1/VLOOKUP($R125,Capa!$A:$Z,BL$5,0))))</f>
        <v/>
      </c>
      <c r="BM126" s="124" t="str">
        <f>IF(BM$6="","",IF(BM$3="Maior",iferror(VLOOKUP($R125,Capa!$A:$Z,BM$5,0),0),IF(ISERROR(1/VLOOKUP($R125,Capa!$A:$Z,BM$5,0)),0,1/VLOOKUP($R125,Capa!$A:$Z,BM$5,0))))</f>
        <v/>
      </c>
      <c r="BN126" s="124" t="str">
        <f>IF(BN$6="","",IF(BN$3="Maior",iferror(VLOOKUP($R125,Capa!$A:$Z,BN$5,0),0),IF(ISERROR(1/VLOOKUP($R125,Capa!$A:$Z,BN$5,0)),0,1/VLOOKUP($R125,Capa!$A:$Z,BN$5,0))))</f>
        <v/>
      </c>
      <c r="BO126" s="124" t="str">
        <f>IF(BO$6="","",IF(BO$3="Maior",iferror(VLOOKUP($R125,Capa!$A:$Z,BO$5,0),0),IF(ISERROR(1/VLOOKUP($R125,Capa!$A:$Z,BO$5,0)),0,1/VLOOKUP($R125,Capa!$A:$Z,BO$5,0))))</f>
        <v/>
      </c>
      <c r="BP126" s="124" t="str">
        <f>IF(BP$6="","",IF(BP$3="Maior",iferror(VLOOKUP($R125,Capa!$A:$Z,BP$5,0),0),IF(ISERROR(1/VLOOKUP($R125,Capa!$A:$Z,BP$5,0)),0,1/VLOOKUP($R125,Capa!$A:$Z,BP$5,0))))</f>
        <v/>
      </c>
      <c r="BQ126" s="124" t="str">
        <f>IF(BQ$6="","",IF(BQ$3="Maior",iferror(VLOOKUP($R125,Capa!$A:$Z,BQ$5,0),0),IF(ISERROR(1/VLOOKUP($R125,Capa!$A:$Z,BQ$5,0)),0,1/VLOOKUP($R125,Capa!$A:$Z,BQ$5,0))))</f>
        <v/>
      </c>
      <c r="BR126" s="125" t="str">
        <f>IF(BR$6="","",IF(BR$3="Maior",iferror(VLOOKUP($R125,Capa!$A:$Z,BR$5,0),0),IF(ISERROR(1/VLOOKUP($R125,Capa!$A:$Z,BR$5,0)),0,1/VLOOKUP($R125,Capa!$A:$Z,BR$5,0))))</f>
        <v/>
      </c>
      <c r="BS126" s="88"/>
    </row>
    <row r="127">
      <c r="G127" s="9"/>
      <c r="H127" s="7">
        <v>121.0</v>
      </c>
      <c r="I127" s="111" t="str">
        <f t="shared" si="7"/>
        <v>CACR11</v>
      </c>
      <c r="J127" s="112" t="str">
        <f>VLOOKUP(I127,Capa!A:G,7,0)</f>
        <v>Recebíveis Imobiliários</v>
      </c>
      <c r="K127" s="113">
        <f t="shared" si="8"/>
        <v>1.006243996</v>
      </c>
      <c r="L127" s="113">
        <f t="shared" si="9"/>
        <v>0.1696527378</v>
      </c>
      <c r="M127" s="113" t="str">
        <f t="shared" si="10"/>
        <v/>
      </c>
      <c r="N127" s="113" t="str">
        <f t="shared" si="11"/>
        <v/>
      </c>
      <c r="O127" s="114">
        <f t="shared" si="12"/>
        <v>466072.26</v>
      </c>
      <c r="P127" s="9"/>
      <c r="Q127" s="9"/>
      <c r="R127" s="115" t="s">
        <v>180</v>
      </c>
      <c r="S127" s="116">
        <f t="shared" si="13"/>
        <v>1181.001072</v>
      </c>
      <c r="T127" s="117">
        <f>MID(VLOOKUP($R127,'Dados ClubeFII'!$A:$AU,23,0),3,100)/1</f>
        <v>2393.73</v>
      </c>
      <c r="U127" s="118">
        <f t="shared" si="14"/>
        <v>9.0009</v>
      </c>
      <c r="V127" s="118">
        <f t="shared" si="15"/>
        <v>172.000172</v>
      </c>
      <c r="W127" s="118" t="str">
        <f t="shared" ref="W127:AS127" si="136">IF(AV127="","", RANK(AV127,AV$7:AV$405,0))</f>
        <v/>
      </c>
      <c r="X127" s="118" t="str">
        <f t="shared" si="136"/>
        <v/>
      </c>
      <c r="Y127" s="118" t="str">
        <f t="shared" si="136"/>
        <v/>
      </c>
      <c r="Z127" s="118" t="str">
        <f t="shared" si="136"/>
        <v/>
      </c>
      <c r="AA127" s="118" t="str">
        <f t="shared" si="136"/>
        <v/>
      </c>
      <c r="AB127" s="118" t="str">
        <f t="shared" si="136"/>
        <v/>
      </c>
      <c r="AC127" s="118" t="str">
        <f t="shared" si="136"/>
        <v/>
      </c>
      <c r="AD127" s="118" t="str">
        <f t="shared" si="136"/>
        <v/>
      </c>
      <c r="AE127" s="118" t="str">
        <f t="shared" si="136"/>
        <v/>
      </c>
      <c r="AF127" s="118" t="str">
        <f t="shared" si="136"/>
        <v/>
      </c>
      <c r="AG127" s="118" t="str">
        <f t="shared" si="136"/>
        <v/>
      </c>
      <c r="AH127" s="118" t="str">
        <f t="shared" si="136"/>
        <v/>
      </c>
      <c r="AI127" s="118" t="str">
        <f t="shared" si="136"/>
        <v/>
      </c>
      <c r="AJ127" s="118" t="str">
        <f t="shared" si="136"/>
        <v/>
      </c>
      <c r="AK127" s="118" t="str">
        <f t="shared" si="136"/>
        <v/>
      </c>
      <c r="AL127" s="118" t="str">
        <f t="shared" si="136"/>
        <v/>
      </c>
      <c r="AM127" s="118" t="str">
        <f t="shared" si="136"/>
        <v/>
      </c>
      <c r="AN127" s="118" t="str">
        <f t="shared" si="136"/>
        <v/>
      </c>
      <c r="AO127" s="118" t="str">
        <f t="shared" si="136"/>
        <v/>
      </c>
      <c r="AP127" s="118" t="str">
        <f t="shared" si="136"/>
        <v/>
      </c>
      <c r="AQ127" s="118" t="str">
        <f t="shared" si="136"/>
        <v/>
      </c>
      <c r="AR127" s="118" t="str">
        <f t="shared" si="136"/>
        <v/>
      </c>
      <c r="AS127" s="118" t="str">
        <f t="shared" si="136"/>
        <v/>
      </c>
      <c r="AT127" s="123">
        <f>IF(AT$6="","",IF(AT$3="Maior",iferror(VLOOKUP($R127,Capa!$A:$Z,AT$5,0),0),IF(ISERROR(1/VLOOKUP($R127,Capa!$A:$Z,AT$5,0)),0,1/VLOOKUP($R127,Capa!$A:$Z,AT$5,0))))</f>
        <v>2.783380019</v>
      </c>
      <c r="AU127" s="124">
        <f>IF(AU$6="","",IF(AU$3="Maior",iferror(VLOOKUP($R127,Capa!$A:$Z,AU$5,0),0),IF(ISERROR(1/VLOOKUP($R127,Capa!$A:$Z,AU$5,0)),0,1/VLOOKUP($R127,Capa!$A:$Z,AU$5,0))))</f>
        <v>0.03962009393</v>
      </c>
      <c r="AV127" s="124" t="str">
        <f>IF(AV$6="","",IF(AV$3="Maior",iferror(VLOOKUP($R126,Capa!$A:$Z,AV$5,0),0),IF(ISERROR(1/VLOOKUP($R126,Capa!$A:$Z,AV$5,0)),0,1/VLOOKUP($R126,Capa!$A:$Z,AV$5,0))))</f>
        <v/>
      </c>
      <c r="AW127" s="124" t="str">
        <f>IF(AW$6="","",IF(AW$3="Maior",iferror(VLOOKUP($R126,Capa!$A:$Z,AW$5,0),0),IF(ISERROR(1/VLOOKUP($R126,Capa!$A:$Z,AW$5,0)),0,1/VLOOKUP($R126,Capa!$A:$Z,AW$5,0))))</f>
        <v/>
      </c>
      <c r="AX127" s="124" t="str">
        <f>IF(AX$6="","",IF(AX$3="Maior",iferror(VLOOKUP($R126,Capa!$A:$Z,AX$5,0),0),IF(ISERROR(1/VLOOKUP($R126,Capa!$A:$Z,AX$5,0)),0,1/VLOOKUP($R126,Capa!$A:$Z,AX$5,0))))</f>
        <v/>
      </c>
      <c r="AY127" s="124" t="str">
        <f>IF(AY$6="","",IF(AY$3="Maior",iferror(VLOOKUP($R126,Capa!$A:$Z,AY$5,0),0),IF(ISERROR(1/VLOOKUP($R126,Capa!$A:$Z,AY$5,0)),0,1/VLOOKUP($R126,Capa!$A:$Z,AY$5,0))))</f>
        <v/>
      </c>
      <c r="AZ127" s="124" t="str">
        <f>IF(AZ$6="","",IF(AZ$3="Maior",iferror(VLOOKUP($R126,Capa!$A:$Z,AZ$5,0),0),IF(ISERROR(1/VLOOKUP($R126,Capa!$A:$Z,AZ$5,0)),0,1/VLOOKUP($R126,Capa!$A:$Z,AZ$5,0))))</f>
        <v/>
      </c>
      <c r="BA127" s="124" t="str">
        <f>IF(BA$6="","",IF(BA$3="Maior",iferror(VLOOKUP($R126,Capa!$A:$Z,BA$5,0),0),IF(ISERROR(1/VLOOKUP($R126,Capa!$A:$Z,BA$5,0)),0,1/VLOOKUP($R126,Capa!$A:$Z,BA$5,0))))</f>
        <v/>
      </c>
      <c r="BB127" s="124" t="str">
        <f>IF(BB$6="","",IF(BB$3="Maior",iferror(VLOOKUP($R126,Capa!$A:$Z,BB$5,0),0),IF(ISERROR(1/VLOOKUP($R126,Capa!$A:$Z,BB$5,0)),0,1/VLOOKUP($R126,Capa!$A:$Z,BB$5,0))))</f>
        <v/>
      </c>
      <c r="BC127" s="124" t="str">
        <f>IF(BC$6="","",IF(BC$3="Maior",iferror(VLOOKUP($R126,Capa!$A:$Z,BC$5,0),0),IF(ISERROR(1/VLOOKUP($R126,Capa!$A:$Z,BC$5,0)),0,1/VLOOKUP($R126,Capa!$A:$Z,BC$5,0))))</f>
        <v/>
      </c>
      <c r="BD127" s="124" t="str">
        <f>IF(BD$6="","",IF(BD$3="Maior",iferror(VLOOKUP($R126,Capa!$A:$Z,BD$5,0),0),IF(ISERROR(1/VLOOKUP($R126,Capa!$A:$Z,BD$5,0)),0,1/VLOOKUP($R126,Capa!$A:$Z,BD$5,0))))</f>
        <v/>
      </c>
      <c r="BE127" s="124" t="str">
        <f>IF(BE$6="","",IF(BE$3="Maior",iferror(VLOOKUP($R126,Capa!$A:$Z,BE$5,0),0),IF(ISERROR(1/VLOOKUP($R126,Capa!$A:$Z,BE$5,0)),0,1/VLOOKUP($R126,Capa!$A:$Z,BE$5,0))))</f>
        <v/>
      </c>
      <c r="BF127" s="124" t="str">
        <f>IF(BF$6="","",IF(BF$3="Maior",iferror(VLOOKUP($R126,Capa!$A:$Z,BF$5,0),0),IF(ISERROR(1/VLOOKUP($R126,Capa!$A:$Z,BF$5,0)),0,1/VLOOKUP($R126,Capa!$A:$Z,BF$5,0))))</f>
        <v/>
      </c>
      <c r="BG127" s="124" t="str">
        <f>IF(BG$6="","",IF(BG$3="Maior",iferror(VLOOKUP($R126,Capa!$A:$Z,BG$5,0),0),IF(ISERROR(1/VLOOKUP($R126,Capa!$A:$Z,BG$5,0)),0,1/VLOOKUP($R126,Capa!$A:$Z,BG$5,0))))</f>
        <v/>
      </c>
      <c r="BH127" s="124" t="str">
        <f>IF(BH$6="","",IF(BH$3="Maior",iferror(VLOOKUP($R126,Capa!$A:$Z,BH$5,0),0),IF(ISERROR(1/VLOOKUP($R126,Capa!$A:$Z,BH$5,0)),0,1/VLOOKUP($R126,Capa!$A:$Z,BH$5,0))))</f>
        <v/>
      </c>
      <c r="BI127" s="124" t="str">
        <f>IF(BI$6="","",IF(BI$3="Maior",iferror(VLOOKUP($R126,Capa!$A:$Z,BI$5,0),0),IF(ISERROR(1/VLOOKUP($R126,Capa!$A:$Z,BI$5,0)),0,1/VLOOKUP($R126,Capa!$A:$Z,BI$5,0))))</f>
        <v/>
      </c>
      <c r="BJ127" s="124" t="str">
        <f>IF(BJ$6="","",IF(BJ$3="Maior",iferror(VLOOKUP($R126,Capa!$A:$Z,BJ$5,0),0),IF(ISERROR(1/VLOOKUP($R126,Capa!$A:$Z,BJ$5,0)),0,1/VLOOKUP($R126,Capa!$A:$Z,BJ$5,0))))</f>
        <v/>
      </c>
      <c r="BK127" s="124" t="str">
        <f>IF(BK$6="","",IF(BK$3="Maior",iferror(VLOOKUP($R126,Capa!$A:$Z,BK$5,0),0),IF(ISERROR(1/VLOOKUP($R126,Capa!$A:$Z,BK$5,0)),0,1/VLOOKUP($R126,Capa!$A:$Z,BK$5,0))))</f>
        <v/>
      </c>
      <c r="BL127" s="124" t="str">
        <f>IF(BL$6="","",IF(BL$3="Maior",iferror(VLOOKUP($R126,Capa!$A:$Z,BL$5,0),0),IF(ISERROR(1/VLOOKUP($R126,Capa!$A:$Z,BL$5,0)),0,1/VLOOKUP($R126,Capa!$A:$Z,BL$5,0))))</f>
        <v/>
      </c>
      <c r="BM127" s="124" t="str">
        <f>IF(BM$6="","",IF(BM$3="Maior",iferror(VLOOKUP($R126,Capa!$A:$Z,BM$5,0),0),IF(ISERROR(1/VLOOKUP($R126,Capa!$A:$Z,BM$5,0)),0,1/VLOOKUP($R126,Capa!$A:$Z,BM$5,0))))</f>
        <v/>
      </c>
      <c r="BN127" s="124" t="str">
        <f>IF(BN$6="","",IF(BN$3="Maior",iferror(VLOOKUP($R126,Capa!$A:$Z,BN$5,0),0),IF(ISERROR(1/VLOOKUP($R126,Capa!$A:$Z,BN$5,0)),0,1/VLOOKUP($R126,Capa!$A:$Z,BN$5,0))))</f>
        <v/>
      </c>
      <c r="BO127" s="124" t="str">
        <f>IF(BO$6="","",IF(BO$3="Maior",iferror(VLOOKUP($R126,Capa!$A:$Z,BO$5,0),0),IF(ISERROR(1/VLOOKUP($R126,Capa!$A:$Z,BO$5,0)),0,1/VLOOKUP($R126,Capa!$A:$Z,BO$5,0))))</f>
        <v/>
      </c>
      <c r="BP127" s="124" t="str">
        <f>IF(BP$6="","",IF(BP$3="Maior",iferror(VLOOKUP($R126,Capa!$A:$Z,BP$5,0),0),IF(ISERROR(1/VLOOKUP($R126,Capa!$A:$Z,BP$5,0)),0,1/VLOOKUP($R126,Capa!$A:$Z,BP$5,0))))</f>
        <v/>
      </c>
      <c r="BQ127" s="124" t="str">
        <f>IF(BQ$6="","",IF(BQ$3="Maior",iferror(VLOOKUP($R126,Capa!$A:$Z,BQ$5,0),0),IF(ISERROR(1/VLOOKUP($R126,Capa!$A:$Z,BQ$5,0)),0,1/VLOOKUP($R126,Capa!$A:$Z,BQ$5,0))))</f>
        <v/>
      </c>
      <c r="BR127" s="125" t="str">
        <f>IF(BR$6="","",IF(BR$3="Maior",iferror(VLOOKUP($R126,Capa!$A:$Z,BR$5,0),0),IF(ISERROR(1/VLOOKUP($R126,Capa!$A:$Z,BR$5,0)),0,1/VLOOKUP($R126,Capa!$A:$Z,BR$5,0))))</f>
        <v/>
      </c>
      <c r="BS127" s="88"/>
    </row>
    <row r="128">
      <c r="G128" s="9"/>
      <c r="H128" s="7">
        <v>122.0</v>
      </c>
      <c r="I128" s="129" t="str">
        <f t="shared" si="7"/>
        <v>LGCP11</v>
      </c>
      <c r="J128" s="112" t="str">
        <f>VLOOKUP(I128,Capa!A:G,7,0)</f>
        <v>Logisticos</v>
      </c>
      <c r="K128" s="113">
        <f t="shared" si="8"/>
        <v>0.7029855412</v>
      </c>
      <c r="L128" s="113">
        <f t="shared" si="9"/>
        <v>0.09186311059</v>
      </c>
      <c r="M128" s="113" t="str">
        <f t="shared" si="10"/>
        <v/>
      </c>
      <c r="N128" s="113" t="str">
        <f t="shared" si="11"/>
        <v/>
      </c>
      <c r="O128" s="114">
        <f t="shared" si="12"/>
        <v>218389.61</v>
      </c>
      <c r="P128" s="9"/>
      <c r="Q128" s="9"/>
      <c r="R128" s="115" t="s">
        <v>152</v>
      </c>
      <c r="S128" s="116">
        <f t="shared" si="13"/>
        <v>213.006846</v>
      </c>
      <c r="T128" s="117">
        <f>MID(VLOOKUP($R128,'Dados ClubeFII'!$A:$AU,23,0),3,100)/1</f>
        <v>2944645.37</v>
      </c>
      <c r="U128" s="118">
        <f t="shared" si="14"/>
        <v>67.0067</v>
      </c>
      <c r="V128" s="118">
        <f t="shared" si="15"/>
        <v>146.000146</v>
      </c>
      <c r="W128" s="118" t="str">
        <f t="shared" ref="W128:AS128" si="137">IF(AV128="","", RANK(AV128,AV$7:AV$405,0))</f>
        <v/>
      </c>
      <c r="X128" s="118" t="str">
        <f t="shared" si="137"/>
        <v/>
      </c>
      <c r="Y128" s="118" t="str">
        <f t="shared" si="137"/>
        <v/>
      </c>
      <c r="Z128" s="118" t="str">
        <f t="shared" si="137"/>
        <v/>
      </c>
      <c r="AA128" s="118" t="str">
        <f t="shared" si="137"/>
        <v/>
      </c>
      <c r="AB128" s="118" t="str">
        <f t="shared" si="137"/>
        <v/>
      </c>
      <c r="AC128" s="118" t="str">
        <f t="shared" si="137"/>
        <v/>
      </c>
      <c r="AD128" s="118" t="str">
        <f t="shared" si="137"/>
        <v/>
      </c>
      <c r="AE128" s="118" t="str">
        <f t="shared" si="137"/>
        <v/>
      </c>
      <c r="AF128" s="118" t="str">
        <f t="shared" si="137"/>
        <v/>
      </c>
      <c r="AG128" s="118" t="str">
        <f t="shared" si="137"/>
        <v/>
      </c>
      <c r="AH128" s="118" t="str">
        <f t="shared" si="137"/>
        <v/>
      </c>
      <c r="AI128" s="118" t="str">
        <f t="shared" si="137"/>
        <v/>
      </c>
      <c r="AJ128" s="118" t="str">
        <f t="shared" si="137"/>
        <v/>
      </c>
      <c r="AK128" s="118" t="str">
        <f t="shared" si="137"/>
        <v/>
      </c>
      <c r="AL128" s="118" t="str">
        <f t="shared" si="137"/>
        <v/>
      </c>
      <c r="AM128" s="118" t="str">
        <f t="shared" si="137"/>
        <v/>
      </c>
      <c r="AN128" s="118" t="str">
        <f t="shared" si="137"/>
        <v/>
      </c>
      <c r="AO128" s="118" t="str">
        <f t="shared" si="137"/>
        <v/>
      </c>
      <c r="AP128" s="118" t="str">
        <f t="shared" si="137"/>
        <v/>
      </c>
      <c r="AQ128" s="118" t="str">
        <f t="shared" si="137"/>
        <v/>
      </c>
      <c r="AR128" s="118" t="str">
        <f t="shared" si="137"/>
        <v/>
      </c>
      <c r="AS128" s="118" t="str">
        <f t="shared" si="137"/>
        <v/>
      </c>
      <c r="AT128" s="123">
        <f>IF(AT$6="","",IF(AT$3="Maior",iferror(VLOOKUP($R128,Capa!$A:$Z,AT$5,0),0),IF(ISERROR(1/VLOOKUP($R128,Capa!$A:$Z,AT$5,0)),0,1/VLOOKUP($R128,Capa!$A:$Z,AT$5,0))))</f>
        <v>1.305877221</v>
      </c>
      <c r="AU128" s="124">
        <f>IF(AU$6="","",IF(AU$3="Maior",iferror(VLOOKUP($R128,Capa!$A:$Z,AU$5,0),0),IF(ISERROR(1/VLOOKUP($R128,Capa!$A:$Z,AU$5,0)),0,1/VLOOKUP($R128,Capa!$A:$Z,AU$5,0))))</f>
        <v>0.08552742161</v>
      </c>
      <c r="AV128" s="124" t="str">
        <f>IF(AV$6="","",IF(AV$3="Maior",iferror(VLOOKUP($R127,Capa!$A:$Z,AV$5,0),0),IF(ISERROR(1/VLOOKUP($R127,Capa!$A:$Z,AV$5,0)),0,1/VLOOKUP($R127,Capa!$A:$Z,AV$5,0))))</f>
        <v/>
      </c>
      <c r="AW128" s="124" t="str">
        <f>IF(AW$6="","",IF(AW$3="Maior",iferror(VLOOKUP($R127,Capa!$A:$Z,AW$5,0),0),IF(ISERROR(1/VLOOKUP($R127,Capa!$A:$Z,AW$5,0)),0,1/VLOOKUP($R127,Capa!$A:$Z,AW$5,0))))</f>
        <v/>
      </c>
      <c r="AX128" s="124" t="str">
        <f>IF(AX$6="","",IF(AX$3="Maior",iferror(VLOOKUP($R127,Capa!$A:$Z,AX$5,0),0),IF(ISERROR(1/VLOOKUP($R127,Capa!$A:$Z,AX$5,0)),0,1/VLOOKUP($R127,Capa!$A:$Z,AX$5,0))))</f>
        <v/>
      </c>
      <c r="AY128" s="124" t="str">
        <f>IF(AY$6="","",IF(AY$3="Maior",iferror(VLOOKUP($R127,Capa!$A:$Z,AY$5,0),0),IF(ISERROR(1/VLOOKUP($R127,Capa!$A:$Z,AY$5,0)),0,1/VLOOKUP($R127,Capa!$A:$Z,AY$5,0))))</f>
        <v/>
      </c>
      <c r="AZ128" s="124" t="str">
        <f>IF(AZ$6="","",IF(AZ$3="Maior",iferror(VLOOKUP($R127,Capa!$A:$Z,AZ$5,0),0),IF(ISERROR(1/VLOOKUP($R127,Capa!$A:$Z,AZ$5,0)),0,1/VLOOKUP($R127,Capa!$A:$Z,AZ$5,0))))</f>
        <v/>
      </c>
      <c r="BA128" s="124" t="str">
        <f>IF(BA$6="","",IF(BA$3="Maior",iferror(VLOOKUP($R127,Capa!$A:$Z,BA$5,0),0),IF(ISERROR(1/VLOOKUP($R127,Capa!$A:$Z,BA$5,0)),0,1/VLOOKUP($R127,Capa!$A:$Z,BA$5,0))))</f>
        <v/>
      </c>
      <c r="BB128" s="124" t="str">
        <f>IF(BB$6="","",IF(BB$3="Maior",iferror(VLOOKUP($R127,Capa!$A:$Z,BB$5,0),0),IF(ISERROR(1/VLOOKUP($R127,Capa!$A:$Z,BB$5,0)),0,1/VLOOKUP($R127,Capa!$A:$Z,BB$5,0))))</f>
        <v/>
      </c>
      <c r="BC128" s="124" t="str">
        <f>IF(BC$6="","",IF(BC$3="Maior",iferror(VLOOKUP($R127,Capa!$A:$Z,BC$5,0),0),IF(ISERROR(1/VLOOKUP($R127,Capa!$A:$Z,BC$5,0)),0,1/VLOOKUP($R127,Capa!$A:$Z,BC$5,0))))</f>
        <v/>
      </c>
      <c r="BD128" s="124" t="str">
        <f>IF(BD$6="","",IF(BD$3="Maior",iferror(VLOOKUP($R127,Capa!$A:$Z,BD$5,0),0),IF(ISERROR(1/VLOOKUP($R127,Capa!$A:$Z,BD$5,0)),0,1/VLOOKUP($R127,Capa!$A:$Z,BD$5,0))))</f>
        <v/>
      </c>
      <c r="BE128" s="124" t="str">
        <f>IF(BE$6="","",IF(BE$3="Maior",iferror(VLOOKUP($R127,Capa!$A:$Z,BE$5,0),0),IF(ISERROR(1/VLOOKUP($R127,Capa!$A:$Z,BE$5,0)),0,1/VLOOKUP($R127,Capa!$A:$Z,BE$5,0))))</f>
        <v/>
      </c>
      <c r="BF128" s="124" t="str">
        <f>IF(BF$6="","",IF(BF$3="Maior",iferror(VLOOKUP($R127,Capa!$A:$Z,BF$5,0),0),IF(ISERROR(1/VLOOKUP($R127,Capa!$A:$Z,BF$5,0)),0,1/VLOOKUP($R127,Capa!$A:$Z,BF$5,0))))</f>
        <v/>
      </c>
      <c r="BG128" s="124" t="str">
        <f>IF(BG$6="","",IF(BG$3="Maior",iferror(VLOOKUP($R127,Capa!$A:$Z,BG$5,0),0),IF(ISERROR(1/VLOOKUP($R127,Capa!$A:$Z,BG$5,0)),0,1/VLOOKUP($R127,Capa!$A:$Z,BG$5,0))))</f>
        <v/>
      </c>
      <c r="BH128" s="124" t="str">
        <f>IF(BH$6="","",IF(BH$3="Maior",iferror(VLOOKUP($R127,Capa!$A:$Z,BH$5,0),0),IF(ISERROR(1/VLOOKUP($R127,Capa!$A:$Z,BH$5,0)),0,1/VLOOKUP($R127,Capa!$A:$Z,BH$5,0))))</f>
        <v/>
      </c>
      <c r="BI128" s="124" t="str">
        <f>IF(BI$6="","",IF(BI$3="Maior",iferror(VLOOKUP($R127,Capa!$A:$Z,BI$5,0),0),IF(ISERROR(1/VLOOKUP($R127,Capa!$A:$Z,BI$5,0)),0,1/VLOOKUP($R127,Capa!$A:$Z,BI$5,0))))</f>
        <v/>
      </c>
      <c r="BJ128" s="124" t="str">
        <f>IF(BJ$6="","",IF(BJ$3="Maior",iferror(VLOOKUP($R127,Capa!$A:$Z,BJ$5,0),0),IF(ISERROR(1/VLOOKUP($R127,Capa!$A:$Z,BJ$5,0)),0,1/VLOOKUP($R127,Capa!$A:$Z,BJ$5,0))))</f>
        <v/>
      </c>
      <c r="BK128" s="124" t="str">
        <f>IF(BK$6="","",IF(BK$3="Maior",iferror(VLOOKUP($R127,Capa!$A:$Z,BK$5,0),0),IF(ISERROR(1/VLOOKUP($R127,Capa!$A:$Z,BK$5,0)),0,1/VLOOKUP($R127,Capa!$A:$Z,BK$5,0))))</f>
        <v/>
      </c>
      <c r="BL128" s="124" t="str">
        <f>IF(BL$6="","",IF(BL$3="Maior",iferror(VLOOKUP($R127,Capa!$A:$Z,BL$5,0),0),IF(ISERROR(1/VLOOKUP($R127,Capa!$A:$Z,BL$5,0)),0,1/VLOOKUP($R127,Capa!$A:$Z,BL$5,0))))</f>
        <v/>
      </c>
      <c r="BM128" s="124" t="str">
        <f>IF(BM$6="","",IF(BM$3="Maior",iferror(VLOOKUP($R127,Capa!$A:$Z,BM$5,0),0),IF(ISERROR(1/VLOOKUP($R127,Capa!$A:$Z,BM$5,0)),0,1/VLOOKUP($R127,Capa!$A:$Z,BM$5,0))))</f>
        <v/>
      </c>
      <c r="BN128" s="124" t="str">
        <f>IF(BN$6="","",IF(BN$3="Maior",iferror(VLOOKUP($R127,Capa!$A:$Z,BN$5,0),0),IF(ISERROR(1/VLOOKUP($R127,Capa!$A:$Z,BN$5,0)),0,1/VLOOKUP($R127,Capa!$A:$Z,BN$5,0))))</f>
        <v/>
      </c>
      <c r="BO128" s="124" t="str">
        <f>IF(BO$6="","",IF(BO$3="Maior",iferror(VLOOKUP($R127,Capa!$A:$Z,BO$5,0),0),IF(ISERROR(1/VLOOKUP($R127,Capa!$A:$Z,BO$5,0)),0,1/VLOOKUP($R127,Capa!$A:$Z,BO$5,0))))</f>
        <v/>
      </c>
      <c r="BP128" s="124" t="str">
        <f>IF(BP$6="","",IF(BP$3="Maior",iferror(VLOOKUP($R127,Capa!$A:$Z,BP$5,0),0),IF(ISERROR(1/VLOOKUP($R127,Capa!$A:$Z,BP$5,0)),0,1/VLOOKUP($R127,Capa!$A:$Z,BP$5,0))))</f>
        <v/>
      </c>
      <c r="BQ128" s="124" t="str">
        <f>IF(BQ$6="","",IF(BQ$3="Maior",iferror(VLOOKUP($R127,Capa!$A:$Z,BQ$5,0),0),IF(ISERROR(1/VLOOKUP($R127,Capa!$A:$Z,BQ$5,0)),0,1/VLOOKUP($R127,Capa!$A:$Z,BQ$5,0))))</f>
        <v/>
      </c>
      <c r="BR128" s="125" t="str">
        <f>IF(BR$6="","",IF(BR$3="Maior",iferror(VLOOKUP($R127,Capa!$A:$Z,BR$5,0),0),IF(ISERROR(1/VLOOKUP($R127,Capa!$A:$Z,BR$5,0)),0,1/VLOOKUP($R127,Capa!$A:$Z,BR$5,0))))</f>
        <v/>
      </c>
      <c r="BS128" s="88"/>
    </row>
    <row r="129">
      <c r="G129" s="9"/>
      <c r="H129" s="7">
        <v>123.0</v>
      </c>
      <c r="I129" s="111" t="str">
        <f t="shared" si="7"/>
        <v>JPPA11</v>
      </c>
      <c r="J129" s="112" t="str">
        <f>VLOOKUP(I129,Capa!A:G,7,0)</f>
        <v>Recebíveis Imobiliários</v>
      </c>
      <c r="K129" s="113">
        <f t="shared" si="8"/>
        <v>1.030617768</v>
      </c>
      <c r="L129" s="113">
        <f t="shared" si="9"/>
        <v>0.1903669935</v>
      </c>
      <c r="M129" s="113" t="str">
        <f t="shared" si="10"/>
        <v/>
      </c>
      <c r="N129" s="113" t="str">
        <f t="shared" si="11"/>
        <v/>
      </c>
      <c r="O129" s="114">
        <f t="shared" si="12"/>
        <v>380619</v>
      </c>
      <c r="P129" s="9"/>
      <c r="Q129" s="9"/>
      <c r="R129" s="127" t="s">
        <v>142</v>
      </c>
      <c r="S129" s="116">
        <f t="shared" si="13"/>
        <v>246.009948</v>
      </c>
      <c r="T129" s="117">
        <f>MID(VLOOKUP($R129,'Dados ClubeFII'!$A:$AU,23,0),3,100)/1</f>
        <v>2638628.71</v>
      </c>
      <c r="U129" s="118">
        <f t="shared" si="14"/>
        <v>98.0098</v>
      </c>
      <c r="V129" s="118">
        <f t="shared" si="15"/>
        <v>148.000148</v>
      </c>
      <c r="W129" s="118" t="str">
        <f t="shared" ref="W129:AS129" si="138">IF(AV129="","", RANK(AV129,AV$7:AV$405,0))</f>
        <v/>
      </c>
      <c r="X129" s="118" t="str">
        <f t="shared" si="138"/>
        <v/>
      </c>
      <c r="Y129" s="118" t="str">
        <f t="shared" si="138"/>
        <v/>
      </c>
      <c r="Z129" s="118" t="str">
        <f t="shared" si="138"/>
        <v/>
      </c>
      <c r="AA129" s="118" t="str">
        <f t="shared" si="138"/>
        <v/>
      </c>
      <c r="AB129" s="118" t="str">
        <f t="shared" si="138"/>
        <v/>
      </c>
      <c r="AC129" s="118" t="str">
        <f t="shared" si="138"/>
        <v/>
      </c>
      <c r="AD129" s="118" t="str">
        <f t="shared" si="138"/>
        <v/>
      </c>
      <c r="AE129" s="118" t="str">
        <f t="shared" si="138"/>
        <v/>
      </c>
      <c r="AF129" s="118" t="str">
        <f t="shared" si="138"/>
        <v/>
      </c>
      <c r="AG129" s="118" t="str">
        <f t="shared" si="138"/>
        <v/>
      </c>
      <c r="AH129" s="118" t="str">
        <f t="shared" si="138"/>
        <v/>
      </c>
      <c r="AI129" s="118" t="str">
        <f t="shared" si="138"/>
        <v/>
      </c>
      <c r="AJ129" s="118" t="str">
        <f t="shared" si="138"/>
        <v/>
      </c>
      <c r="AK129" s="118" t="str">
        <f t="shared" si="138"/>
        <v/>
      </c>
      <c r="AL129" s="118" t="str">
        <f t="shared" si="138"/>
        <v/>
      </c>
      <c r="AM129" s="118" t="str">
        <f t="shared" si="138"/>
        <v/>
      </c>
      <c r="AN129" s="118" t="str">
        <f t="shared" si="138"/>
        <v/>
      </c>
      <c r="AO129" s="118" t="str">
        <f t="shared" si="138"/>
        <v/>
      </c>
      <c r="AP129" s="118" t="str">
        <f t="shared" si="138"/>
        <v/>
      </c>
      <c r="AQ129" s="118" t="str">
        <f t="shared" si="138"/>
        <v/>
      </c>
      <c r="AR129" s="118" t="str">
        <f t="shared" si="138"/>
        <v/>
      </c>
      <c r="AS129" s="118" t="str">
        <f t="shared" si="138"/>
        <v/>
      </c>
      <c r="AT129" s="123">
        <f>IF(AT$6="","",IF(AT$3="Maior",iferror(VLOOKUP($R129,Capa!$A:$Z,AT$5,0),0),IF(ISERROR(1/VLOOKUP($R129,Capa!$A:$Z,AT$5,0)),0,1/VLOOKUP($R129,Capa!$A:$Z,AT$5,0))))</f>
        <v>1.199037438</v>
      </c>
      <c r="AU129" s="124">
        <f>IF(AU$6="","",IF(AU$3="Maior",iferror(VLOOKUP($R129,Capa!$A:$Z,AU$5,0),0),IF(ISERROR(1/VLOOKUP($R129,Capa!$A:$Z,AU$5,0)),0,1/VLOOKUP($R129,Capa!$A:$Z,AU$5,0))))</f>
        <v>0.0840952335</v>
      </c>
      <c r="AV129" s="124" t="str">
        <f>IF(AV$6="","",IF(AV$3="Maior",iferror(VLOOKUP($R128,Capa!$A:$Z,AV$5,0),0),IF(ISERROR(1/VLOOKUP($R128,Capa!$A:$Z,AV$5,0)),0,1/VLOOKUP($R128,Capa!$A:$Z,AV$5,0))))</f>
        <v/>
      </c>
      <c r="AW129" s="124" t="str">
        <f>IF(AW$6="","",IF(AW$3="Maior",iferror(VLOOKUP($R128,Capa!$A:$Z,AW$5,0),0),IF(ISERROR(1/VLOOKUP($R128,Capa!$A:$Z,AW$5,0)),0,1/VLOOKUP($R128,Capa!$A:$Z,AW$5,0))))</f>
        <v/>
      </c>
      <c r="AX129" s="124" t="str">
        <f>IF(AX$6="","",IF(AX$3="Maior",iferror(VLOOKUP($R128,Capa!$A:$Z,AX$5,0),0),IF(ISERROR(1/VLOOKUP($R128,Capa!$A:$Z,AX$5,0)),0,1/VLOOKUP($R128,Capa!$A:$Z,AX$5,0))))</f>
        <v/>
      </c>
      <c r="AY129" s="124" t="str">
        <f>IF(AY$6="","",IF(AY$3="Maior",iferror(VLOOKUP($R128,Capa!$A:$Z,AY$5,0),0),IF(ISERROR(1/VLOOKUP($R128,Capa!$A:$Z,AY$5,0)),0,1/VLOOKUP($R128,Capa!$A:$Z,AY$5,0))))</f>
        <v/>
      </c>
      <c r="AZ129" s="124" t="str">
        <f>IF(AZ$6="","",IF(AZ$3="Maior",iferror(VLOOKUP($R128,Capa!$A:$Z,AZ$5,0),0),IF(ISERROR(1/VLOOKUP($R128,Capa!$A:$Z,AZ$5,0)),0,1/VLOOKUP($R128,Capa!$A:$Z,AZ$5,0))))</f>
        <v/>
      </c>
      <c r="BA129" s="124" t="str">
        <f>IF(BA$6="","",IF(BA$3="Maior",iferror(VLOOKUP($R128,Capa!$A:$Z,BA$5,0),0),IF(ISERROR(1/VLOOKUP($R128,Capa!$A:$Z,BA$5,0)),0,1/VLOOKUP($R128,Capa!$A:$Z,BA$5,0))))</f>
        <v/>
      </c>
      <c r="BB129" s="124" t="str">
        <f>IF(BB$6="","",IF(BB$3="Maior",iferror(VLOOKUP($R128,Capa!$A:$Z,BB$5,0),0),IF(ISERROR(1/VLOOKUP($R128,Capa!$A:$Z,BB$5,0)),0,1/VLOOKUP($R128,Capa!$A:$Z,BB$5,0))))</f>
        <v/>
      </c>
      <c r="BC129" s="124" t="str">
        <f>IF(BC$6="","",IF(BC$3="Maior",iferror(VLOOKUP($R128,Capa!$A:$Z,BC$5,0),0),IF(ISERROR(1/VLOOKUP($R128,Capa!$A:$Z,BC$5,0)),0,1/VLOOKUP($R128,Capa!$A:$Z,BC$5,0))))</f>
        <v/>
      </c>
      <c r="BD129" s="124" t="str">
        <f>IF(BD$6="","",IF(BD$3="Maior",iferror(VLOOKUP($R128,Capa!$A:$Z,BD$5,0),0),IF(ISERROR(1/VLOOKUP($R128,Capa!$A:$Z,BD$5,0)),0,1/VLOOKUP($R128,Capa!$A:$Z,BD$5,0))))</f>
        <v/>
      </c>
      <c r="BE129" s="124" t="str">
        <f>IF(BE$6="","",IF(BE$3="Maior",iferror(VLOOKUP($R128,Capa!$A:$Z,BE$5,0),0),IF(ISERROR(1/VLOOKUP($R128,Capa!$A:$Z,BE$5,0)),0,1/VLOOKUP($R128,Capa!$A:$Z,BE$5,0))))</f>
        <v/>
      </c>
      <c r="BF129" s="124" t="str">
        <f>IF(BF$6="","",IF(BF$3="Maior",iferror(VLOOKUP($R128,Capa!$A:$Z,BF$5,0),0),IF(ISERROR(1/VLOOKUP($R128,Capa!$A:$Z,BF$5,0)),0,1/VLOOKUP($R128,Capa!$A:$Z,BF$5,0))))</f>
        <v/>
      </c>
      <c r="BG129" s="124" t="str">
        <f>IF(BG$6="","",IF(BG$3="Maior",iferror(VLOOKUP($R128,Capa!$A:$Z,BG$5,0),0),IF(ISERROR(1/VLOOKUP($R128,Capa!$A:$Z,BG$5,0)),0,1/VLOOKUP($R128,Capa!$A:$Z,BG$5,0))))</f>
        <v/>
      </c>
      <c r="BH129" s="124" t="str">
        <f>IF(BH$6="","",IF(BH$3="Maior",iferror(VLOOKUP($R128,Capa!$A:$Z,BH$5,0),0),IF(ISERROR(1/VLOOKUP($R128,Capa!$A:$Z,BH$5,0)),0,1/VLOOKUP($R128,Capa!$A:$Z,BH$5,0))))</f>
        <v/>
      </c>
      <c r="BI129" s="124" t="str">
        <f>IF(BI$6="","",IF(BI$3="Maior",iferror(VLOOKUP($R128,Capa!$A:$Z,BI$5,0),0),IF(ISERROR(1/VLOOKUP($R128,Capa!$A:$Z,BI$5,0)),0,1/VLOOKUP($R128,Capa!$A:$Z,BI$5,0))))</f>
        <v/>
      </c>
      <c r="BJ129" s="124" t="str">
        <f>IF(BJ$6="","",IF(BJ$3="Maior",iferror(VLOOKUP($R128,Capa!$A:$Z,BJ$5,0),0),IF(ISERROR(1/VLOOKUP($R128,Capa!$A:$Z,BJ$5,0)),0,1/VLOOKUP($R128,Capa!$A:$Z,BJ$5,0))))</f>
        <v/>
      </c>
      <c r="BK129" s="124" t="str">
        <f>IF(BK$6="","",IF(BK$3="Maior",iferror(VLOOKUP($R128,Capa!$A:$Z,BK$5,0),0),IF(ISERROR(1/VLOOKUP($R128,Capa!$A:$Z,BK$5,0)),0,1/VLOOKUP($R128,Capa!$A:$Z,BK$5,0))))</f>
        <v/>
      </c>
      <c r="BL129" s="124" t="str">
        <f>IF(BL$6="","",IF(BL$3="Maior",iferror(VLOOKUP($R128,Capa!$A:$Z,BL$5,0),0),IF(ISERROR(1/VLOOKUP($R128,Capa!$A:$Z,BL$5,0)),0,1/VLOOKUP($R128,Capa!$A:$Z,BL$5,0))))</f>
        <v/>
      </c>
      <c r="BM129" s="124" t="str">
        <f>IF(BM$6="","",IF(BM$3="Maior",iferror(VLOOKUP($R128,Capa!$A:$Z,BM$5,0),0),IF(ISERROR(1/VLOOKUP($R128,Capa!$A:$Z,BM$5,0)),0,1/VLOOKUP($R128,Capa!$A:$Z,BM$5,0))))</f>
        <v/>
      </c>
      <c r="BN129" s="124" t="str">
        <f>IF(BN$6="","",IF(BN$3="Maior",iferror(VLOOKUP($R128,Capa!$A:$Z,BN$5,0),0),IF(ISERROR(1/VLOOKUP($R128,Capa!$A:$Z,BN$5,0)),0,1/VLOOKUP($R128,Capa!$A:$Z,BN$5,0))))</f>
        <v/>
      </c>
      <c r="BO129" s="124" t="str">
        <f>IF(BO$6="","",IF(BO$3="Maior",iferror(VLOOKUP($R128,Capa!$A:$Z,BO$5,0),0),IF(ISERROR(1/VLOOKUP($R128,Capa!$A:$Z,BO$5,0)),0,1/VLOOKUP($R128,Capa!$A:$Z,BO$5,0))))</f>
        <v/>
      </c>
      <c r="BP129" s="124" t="str">
        <f>IF(BP$6="","",IF(BP$3="Maior",iferror(VLOOKUP($R128,Capa!$A:$Z,BP$5,0),0),IF(ISERROR(1/VLOOKUP($R128,Capa!$A:$Z,BP$5,0)),0,1/VLOOKUP($R128,Capa!$A:$Z,BP$5,0))))</f>
        <v/>
      </c>
      <c r="BQ129" s="124" t="str">
        <f>IF(BQ$6="","",IF(BQ$3="Maior",iferror(VLOOKUP($R128,Capa!$A:$Z,BQ$5,0),0),IF(ISERROR(1/VLOOKUP($R128,Capa!$A:$Z,BQ$5,0)),0,1/VLOOKUP($R128,Capa!$A:$Z,BQ$5,0))))</f>
        <v/>
      </c>
      <c r="BR129" s="125" t="str">
        <f>IF(BR$6="","",IF(BR$3="Maior",iferror(VLOOKUP($R128,Capa!$A:$Z,BR$5,0),0),IF(ISERROR(1/VLOOKUP($R128,Capa!$A:$Z,BR$5,0)),0,1/VLOOKUP($R128,Capa!$A:$Z,BR$5,0))))</f>
        <v/>
      </c>
      <c r="BS129" s="88"/>
    </row>
    <row r="130">
      <c r="G130" s="9"/>
      <c r="H130" s="7">
        <v>124.0</v>
      </c>
      <c r="I130" s="129" t="str">
        <f t="shared" si="7"/>
        <v>VSEC11</v>
      </c>
      <c r="J130" s="112" t="str">
        <f>VLOOKUP(I130,Capa!A:G,7,0)</f>
        <v>Recebíveis Imobiliários</v>
      </c>
      <c r="K130" s="113">
        <f t="shared" si="8"/>
        <v>0.003</v>
      </c>
      <c r="L130" s="113">
        <f t="shared" si="9"/>
        <v>0.0005795454545</v>
      </c>
      <c r="M130" s="113" t="str">
        <f t="shared" si="10"/>
        <v/>
      </c>
      <c r="N130" s="113" t="str">
        <f t="shared" si="11"/>
        <v/>
      </c>
      <c r="O130" s="114">
        <f t="shared" si="12"/>
        <v>0</v>
      </c>
      <c r="P130" s="9"/>
      <c r="Q130" s="9"/>
      <c r="R130" s="115" t="s">
        <v>153</v>
      </c>
      <c r="S130" s="116">
        <f t="shared" si="13"/>
        <v>1168.004326</v>
      </c>
      <c r="T130" s="117">
        <f>MID(VLOOKUP($R130,'Dados ClubeFII'!$A:$AU,23,0),3,100)/1</f>
        <v>6854.4</v>
      </c>
      <c r="U130" s="118">
        <f t="shared" si="14"/>
        <v>42.0042</v>
      </c>
      <c r="V130" s="118">
        <f t="shared" si="15"/>
        <v>126.000126</v>
      </c>
      <c r="W130" s="118" t="str">
        <f t="shared" ref="W130:AS130" si="139">IF(AV130="","", RANK(AV130,AV$7:AV$405,0))</f>
        <v/>
      </c>
      <c r="X130" s="118" t="str">
        <f t="shared" si="139"/>
        <v/>
      </c>
      <c r="Y130" s="118" t="str">
        <f t="shared" si="139"/>
        <v/>
      </c>
      <c r="Z130" s="118" t="str">
        <f t="shared" si="139"/>
        <v/>
      </c>
      <c r="AA130" s="118" t="str">
        <f t="shared" si="139"/>
        <v/>
      </c>
      <c r="AB130" s="118" t="str">
        <f t="shared" si="139"/>
        <v/>
      </c>
      <c r="AC130" s="118" t="str">
        <f t="shared" si="139"/>
        <v/>
      </c>
      <c r="AD130" s="118" t="str">
        <f t="shared" si="139"/>
        <v/>
      </c>
      <c r="AE130" s="118" t="str">
        <f t="shared" si="139"/>
        <v/>
      </c>
      <c r="AF130" s="118" t="str">
        <f t="shared" si="139"/>
        <v/>
      </c>
      <c r="AG130" s="118" t="str">
        <f t="shared" si="139"/>
        <v/>
      </c>
      <c r="AH130" s="118" t="str">
        <f t="shared" si="139"/>
        <v/>
      </c>
      <c r="AI130" s="118" t="str">
        <f t="shared" si="139"/>
        <v/>
      </c>
      <c r="AJ130" s="118" t="str">
        <f t="shared" si="139"/>
        <v/>
      </c>
      <c r="AK130" s="118" t="str">
        <f t="shared" si="139"/>
        <v/>
      </c>
      <c r="AL130" s="118" t="str">
        <f t="shared" si="139"/>
        <v/>
      </c>
      <c r="AM130" s="118" t="str">
        <f t="shared" si="139"/>
        <v/>
      </c>
      <c r="AN130" s="118" t="str">
        <f t="shared" si="139"/>
        <v/>
      </c>
      <c r="AO130" s="118" t="str">
        <f t="shared" si="139"/>
        <v/>
      </c>
      <c r="AP130" s="118" t="str">
        <f t="shared" si="139"/>
        <v/>
      </c>
      <c r="AQ130" s="118" t="str">
        <f t="shared" si="139"/>
        <v/>
      </c>
      <c r="AR130" s="118" t="str">
        <f t="shared" si="139"/>
        <v/>
      </c>
      <c r="AS130" s="118" t="str">
        <f t="shared" si="139"/>
        <v/>
      </c>
      <c r="AT130" s="123">
        <f>IF(AT$6="","",IF(AT$3="Maior",iferror(VLOOKUP($R130,Capa!$A:$Z,AT$5,0),0),IF(ISERROR(1/VLOOKUP($R130,Capa!$A:$Z,AT$5,0)),0,1/VLOOKUP($R130,Capa!$A:$Z,AT$5,0))))</f>
        <v>1.479591764</v>
      </c>
      <c r="AU130" s="124">
        <f>IF(AU$6="","",IF(AU$3="Maior",iferror(VLOOKUP($R130,Capa!$A:$Z,AU$5,0),0),IF(ISERROR(1/VLOOKUP($R130,Capa!$A:$Z,AU$5,0)),0,1/VLOOKUP($R130,Capa!$A:$Z,AU$5,0))))</f>
        <v>0.09404954323</v>
      </c>
      <c r="AV130" s="124" t="str">
        <f>IF(AV$6="","",IF(AV$3="Maior",iferror(VLOOKUP($R129,Capa!$A:$Z,AV$5,0),0),IF(ISERROR(1/VLOOKUP($R129,Capa!$A:$Z,AV$5,0)),0,1/VLOOKUP($R129,Capa!$A:$Z,AV$5,0))))</f>
        <v/>
      </c>
      <c r="AW130" s="124" t="str">
        <f>IF(AW$6="","",IF(AW$3="Maior",iferror(VLOOKUP($R129,Capa!$A:$Z,AW$5,0),0),IF(ISERROR(1/VLOOKUP($R129,Capa!$A:$Z,AW$5,0)),0,1/VLOOKUP($R129,Capa!$A:$Z,AW$5,0))))</f>
        <v/>
      </c>
      <c r="AX130" s="124" t="str">
        <f>IF(AX$6="","",IF(AX$3="Maior",iferror(VLOOKUP($R129,Capa!$A:$Z,AX$5,0),0),IF(ISERROR(1/VLOOKUP($R129,Capa!$A:$Z,AX$5,0)),0,1/VLOOKUP($R129,Capa!$A:$Z,AX$5,0))))</f>
        <v/>
      </c>
      <c r="AY130" s="124" t="str">
        <f>IF(AY$6="","",IF(AY$3="Maior",iferror(VLOOKUP($R129,Capa!$A:$Z,AY$5,0),0),IF(ISERROR(1/VLOOKUP($R129,Capa!$A:$Z,AY$5,0)),0,1/VLOOKUP($R129,Capa!$A:$Z,AY$5,0))))</f>
        <v/>
      </c>
      <c r="AZ130" s="124" t="str">
        <f>IF(AZ$6="","",IF(AZ$3="Maior",iferror(VLOOKUP($R129,Capa!$A:$Z,AZ$5,0),0),IF(ISERROR(1/VLOOKUP($R129,Capa!$A:$Z,AZ$5,0)),0,1/VLOOKUP($R129,Capa!$A:$Z,AZ$5,0))))</f>
        <v/>
      </c>
      <c r="BA130" s="124" t="str">
        <f>IF(BA$6="","",IF(BA$3="Maior",iferror(VLOOKUP($R129,Capa!$A:$Z,BA$5,0),0),IF(ISERROR(1/VLOOKUP($R129,Capa!$A:$Z,BA$5,0)),0,1/VLOOKUP($R129,Capa!$A:$Z,BA$5,0))))</f>
        <v/>
      </c>
      <c r="BB130" s="124" t="str">
        <f>IF(BB$6="","",IF(BB$3="Maior",iferror(VLOOKUP($R129,Capa!$A:$Z,BB$5,0),0),IF(ISERROR(1/VLOOKUP($R129,Capa!$A:$Z,BB$5,0)),0,1/VLOOKUP($R129,Capa!$A:$Z,BB$5,0))))</f>
        <v/>
      </c>
      <c r="BC130" s="124" t="str">
        <f>IF(BC$6="","",IF(BC$3="Maior",iferror(VLOOKUP($R129,Capa!$A:$Z,BC$5,0),0),IF(ISERROR(1/VLOOKUP($R129,Capa!$A:$Z,BC$5,0)),0,1/VLOOKUP($R129,Capa!$A:$Z,BC$5,0))))</f>
        <v/>
      </c>
      <c r="BD130" s="124" t="str">
        <f>IF(BD$6="","",IF(BD$3="Maior",iferror(VLOOKUP($R129,Capa!$A:$Z,BD$5,0),0),IF(ISERROR(1/VLOOKUP($R129,Capa!$A:$Z,BD$5,0)),0,1/VLOOKUP($R129,Capa!$A:$Z,BD$5,0))))</f>
        <v/>
      </c>
      <c r="BE130" s="124" t="str">
        <f>IF(BE$6="","",IF(BE$3="Maior",iferror(VLOOKUP($R129,Capa!$A:$Z,BE$5,0),0),IF(ISERROR(1/VLOOKUP($R129,Capa!$A:$Z,BE$5,0)),0,1/VLOOKUP($R129,Capa!$A:$Z,BE$5,0))))</f>
        <v/>
      </c>
      <c r="BF130" s="124" t="str">
        <f>IF(BF$6="","",IF(BF$3="Maior",iferror(VLOOKUP($R129,Capa!$A:$Z,BF$5,0),0),IF(ISERROR(1/VLOOKUP($R129,Capa!$A:$Z,BF$5,0)),0,1/VLOOKUP($R129,Capa!$A:$Z,BF$5,0))))</f>
        <v/>
      </c>
      <c r="BG130" s="124" t="str">
        <f>IF(BG$6="","",IF(BG$3="Maior",iferror(VLOOKUP($R129,Capa!$A:$Z,BG$5,0),0),IF(ISERROR(1/VLOOKUP($R129,Capa!$A:$Z,BG$5,0)),0,1/VLOOKUP($R129,Capa!$A:$Z,BG$5,0))))</f>
        <v/>
      </c>
      <c r="BH130" s="124" t="str">
        <f>IF(BH$6="","",IF(BH$3="Maior",iferror(VLOOKUP($R129,Capa!$A:$Z,BH$5,0),0),IF(ISERROR(1/VLOOKUP($R129,Capa!$A:$Z,BH$5,0)),0,1/VLOOKUP($R129,Capa!$A:$Z,BH$5,0))))</f>
        <v/>
      </c>
      <c r="BI130" s="124" t="str">
        <f>IF(BI$6="","",IF(BI$3="Maior",iferror(VLOOKUP($R129,Capa!$A:$Z,BI$5,0),0),IF(ISERROR(1/VLOOKUP($R129,Capa!$A:$Z,BI$5,0)),0,1/VLOOKUP($R129,Capa!$A:$Z,BI$5,0))))</f>
        <v/>
      </c>
      <c r="BJ130" s="124" t="str">
        <f>IF(BJ$6="","",IF(BJ$3="Maior",iferror(VLOOKUP($R129,Capa!$A:$Z,BJ$5,0),0),IF(ISERROR(1/VLOOKUP($R129,Capa!$A:$Z,BJ$5,0)),0,1/VLOOKUP($R129,Capa!$A:$Z,BJ$5,0))))</f>
        <v/>
      </c>
      <c r="BK130" s="124" t="str">
        <f>IF(BK$6="","",IF(BK$3="Maior",iferror(VLOOKUP($R129,Capa!$A:$Z,BK$5,0),0),IF(ISERROR(1/VLOOKUP($R129,Capa!$A:$Z,BK$5,0)),0,1/VLOOKUP($R129,Capa!$A:$Z,BK$5,0))))</f>
        <v/>
      </c>
      <c r="BL130" s="124" t="str">
        <f>IF(BL$6="","",IF(BL$3="Maior",iferror(VLOOKUP($R129,Capa!$A:$Z,BL$5,0),0),IF(ISERROR(1/VLOOKUP($R129,Capa!$A:$Z,BL$5,0)),0,1/VLOOKUP($R129,Capa!$A:$Z,BL$5,0))))</f>
        <v/>
      </c>
      <c r="BM130" s="124" t="str">
        <f>IF(BM$6="","",IF(BM$3="Maior",iferror(VLOOKUP($R129,Capa!$A:$Z,BM$5,0),0),IF(ISERROR(1/VLOOKUP($R129,Capa!$A:$Z,BM$5,0)),0,1/VLOOKUP($R129,Capa!$A:$Z,BM$5,0))))</f>
        <v/>
      </c>
      <c r="BN130" s="124" t="str">
        <f>IF(BN$6="","",IF(BN$3="Maior",iferror(VLOOKUP($R129,Capa!$A:$Z,BN$5,0),0),IF(ISERROR(1/VLOOKUP($R129,Capa!$A:$Z,BN$5,0)),0,1/VLOOKUP($R129,Capa!$A:$Z,BN$5,0))))</f>
        <v/>
      </c>
      <c r="BO130" s="124" t="str">
        <f>IF(BO$6="","",IF(BO$3="Maior",iferror(VLOOKUP($R129,Capa!$A:$Z,BO$5,0),0),IF(ISERROR(1/VLOOKUP($R129,Capa!$A:$Z,BO$5,0)),0,1/VLOOKUP($R129,Capa!$A:$Z,BO$5,0))))</f>
        <v/>
      </c>
      <c r="BP130" s="124" t="str">
        <f>IF(BP$6="","",IF(BP$3="Maior",iferror(VLOOKUP($R129,Capa!$A:$Z,BP$5,0),0),IF(ISERROR(1/VLOOKUP($R129,Capa!$A:$Z,BP$5,0)),0,1/VLOOKUP($R129,Capa!$A:$Z,BP$5,0))))</f>
        <v/>
      </c>
      <c r="BQ130" s="124" t="str">
        <f>IF(BQ$6="","",IF(BQ$3="Maior",iferror(VLOOKUP($R129,Capa!$A:$Z,BQ$5,0),0),IF(ISERROR(1/VLOOKUP($R129,Capa!$A:$Z,BQ$5,0)),0,1/VLOOKUP($R129,Capa!$A:$Z,BQ$5,0))))</f>
        <v/>
      </c>
      <c r="BR130" s="125" t="str">
        <f>IF(BR$6="","",IF(BR$3="Maior",iferror(VLOOKUP($R129,Capa!$A:$Z,BR$5,0),0),IF(ISERROR(1/VLOOKUP($R129,Capa!$A:$Z,BR$5,0)),0,1/VLOOKUP($R129,Capa!$A:$Z,BR$5,0))))</f>
        <v/>
      </c>
      <c r="BS130" s="88"/>
    </row>
    <row r="131">
      <c r="G131" s="9"/>
      <c r="H131" s="7">
        <v>125.0</v>
      </c>
      <c r="I131" s="111" t="str">
        <f t="shared" si="7"/>
        <v>CNES11</v>
      </c>
      <c r="J131" s="112" t="str">
        <f>VLOOKUP(I131,Capa!A:G,7,0)</f>
        <v>Lajes Comerciais</v>
      </c>
      <c r="K131" s="113">
        <f t="shared" si="8"/>
        <v>0.3592754109</v>
      </c>
      <c r="L131" s="113">
        <f t="shared" si="9"/>
        <v>0.03962009393</v>
      </c>
      <c r="M131" s="113" t="str">
        <f t="shared" si="10"/>
        <v/>
      </c>
      <c r="N131" s="113" t="str">
        <f t="shared" si="11"/>
        <v/>
      </c>
      <c r="O131" s="114">
        <f t="shared" si="12"/>
        <v>2393.73</v>
      </c>
      <c r="P131" s="9"/>
      <c r="Q131" s="9"/>
      <c r="R131" s="127" t="s">
        <v>56</v>
      </c>
      <c r="S131" s="116">
        <f t="shared" si="13"/>
        <v>1367.018781</v>
      </c>
      <c r="T131" s="117">
        <f>MID(VLOOKUP($R131,'Dados ClubeFII'!$A:$AU,23,0),3,100)/1</f>
        <v>0</v>
      </c>
      <c r="U131" s="118">
        <f t="shared" si="14"/>
        <v>186.0186</v>
      </c>
      <c r="V131" s="118">
        <f t="shared" si="15"/>
        <v>181.000181</v>
      </c>
      <c r="W131" s="118" t="str">
        <f t="shared" ref="W131:AS131" si="140">IF(AV131="","", RANK(AV131,AV$7:AV$405,0))</f>
        <v/>
      </c>
      <c r="X131" s="118" t="str">
        <f t="shared" si="140"/>
        <v/>
      </c>
      <c r="Y131" s="118" t="str">
        <f t="shared" si="140"/>
        <v/>
      </c>
      <c r="Z131" s="118" t="str">
        <f t="shared" si="140"/>
        <v/>
      </c>
      <c r="AA131" s="118" t="str">
        <f t="shared" si="140"/>
        <v/>
      </c>
      <c r="AB131" s="118" t="str">
        <f t="shared" si="140"/>
        <v/>
      </c>
      <c r="AC131" s="118" t="str">
        <f t="shared" si="140"/>
        <v/>
      </c>
      <c r="AD131" s="118" t="str">
        <f t="shared" si="140"/>
        <v/>
      </c>
      <c r="AE131" s="118" t="str">
        <f t="shared" si="140"/>
        <v/>
      </c>
      <c r="AF131" s="118" t="str">
        <f t="shared" si="140"/>
        <v/>
      </c>
      <c r="AG131" s="118" t="str">
        <f t="shared" si="140"/>
        <v/>
      </c>
      <c r="AH131" s="118" t="str">
        <f t="shared" si="140"/>
        <v/>
      </c>
      <c r="AI131" s="118" t="str">
        <f t="shared" si="140"/>
        <v/>
      </c>
      <c r="AJ131" s="118" t="str">
        <f t="shared" si="140"/>
        <v/>
      </c>
      <c r="AK131" s="118" t="str">
        <f t="shared" si="140"/>
        <v/>
      </c>
      <c r="AL131" s="118" t="str">
        <f t="shared" si="140"/>
        <v/>
      </c>
      <c r="AM131" s="118" t="str">
        <f t="shared" si="140"/>
        <v/>
      </c>
      <c r="AN131" s="118" t="str">
        <f t="shared" si="140"/>
        <v/>
      </c>
      <c r="AO131" s="118" t="str">
        <f t="shared" si="140"/>
        <v/>
      </c>
      <c r="AP131" s="118" t="str">
        <f t="shared" si="140"/>
        <v/>
      </c>
      <c r="AQ131" s="118" t="str">
        <f t="shared" si="140"/>
        <v/>
      </c>
      <c r="AR131" s="118" t="str">
        <f t="shared" si="140"/>
        <v/>
      </c>
      <c r="AS131" s="118" t="str">
        <f t="shared" si="140"/>
        <v/>
      </c>
      <c r="AT131" s="123">
        <f>IF(AT$6="","",IF(AT$3="Maior",iferror(VLOOKUP($R131,Capa!$A:$Z,AT$5,0),0),IF(ISERROR(1/VLOOKUP($R131,Capa!$A:$Z,AT$5,0)),0,1/VLOOKUP($R131,Capa!$A:$Z,AT$5,0))))</f>
        <v>0</v>
      </c>
      <c r="AU131" s="124">
        <f>IF(AU$6="","",IF(AU$3="Maior",iferror(VLOOKUP($R131,Capa!$A:$Z,AU$5,0),0),IF(ISERROR(1/VLOOKUP($R131,Capa!$A:$Z,AU$5,0)),0,1/VLOOKUP($R131,Capa!$A:$Z,AU$5,0))))</f>
        <v>0</v>
      </c>
      <c r="AV131" s="124" t="str">
        <f>IF(AV$6="","",IF(AV$3="Maior",iferror(VLOOKUP($R130,Capa!$A:$Z,AV$5,0),0),IF(ISERROR(1/VLOOKUP($R130,Capa!$A:$Z,AV$5,0)),0,1/VLOOKUP($R130,Capa!$A:$Z,AV$5,0))))</f>
        <v/>
      </c>
      <c r="AW131" s="124" t="str">
        <f>IF(AW$6="","",IF(AW$3="Maior",iferror(VLOOKUP($R130,Capa!$A:$Z,AW$5,0),0),IF(ISERROR(1/VLOOKUP($R130,Capa!$A:$Z,AW$5,0)),0,1/VLOOKUP($R130,Capa!$A:$Z,AW$5,0))))</f>
        <v/>
      </c>
      <c r="AX131" s="124" t="str">
        <f>IF(AX$6="","",IF(AX$3="Maior",iferror(VLOOKUP($R130,Capa!$A:$Z,AX$5,0),0),IF(ISERROR(1/VLOOKUP($R130,Capa!$A:$Z,AX$5,0)),0,1/VLOOKUP($R130,Capa!$A:$Z,AX$5,0))))</f>
        <v/>
      </c>
      <c r="AY131" s="124" t="str">
        <f>IF(AY$6="","",IF(AY$3="Maior",iferror(VLOOKUP($R130,Capa!$A:$Z,AY$5,0),0),IF(ISERROR(1/VLOOKUP($R130,Capa!$A:$Z,AY$5,0)),0,1/VLOOKUP($R130,Capa!$A:$Z,AY$5,0))))</f>
        <v/>
      </c>
      <c r="AZ131" s="124" t="str">
        <f>IF(AZ$6="","",IF(AZ$3="Maior",iferror(VLOOKUP($R130,Capa!$A:$Z,AZ$5,0),0),IF(ISERROR(1/VLOOKUP($R130,Capa!$A:$Z,AZ$5,0)),0,1/VLOOKUP($R130,Capa!$A:$Z,AZ$5,0))))</f>
        <v/>
      </c>
      <c r="BA131" s="124" t="str">
        <f>IF(BA$6="","",IF(BA$3="Maior",iferror(VLOOKUP($R130,Capa!$A:$Z,BA$5,0),0),IF(ISERROR(1/VLOOKUP($R130,Capa!$A:$Z,BA$5,0)),0,1/VLOOKUP($R130,Capa!$A:$Z,BA$5,0))))</f>
        <v/>
      </c>
      <c r="BB131" s="124" t="str">
        <f>IF(BB$6="","",IF(BB$3="Maior",iferror(VLOOKUP($R130,Capa!$A:$Z,BB$5,0),0),IF(ISERROR(1/VLOOKUP($R130,Capa!$A:$Z,BB$5,0)),0,1/VLOOKUP($R130,Capa!$A:$Z,BB$5,0))))</f>
        <v/>
      </c>
      <c r="BC131" s="124" t="str">
        <f>IF(BC$6="","",IF(BC$3="Maior",iferror(VLOOKUP($R130,Capa!$A:$Z,BC$5,0),0),IF(ISERROR(1/VLOOKUP($R130,Capa!$A:$Z,BC$5,0)),0,1/VLOOKUP($R130,Capa!$A:$Z,BC$5,0))))</f>
        <v/>
      </c>
      <c r="BD131" s="124" t="str">
        <f>IF(BD$6="","",IF(BD$3="Maior",iferror(VLOOKUP($R130,Capa!$A:$Z,BD$5,0),0),IF(ISERROR(1/VLOOKUP($R130,Capa!$A:$Z,BD$5,0)),0,1/VLOOKUP($R130,Capa!$A:$Z,BD$5,0))))</f>
        <v/>
      </c>
      <c r="BE131" s="124" t="str">
        <f>IF(BE$6="","",IF(BE$3="Maior",iferror(VLOOKUP($R130,Capa!$A:$Z,BE$5,0),0),IF(ISERROR(1/VLOOKUP($R130,Capa!$A:$Z,BE$5,0)),0,1/VLOOKUP($R130,Capa!$A:$Z,BE$5,0))))</f>
        <v/>
      </c>
      <c r="BF131" s="124" t="str">
        <f>IF(BF$6="","",IF(BF$3="Maior",iferror(VLOOKUP($R130,Capa!$A:$Z,BF$5,0),0),IF(ISERROR(1/VLOOKUP($R130,Capa!$A:$Z,BF$5,0)),0,1/VLOOKUP($R130,Capa!$A:$Z,BF$5,0))))</f>
        <v/>
      </c>
      <c r="BG131" s="124" t="str">
        <f>IF(BG$6="","",IF(BG$3="Maior",iferror(VLOOKUP($R130,Capa!$A:$Z,BG$5,0),0),IF(ISERROR(1/VLOOKUP($R130,Capa!$A:$Z,BG$5,0)),0,1/VLOOKUP($R130,Capa!$A:$Z,BG$5,0))))</f>
        <v/>
      </c>
      <c r="BH131" s="124" t="str">
        <f>IF(BH$6="","",IF(BH$3="Maior",iferror(VLOOKUP($R130,Capa!$A:$Z,BH$5,0),0),IF(ISERROR(1/VLOOKUP($R130,Capa!$A:$Z,BH$5,0)),0,1/VLOOKUP($R130,Capa!$A:$Z,BH$5,0))))</f>
        <v/>
      </c>
      <c r="BI131" s="124" t="str">
        <f>IF(BI$6="","",IF(BI$3="Maior",iferror(VLOOKUP($R130,Capa!$A:$Z,BI$5,0),0),IF(ISERROR(1/VLOOKUP($R130,Capa!$A:$Z,BI$5,0)),0,1/VLOOKUP($R130,Capa!$A:$Z,BI$5,0))))</f>
        <v/>
      </c>
      <c r="BJ131" s="124" t="str">
        <f>IF(BJ$6="","",IF(BJ$3="Maior",iferror(VLOOKUP($R130,Capa!$A:$Z,BJ$5,0),0),IF(ISERROR(1/VLOOKUP($R130,Capa!$A:$Z,BJ$5,0)),0,1/VLOOKUP($R130,Capa!$A:$Z,BJ$5,0))))</f>
        <v/>
      </c>
      <c r="BK131" s="124" t="str">
        <f>IF(BK$6="","",IF(BK$3="Maior",iferror(VLOOKUP($R130,Capa!$A:$Z,BK$5,0),0),IF(ISERROR(1/VLOOKUP($R130,Capa!$A:$Z,BK$5,0)),0,1/VLOOKUP($R130,Capa!$A:$Z,BK$5,0))))</f>
        <v/>
      </c>
      <c r="BL131" s="124" t="str">
        <f>IF(BL$6="","",IF(BL$3="Maior",iferror(VLOOKUP($R130,Capa!$A:$Z,BL$5,0),0),IF(ISERROR(1/VLOOKUP($R130,Capa!$A:$Z,BL$5,0)),0,1/VLOOKUP($R130,Capa!$A:$Z,BL$5,0))))</f>
        <v/>
      </c>
      <c r="BM131" s="124" t="str">
        <f>IF(BM$6="","",IF(BM$3="Maior",iferror(VLOOKUP($R130,Capa!$A:$Z,BM$5,0),0),IF(ISERROR(1/VLOOKUP($R130,Capa!$A:$Z,BM$5,0)),0,1/VLOOKUP($R130,Capa!$A:$Z,BM$5,0))))</f>
        <v/>
      </c>
      <c r="BN131" s="124" t="str">
        <f>IF(BN$6="","",IF(BN$3="Maior",iferror(VLOOKUP($R130,Capa!$A:$Z,BN$5,0),0),IF(ISERROR(1/VLOOKUP($R130,Capa!$A:$Z,BN$5,0)),0,1/VLOOKUP($R130,Capa!$A:$Z,BN$5,0))))</f>
        <v/>
      </c>
      <c r="BO131" s="124" t="str">
        <f>IF(BO$6="","",IF(BO$3="Maior",iferror(VLOOKUP($R130,Capa!$A:$Z,BO$5,0),0),IF(ISERROR(1/VLOOKUP($R130,Capa!$A:$Z,BO$5,0)),0,1/VLOOKUP($R130,Capa!$A:$Z,BO$5,0))))</f>
        <v/>
      </c>
      <c r="BP131" s="124" t="str">
        <f>IF(BP$6="","",IF(BP$3="Maior",iferror(VLOOKUP($R130,Capa!$A:$Z,BP$5,0),0),IF(ISERROR(1/VLOOKUP($R130,Capa!$A:$Z,BP$5,0)),0,1/VLOOKUP($R130,Capa!$A:$Z,BP$5,0))))</f>
        <v/>
      </c>
      <c r="BQ131" s="124" t="str">
        <f>IF(BQ$6="","",IF(BQ$3="Maior",iferror(VLOOKUP($R130,Capa!$A:$Z,BQ$5,0),0),IF(ISERROR(1/VLOOKUP($R130,Capa!$A:$Z,BQ$5,0)),0,1/VLOOKUP($R130,Capa!$A:$Z,BQ$5,0))))</f>
        <v/>
      </c>
      <c r="BR131" s="125" t="str">
        <f>IF(BR$6="","",IF(BR$3="Maior",iferror(VLOOKUP($R130,Capa!$A:$Z,BR$5,0),0),IF(ISERROR(1/VLOOKUP($R130,Capa!$A:$Z,BR$5,0)),0,1/VLOOKUP($R130,Capa!$A:$Z,BR$5,0))))</f>
        <v/>
      </c>
      <c r="BS131" s="88"/>
    </row>
    <row r="132">
      <c r="G132" s="9"/>
      <c r="H132" s="7">
        <v>126.0</v>
      </c>
      <c r="I132" s="129" t="str">
        <f t="shared" si="7"/>
        <v>RCRB11</v>
      </c>
      <c r="J132" s="112" t="str">
        <f>VLOOKUP(I132,Capa!A:G,7,0)</f>
        <v>Lajes Comerciais</v>
      </c>
      <c r="K132" s="113">
        <f t="shared" si="8"/>
        <v>0.5499030837</v>
      </c>
      <c r="L132" s="113">
        <f t="shared" si="9"/>
        <v>0.07208729515</v>
      </c>
      <c r="M132" s="113" t="str">
        <f t="shared" si="10"/>
        <v/>
      </c>
      <c r="N132" s="113" t="str">
        <f t="shared" si="11"/>
        <v/>
      </c>
      <c r="O132" s="114">
        <f t="shared" si="12"/>
        <v>458063.05</v>
      </c>
      <c r="P132" s="9"/>
      <c r="Q132" s="9"/>
      <c r="R132" s="115" t="s">
        <v>147</v>
      </c>
      <c r="S132" s="116">
        <f t="shared" si="13"/>
        <v>1276.012651</v>
      </c>
      <c r="T132" s="117">
        <f>MID(VLOOKUP($R132,'Dados ClubeFII'!$A:$AU,23,0),3,100)/1</f>
        <v>235866.13</v>
      </c>
      <c r="U132" s="118">
        <f t="shared" si="14"/>
        <v>125.0125</v>
      </c>
      <c r="V132" s="118">
        <f t="shared" si="15"/>
        <v>151.000151</v>
      </c>
      <c r="W132" s="118" t="str">
        <f t="shared" ref="W132:AS132" si="141">IF(AV132="","", RANK(AV132,AV$7:AV$405,0))</f>
        <v/>
      </c>
      <c r="X132" s="118" t="str">
        <f t="shared" si="141"/>
        <v/>
      </c>
      <c r="Y132" s="118" t="str">
        <f t="shared" si="141"/>
        <v/>
      </c>
      <c r="Z132" s="118" t="str">
        <f t="shared" si="141"/>
        <v/>
      </c>
      <c r="AA132" s="118" t="str">
        <f t="shared" si="141"/>
        <v/>
      </c>
      <c r="AB132" s="118" t="str">
        <f t="shared" si="141"/>
        <v/>
      </c>
      <c r="AC132" s="118" t="str">
        <f t="shared" si="141"/>
        <v/>
      </c>
      <c r="AD132" s="118" t="str">
        <f t="shared" si="141"/>
        <v/>
      </c>
      <c r="AE132" s="118" t="str">
        <f t="shared" si="141"/>
        <v/>
      </c>
      <c r="AF132" s="118" t="str">
        <f t="shared" si="141"/>
        <v/>
      </c>
      <c r="AG132" s="118" t="str">
        <f t="shared" si="141"/>
        <v/>
      </c>
      <c r="AH132" s="118" t="str">
        <f t="shared" si="141"/>
        <v/>
      </c>
      <c r="AI132" s="118" t="str">
        <f t="shared" si="141"/>
        <v/>
      </c>
      <c r="AJ132" s="118" t="str">
        <f t="shared" si="141"/>
        <v/>
      </c>
      <c r="AK132" s="118" t="str">
        <f t="shared" si="141"/>
        <v/>
      </c>
      <c r="AL132" s="118" t="str">
        <f t="shared" si="141"/>
        <v/>
      </c>
      <c r="AM132" s="118" t="str">
        <f t="shared" si="141"/>
        <v/>
      </c>
      <c r="AN132" s="118" t="str">
        <f t="shared" si="141"/>
        <v/>
      </c>
      <c r="AO132" s="118" t="str">
        <f t="shared" si="141"/>
        <v/>
      </c>
      <c r="AP132" s="118" t="str">
        <f t="shared" si="141"/>
        <v/>
      </c>
      <c r="AQ132" s="118" t="str">
        <f t="shared" si="141"/>
        <v/>
      </c>
      <c r="AR132" s="118" t="str">
        <f t="shared" si="141"/>
        <v/>
      </c>
      <c r="AS132" s="118" t="str">
        <f t="shared" si="141"/>
        <v/>
      </c>
      <c r="AT132" s="123">
        <f>IF(AT$6="","",IF(AT$3="Maior",iferror(VLOOKUP($R132,Capa!$A:$Z,AT$5,0),0),IF(ISERROR(1/VLOOKUP($R132,Capa!$A:$Z,AT$5,0)),0,1/VLOOKUP($R132,Capa!$A:$Z,AT$5,0))))</f>
        <v>1.138276144</v>
      </c>
      <c r="AU132" s="124">
        <f>IF(AU$6="","",IF(AU$3="Maior",iferror(VLOOKUP($R132,Capa!$A:$Z,AU$5,0),0),IF(ISERROR(1/VLOOKUP($R132,Capa!$A:$Z,AU$5,0)),0,1/VLOOKUP($R132,Capa!$A:$Z,AU$5,0))))</f>
        <v>0.0809886955</v>
      </c>
      <c r="AV132" s="124" t="str">
        <f>IF(AV$6="","",IF(AV$3="Maior",iferror(VLOOKUP($R131,Capa!$A:$Z,AV$5,0),0),IF(ISERROR(1/VLOOKUP($R131,Capa!$A:$Z,AV$5,0)),0,1/VLOOKUP($R131,Capa!$A:$Z,AV$5,0))))</f>
        <v/>
      </c>
      <c r="AW132" s="124" t="str">
        <f>IF(AW$6="","",IF(AW$3="Maior",iferror(VLOOKUP($R131,Capa!$A:$Z,AW$5,0),0),IF(ISERROR(1/VLOOKUP($R131,Capa!$A:$Z,AW$5,0)),0,1/VLOOKUP($R131,Capa!$A:$Z,AW$5,0))))</f>
        <v/>
      </c>
      <c r="AX132" s="124" t="str">
        <f>IF(AX$6="","",IF(AX$3="Maior",iferror(VLOOKUP($R131,Capa!$A:$Z,AX$5,0),0),IF(ISERROR(1/VLOOKUP($R131,Capa!$A:$Z,AX$5,0)),0,1/VLOOKUP($R131,Capa!$A:$Z,AX$5,0))))</f>
        <v/>
      </c>
      <c r="AY132" s="124" t="str">
        <f>IF(AY$6="","",IF(AY$3="Maior",iferror(VLOOKUP($R131,Capa!$A:$Z,AY$5,0),0),IF(ISERROR(1/VLOOKUP($R131,Capa!$A:$Z,AY$5,0)),0,1/VLOOKUP($R131,Capa!$A:$Z,AY$5,0))))</f>
        <v/>
      </c>
      <c r="AZ132" s="124" t="str">
        <f>IF(AZ$6="","",IF(AZ$3="Maior",iferror(VLOOKUP($R131,Capa!$A:$Z,AZ$5,0),0),IF(ISERROR(1/VLOOKUP($R131,Capa!$A:$Z,AZ$5,0)),0,1/VLOOKUP($R131,Capa!$A:$Z,AZ$5,0))))</f>
        <v/>
      </c>
      <c r="BA132" s="124" t="str">
        <f>IF(BA$6="","",IF(BA$3="Maior",iferror(VLOOKUP($R131,Capa!$A:$Z,BA$5,0),0),IF(ISERROR(1/VLOOKUP($R131,Capa!$A:$Z,BA$5,0)),0,1/VLOOKUP($R131,Capa!$A:$Z,BA$5,0))))</f>
        <v/>
      </c>
      <c r="BB132" s="124" t="str">
        <f>IF(BB$6="","",IF(BB$3="Maior",iferror(VLOOKUP($R131,Capa!$A:$Z,BB$5,0),0),IF(ISERROR(1/VLOOKUP($R131,Capa!$A:$Z,BB$5,0)),0,1/VLOOKUP($R131,Capa!$A:$Z,BB$5,0))))</f>
        <v/>
      </c>
      <c r="BC132" s="124" t="str">
        <f>IF(BC$6="","",IF(BC$3="Maior",iferror(VLOOKUP($R131,Capa!$A:$Z,BC$5,0),0),IF(ISERROR(1/VLOOKUP($R131,Capa!$A:$Z,BC$5,0)),0,1/VLOOKUP($R131,Capa!$A:$Z,BC$5,0))))</f>
        <v/>
      </c>
      <c r="BD132" s="124" t="str">
        <f>IF(BD$6="","",IF(BD$3="Maior",iferror(VLOOKUP($R131,Capa!$A:$Z,BD$5,0),0),IF(ISERROR(1/VLOOKUP($R131,Capa!$A:$Z,BD$5,0)),0,1/VLOOKUP($R131,Capa!$A:$Z,BD$5,0))))</f>
        <v/>
      </c>
      <c r="BE132" s="124" t="str">
        <f>IF(BE$6="","",IF(BE$3="Maior",iferror(VLOOKUP($R131,Capa!$A:$Z,BE$5,0),0),IF(ISERROR(1/VLOOKUP($R131,Capa!$A:$Z,BE$5,0)),0,1/VLOOKUP($R131,Capa!$A:$Z,BE$5,0))))</f>
        <v/>
      </c>
      <c r="BF132" s="124" t="str">
        <f>IF(BF$6="","",IF(BF$3="Maior",iferror(VLOOKUP($R131,Capa!$A:$Z,BF$5,0),0),IF(ISERROR(1/VLOOKUP($R131,Capa!$A:$Z,BF$5,0)),0,1/VLOOKUP($R131,Capa!$A:$Z,BF$5,0))))</f>
        <v/>
      </c>
      <c r="BG132" s="124" t="str">
        <f>IF(BG$6="","",IF(BG$3="Maior",iferror(VLOOKUP($R131,Capa!$A:$Z,BG$5,0),0),IF(ISERROR(1/VLOOKUP($R131,Capa!$A:$Z,BG$5,0)),0,1/VLOOKUP($R131,Capa!$A:$Z,BG$5,0))))</f>
        <v/>
      </c>
      <c r="BH132" s="124" t="str">
        <f>IF(BH$6="","",IF(BH$3="Maior",iferror(VLOOKUP($R131,Capa!$A:$Z,BH$5,0),0),IF(ISERROR(1/VLOOKUP($R131,Capa!$A:$Z,BH$5,0)),0,1/VLOOKUP($R131,Capa!$A:$Z,BH$5,0))))</f>
        <v/>
      </c>
      <c r="BI132" s="124" t="str">
        <f>IF(BI$6="","",IF(BI$3="Maior",iferror(VLOOKUP($R131,Capa!$A:$Z,BI$5,0),0),IF(ISERROR(1/VLOOKUP($R131,Capa!$A:$Z,BI$5,0)),0,1/VLOOKUP($R131,Capa!$A:$Z,BI$5,0))))</f>
        <v/>
      </c>
      <c r="BJ132" s="124" t="str">
        <f>IF(BJ$6="","",IF(BJ$3="Maior",iferror(VLOOKUP($R131,Capa!$A:$Z,BJ$5,0),0),IF(ISERROR(1/VLOOKUP($R131,Capa!$A:$Z,BJ$5,0)),0,1/VLOOKUP($R131,Capa!$A:$Z,BJ$5,0))))</f>
        <v/>
      </c>
      <c r="BK132" s="124" t="str">
        <f>IF(BK$6="","",IF(BK$3="Maior",iferror(VLOOKUP($R131,Capa!$A:$Z,BK$5,0),0),IF(ISERROR(1/VLOOKUP($R131,Capa!$A:$Z,BK$5,0)),0,1/VLOOKUP($R131,Capa!$A:$Z,BK$5,0))))</f>
        <v/>
      </c>
      <c r="BL132" s="124" t="str">
        <f>IF(BL$6="","",IF(BL$3="Maior",iferror(VLOOKUP($R131,Capa!$A:$Z,BL$5,0),0),IF(ISERROR(1/VLOOKUP($R131,Capa!$A:$Z,BL$5,0)),0,1/VLOOKUP($R131,Capa!$A:$Z,BL$5,0))))</f>
        <v/>
      </c>
      <c r="BM132" s="124" t="str">
        <f>IF(BM$6="","",IF(BM$3="Maior",iferror(VLOOKUP($R131,Capa!$A:$Z,BM$5,0),0),IF(ISERROR(1/VLOOKUP($R131,Capa!$A:$Z,BM$5,0)),0,1/VLOOKUP($R131,Capa!$A:$Z,BM$5,0))))</f>
        <v/>
      </c>
      <c r="BN132" s="124" t="str">
        <f>IF(BN$6="","",IF(BN$3="Maior",iferror(VLOOKUP($R131,Capa!$A:$Z,BN$5,0),0),IF(ISERROR(1/VLOOKUP($R131,Capa!$A:$Z,BN$5,0)),0,1/VLOOKUP($R131,Capa!$A:$Z,BN$5,0))))</f>
        <v/>
      </c>
      <c r="BO132" s="124" t="str">
        <f>IF(BO$6="","",IF(BO$3="Maior",iferror(VLOOKUP($R131,Capa!$A:$Z,BO$5,0),0),IF(ISERROR(1/VLOOKUP($R131,Capa!$A:$Z,BO$5,0)),0,1/VLOOKUP($R131,Capa!$A:$Z,BO$5,0))))</f>
        <v/>
      </c>
      <c r="BP132" s="124" t="str">
        <f>IF(BP$6="","",IF(BP$3="Maior",iferror(VLOOKUP($R131,Capa!$A:$Z,BP$5,0),0),IF(ISERROR(1/VLOOKUP($R131,Capa!$A:$Z,BP$5,0)),0,1/VLOOKUP($R131,Capa!$A:$Z,BP$5,0))))</f>
        <v/>
      </c>
      <c r="BQ132" s="124" t="str">
        <f>IF(BQ$6="","",IF(BQ$3="Maior",iferror(VLOOKUP($R131,Capa!$A:$Z,BQ$5,0),0),IF(ISERROR(1/VLOOKUP($R131,Capa!$A:$Z,BQ$5,0)),0,1/VLOOKUP($R131,Capa!$A:$Z,BQ$5,0))))</f>
        <v/>
      </c>
      <c r="BR132" s="125" t="str">
        <f>IF(BR$6="","",IF(BR$3="Maior",iferror(VLOOKUP($R131,Capa!$A:$Z,BR$5,0),0),IF(ISERROR(1/VLOOKUP($R131,Capa!$A:$Z,BR$5,0)),0,1/VLOOKUP($R131,Capa!$A:$Z,BR$5,0))))</f>
        <v/>
      </c>
      <c r="BS132" s="88"/>
    </row>
    <row r="133">
      <c r="G133" s="9"/>
      <c r="H133" s="7">
        <v>127.0</v>
      </c>
      <c r="I133" s="111" t="str">
        <f t="shared" si="7"/>
        <v>HGFF11</v>
      </c>
      <c r="J133" s="112" t="str">
        <f>VLOOKUP(I133,Capa!A:G,7,0)</f>
        <v>Fundo de Fundos</v>
      </c>
      <c r="K133" s="113">
        <f t="shared" si="8"/>
        <v>0.8283044176</v>
      </c>
      <c r="L133" s="113">
        <f t="shared" si="9"/>
        <v>0.1133038635</v>
      </c>
      <c r="M133" s="113" t="str">
        <f t="shared" si="10"/>
        <v/>
      </c>
      <c r="N133" s="113" t="str">
        <f t="shared" si="11"/>
        <v/>
      </c>
      <c r="O133" s="114">
        <f t="shared" si="12"/>
        <v>505356.56</v>
      </c>
      <c r="P133" s="9"/>
      <c r="Q133" s="9"/>
      <c r="R133" s="115" t="s">
        <v>164</v>
      </c>
      <c r="S133" s="116">
        <f t="shared" si="13"/>
        <v>1273.010767</v>
      </c>
      <c r="T133" s="117">
        <f>MID(VLOOKUP($R133,'Dados ClubeFII'!$A:$AU,23,0),3,100)/1</f>
        <v>67776.38</v>
      </c>
      <c r="U133" s="118">
        <f t="shared" si="14"/>
        <v>106.0106</v>
      </c>
      <c r="V133" s="118">
        <f t="shared" si="15"/>
        <v>167.000167</v>
      </c>
      <c r="W133" s="118" t="str">
        <f t="shared" ref="W133:AS133" si="142">IF(AV133="","", RANK(AV133,AV$7:AV$405,0))</f>
        <v/>
      </c>
      <c r="X133" s="118" t="str">
        <f t="shared" si="142"/>
        <v/>
      </c>
      <c r="Y133" s="118" t="str">
        <f t="shared" si="142"/>
        <v/>
      </c>
      <c r="Z133" s="118" t="str">
        <f t="shared" si="142"/>
        <v/>
      </c>
      <c r="AA133" s="118" t="str">
        <f t="shared" si="142"/>
        <v/>
      </c>
      <c r="AB133" s="118" t="str">
        <f t="shared" si="142"/>
        <v/>
      </c>
      <c r="AC133" s="118" t="str">
        <f t="shared" si="142"/>
        <v/>
      </c>
      <c r="AD133" s="118" t="str">
        <f t="shared" si="142"/>
        <v/>
      </c>
      <c r="AE133" s="118" t="str">
        <f t="shared" si="142"/>
        <v/>
      </c>
      <c r="AF133" s="118" t="str">
        <f t="shared" si="142"/>
        <v/>
      </c>
      <c r="AG133" s="118" t="str">
        <f t="shared" si="142"/>
        <v/>
      </c>
      <c r="AH133" s="118" t="str">
        <f t="shared" si="142"/>
        <v/>
      </c>
      <c r="AI133" s="118" t="str">
        <f t="shared" si="142"/>
        <v/>
      </c>
      <c r="AJ133" s="118" t="str">
        <f t="shared" si="142"/>
        <v/>
      </c>
      <c r="AK133" s="118" t="str">
        <f t="shared" si="142"/>
        <v/>
      </c>
      <c r="AL133" s="118" t="str">
        <f t="shared" si="142"/>
        <v/>
      </c>
      <c r="AM133" s="118" t="str">
        <f t="shared" si="142"/>
        <v/>
      </c>
      <c r="AN133" s="118" t="str">
        <f t="shared" si="142"/>
        <v/>
      </c>
      <c r="AO133" s="118" t="str">
        <f t="shared" si="142"/>
        <v/>
      </c>
      <c r="AP133" s="118" t="str">
        <f t="shared" si="142"/>
        <v/>
      </c>
      <c r="AQ133" s="118" t="str">
        <f t="shared" si="142"/>
        <v/>
      </c>
      <c r="AR133" s="118" t="str">
        <f t="shared" si="142"/>
        <v/>
      </c>
      <c r="AS133" s="118" t="str">
        <f t="shared" si="142"/>
        <v/>
      </c>
      <c r="AT133" s="123">
        <f>IF(AT$6="","",IF(AT$3="Maior",iferror(VLOOKUP($R133,Capa!$A:$Z,AT$5,0),0),IF(ISERROR(1/VLOOKUP($R133,Capa!$A:$Z,AT$5,0)),0,1/VLOOKUP($R133,Capa!$A:$Z,AT$5,0))))</f>
        <v>1.177910078</v>
      </c>
      <c r="AU133" s="124">
        <f>IF(AU$6="","",IF(AU$3="Maior",iferror(VLOOKUP($R133,Capa!$A:$Z,AU$5,0),0),IF(ISERROR(1/VLOOKUP($R133,Capa!$A:$Z,AU$5,0)),0,1/VLOOKUP($R133,Capa!$A:$Z,AU$5,0))))</f>
        <v>0.06215957581</v>
      </c>
      <c r="AV133" s="124" t="str">
        <f>IF(AV$6="","",IF(AV$3="Maior",iferror(VLOOKUP(#REF!,Capa!$A:$Z,AV$5,0),0),IF(ISERROR(1/VLOOKUP(#REF!,Capa!$A:$Z,AV$5,0)),0,1/VLOOKUP(#REF!,Capa!$A:$Z,AV$5,0))))</f>
        <v/>
      </c>
      <c r="AW133" s="124" t="str">
        <f>IF(AW$6="","",IF(AW$3="Maior",iferror(VLOOKUP(#REF!,Capa!$A:$Z,AW$5,0),0),IF(ISERROR(1/VLOOKUP(#REF!,Capa!$A:$Z,AW$5,0)),0,1/VLOOKUP(#REF!,Capa!$A:$Z,AW$5,0))))</f>
        <v/>
      </c>
      <c r="AX133" s="124" t="str">
        <f>IF(AX$6="","",IF(AX$3="Maior",iferror(VLOOKUP(#REF!,Capa!$A:$Z,AX$5,0),0),IF(ISERROR(1/VLOOKUP(#REF!,Capa!$A:$Z,AX$5,0)),0,1/VLOOKUP(#REF!,Capa!$A:$Z,AX$5,0))))</f>
        <v/>
      </c>
      <c r="AY133" s="124" t="str">
        <f>IF(AY$6="","",IF(AY$3="Maior",iferror(VLOOKUP(#REF!,Capa!$A:$Z,AY$5,0),0),IF(ISERROR(1/VLOOKUP(#REF!,Capa!$A:$Z,AY$5,0)),0,1/VLOOKUP(#REF!,Capa!$A:$Z,AY$5,0))))</f>
        <v/>
      </c>
      <c r="AZ133" s="124" t="str">
        <f>IF(AZ$6="","",IF(AZ$3="Maior",iferror(VLOOKUP(#REF!,Capa!$A:$Z,AZ$5,0),0),IF(ISERROR(1/VLOOKUP(#REF!,Capa!$A:$Z,AZ$5,0)),0,1/VLOOKUP(#REF!,Capa!$A:$Z,AZ$5,0))))</f>
        <v/>
      </c>
      <c r="BA133" s="124" t="str">
        <f>IF(BA$6="","",IF(BA$3="Maior",iferror(VLOOKUP(#REF!,Capa!$A:$Z,BA$5,0),0),IF(ISERROR(1/VLOOKUP(#REF!,Capa!$A:$Z,BA$5,0)),0,1/VLOOKUP(#REF!,Capa!$A:$Z,BA$5,0))))</f>
        <v/>
      </c>
      <c r="BB133" s="124" t="str">
        <f>IF(BB$6="","",IF(BB$3="Maior",iferror(VLOOKUP(#REF!,Capa!$A:$Z,BB$5,0),0),IF(ISERROR(1/VLOOKUP(#REF!,Capa!$A:$Z,BB$5,0)),0,1/VLOOKUP(#REF!,Capa!$A:$Z,BB$5,0))))</f>
        <v/>
      </c>
      <c r="BC133" s="124" t="str">
        <f>IF(BC$6="","",IF(BC$3="Maior",iferror(VLOOKUP(#REF!,Capa!$A:$Z,BC$5,0),0),IF(ISERROR(1/VLOOKUP(#REF!,Capa!$A:$Z,BC$5,0)),0,1/VLOOKUP(#REF!,Capa!$A:$Z,BC$5,0))))</f>
        <v/>
      </c>
      <c r="BD133" s="124" t="str">
        <f>IF(BD$6="","",IF(BD$3="Maior",iferror(VLOOKUP(#REF!,Capa!$A:$Z,BD$5,0),0),IF(ISERROR(1/VLOOKUP(#REF!,Capa!$A:$Z,BD$5,0)),0,1/VLOOKUP(#REF!,Capa!$A:$Z,BD$5,0))))</f>
        <v/>
      </c>
      <c r="BE133" s="124" t="str">
        <f>IF(BE$6="","",IF(BE$3="Maior",iferror(VLOOKUP(#REF!,Capa!$A:$Z,BE$5,0),0),IF(ISERROR(1/VLOOKUP(#REF!,Capa!$A:$Z,BE$5,0)),0,1/VLOOKUP(#REF!,Capa!$A:$Z,BE$5,0))))</f>
        <v/>
      </c>
      <c r="BF133" s="124" t="str">
        <f>IF(BF$6="","",IF(BF$3="Maior",iferror(VLOOKUP(#REF!,Capa!$A:$Z,BF$5,0),0),IF(ISERROR(1/VLOOKUP(#REF!,Capa!$A:$Z,BF$5,0)),0,1/VLOOKUP(#REF!,Capa!$A:$Z,BF$5,0))))</f>
        <v/>
      </c>
      <c r="BG133" s="124" t="str">
        <f>IF(BG$6="","",IF(BG$3="Maior",iferror(VLOOKUP(#REF!,Capa!$A:$Z,BG$5,0),0),IF(ISERROR(1/VLOOKUP(#REF!,Capa!$A:$Z,BG$5,0)),0,1/VLOOKUP(#REF!,Capa!$A:$Z,BG$5,0))))</f>
        <v/>
      </c>
      <c r="BH133" s="124" t="str">
        <f>IF(BH$6="","",IF(BH$3="Maior",iferror(VLOOKUP(#REF!,Capa!$A:$Z,BH$5,0),0),IF(ISERROR(1/VLOOKUP(#REF!,Capa!$A:$Z,BH$5,0)),0,1/VLOOKUP(#REF!,Capa!$A:$Z,BH$5,0))))</f>
        <v/>
      </c>
      <c r="BI133" s="124" t="str">
        <f>IF(BI$6="","",IF(BI$3="Maior",iferror(VLOOKUP(#REF!,Capa!$A:$Z,BI$5,0),0),IF(ISERROR(1/VLOOKUP(#REF!,Capa!$A:$Z,BI$5,0)),0,1/VLOOKUP(#REF!,Capa!$A:$Z,BI$5,0))))</f>
        <v/>
      </c>
      <c r="BJ133" s="124" t="str">
        <f>IF(BJ$6="","",IF(BJ$3="Maior",iferror(VLOOKUP(#REF!,Capa!$A:$Z,BJ$5,0),0),IF(ISERROR(1/VLOOKUP(#REF!,Capa!$A:$Z,BJ$5,0)),0,1/VLOOKUP(#REF!,Capa!$A:$Z,BJ$5,0))))</f>
        <v/>
      </c>
      <c r="BK133" s="124" t="str">
        <f>IF(BK$6="","",IF(BK$3="Maior",iferror(VLOOKUP(#REF!,Capa!$A:$Z,BK$5,0),0),IF(ISERROR(1/VLOOKUP(#REF!,Capa!$A:$Z,BK$5,0)),0,1/VLOOKUP(#REF!,Capa!$A:$Z,BK$5,0))))</f>
        <v/>
      </c>
      <c r="BL133" s="124" t="str">
        <f>IF(BL$6="","",IF(BL$3="Maior",iferror(VLOOKUP(#REF!,Capa!$A:$Z,BL$5,0),0),IF(ISERROR(1/VLOOKUP(#REF!,Capa!$A:$Z,BL$5,0)),0,1/VLOOKUP(#REF!,Capa!$A:$Z,BL$5,0))))</f>
        <v/>
      </c>
      <c r="BM133" s="124" t="str">
        <f>IF(BM$6="","",IF(BM$3="Maior",iferror(VLOOKUP(#REF!,Capa!$A:$Z,BM$5,0),0),IF(ISERROR(1/VLOOKUP(#REF!,Capa!$A:$Z,BM$5,0)),0,1/VLOOKUP(#REF!,Capa!$A:$Z,BM$5,0))))</f>
        <v/>
      </c>
      <c r="BN133" s="124" t="str">
        <f>IF(BN$6="","",IF(BN$3="Maior",iferror(VLOOKUP(#REF!,Capa!$A:$Z,BN$5,0),0),IF(ISERROR(1/VLOOKUP(#REF!,Capa!$A:$Z,BN$5,0)),0,1/VLOOKUP(#REF!,Capa!$A:$Z,BN$5,0))))</f>
        <v/>
      </c>
      <c r="BO133" s="124" t="str">
        <f>IF(BO$6="","",IF(BO$3="Maior",iferror(VLOOKUP(#REF!,Capa!$A:$Z,BO$5,0),0),IF(ISERROR(1/VLOOKUP(#REF!,Capa!$A:$Z,BO$5,0)),0,1/VLOOKUP(#REF!,Capa!$A:$Z,BO$5,0))))</f>
        <v/>
      </c>
      <c r="BP133" s="124" t="str">
        <f>IF(BP$6="","",IF(BP$3="Maior",iferror(VLOOKUP(#REF!,Capa!$A:$Z,BP$5,0),0),IF(ISERROR(1/VLOOKUP(#REF!,Capa!$A:$Z,BP$5,0)),0,1/VLOOKUP(#REF!,Capa!$A:$Z,BP$5,0))))</f>
        <v/>
      </c>
      <c r="BQ133" s="124" t="str">
        <f>IF(BQ$6="","",IF(BQ$3="Maior",iferror(VLOOKUP(#REF!,Capa!$A:$Z,BQ$5,0),0),IF(ISERROR(1/VLOOKUP(#REF!,Capa!$A:$Z,BQ$5,0)),0,1/VLOOKUP(#REF!,Capa!$A:$Z,BQ$5,0))))</f>
        <v/>
      </c>
      <c r="BR133" s="125" t="str">
        <f>IF(BR$6="","",IF(BR$3="Maior",iferror(VLOOKUP(#REF!,Capa!$A:$Z,BR$5,0),0),IF(ISERROR(1/VLOOKUP(#REF!,Capa!$A:$Z,BR$5,0)),0,1/VLOOKUP(#REF!,Capa!$A:$Z,BR$5,0))))</f>
        <v/>
      </c>
      <c r="BS133" s="88"/>
    </row>
    <row r="134">
      <c r="G134" s="9"/>
      <c r="H134" s="7">
        <v>128.0</v>
      </c>
      <c r="I134" s="111" t="str">
        <f t="shared" si="7"/>
        <v>BBRC11</v>
      </c>
      <c r="J134" s="112" t="str">
        <f>VLOOKUP(I134,Capa!A:G,7,0)</f>
        <v>Agencias Bancárias</v>
      </c>
      <c r="K134" s="113">
        <f t="shared" si="8"/>
        <v>0.8588881707</v>
      </c>
      <c r="L134" s="113">
        <f t="shared" si="9"/>
        <v>0.1260368455</v>
      </c>
      <c r="M134" s="113" t="str">
        <f t="shared" si="10"/>
        <v/>
      </c>
      <c r="N134" s="113" t="str">
        <f t="shared" si="11"/>
        <v/>
      </c>
      <c r="O134" s="114">
        <f t="shared" si="12"/>
        <v>85722</v>
      </c>
      <c r="P134" s="9"/>
      <c r="Q134" s="9"/>
      <c r="R134" s="127" t="s">
        <v>161</v>
      </c>
      <c r="S134" s="116">
        <f t="shared" si="13"/>
        <v>1246.008661</v>
      </c>
      <c r="T134" s="117">
        <f>MID(VLOOKUP($R134,'Dados ClubeFII'!$A:$AU,23,0),3,100)/1</f>
        <v>602832.24</v>
      </c>
      <c r="U134" s="118">
        <f t="shared" si="14"/>
        <v>85.0085</v>
      </c>
      <c r="V134" s="118">
        <f t="shared" si="15"/>
        <v>161.000161</v>
      </c>
      <c r="W134" s="118" t="str">
        <f t="shared" ref="W134:AS134" si="143">IF(AV134="","", RANK(AV134,AV$7:AV$405,0))</f>
        <v/>
      </c>
      <c r="X134" s="118" t="str">
        <f t="shared" si="143"/>
        <v/>
      </c>
      <c r="Y134" s="118" t="str">
        <f t="shared" si="143"/>
        <v/>
      </c>
      <c r="Z134" s="118" t="str">
        <f t="shared" si="143"/>
        <v/>
      </c>
      <c r="AA134" s="118" t="str">
        <f t="shared" si="143"/>
        <v/>
      </c>
      <c r="AB134" s="118" t="str">
        <f t="shared" si="143"/>
        <v/>
      </c>
      <c r="AC134" s="118" t="str">
        <f t="shared" si="143"/>
        <v/>
      </c>
      <c r="AD134" s="118" t="str">
        <f t="shared" si="143"/>
        <v/>
      </c>
      <c r="AE134" s="118" t="str">
        <f t="shared" si="143"/>
        <v/>
      </c>
      <c r="AF134" s="118" t="str">
        <f t="shared" si="143"/>
        <v/>
      </c>
      <c r="AG134" s="118" t="str">
        <f t="shared" si="143"/>
        <v/>
      </c>
      <c r="AH134" s="118" t="str">
        <f t="shared" si="143"/>
        <v/>
      </c>
      <c r="AI134" s="118" t="str">
        <f t="shared" si="143"/>
        <v/>
      </c>
      <c r="AJ134" s="118" t="str">
        <f t="shared" si="143"/>
        <v/>
      </c>
      <c r="AK134" s="118" t="str">
        <f t="shared" si="143"/>
        <v/>
      </c>
      <c r="AL134" s="118" t="str">
        <f t="shared" si="143"/>
        <v/>
      </c>
      <c r="AM134" s="118" t="str">
        <f t="shared" si="143"/>
        <v/>
      </c>
      <c r="AN134" s="118" t="str">
        <f t="shared" si="143"/>
        <v/>
      </c>
      <c r="AO134" s="118" t="str">
        <f t="shared" si="143"/>
        <v/>
      </c>
      <c r="AP134" s="118" t="str">
        <f t="shared" si="143"/>
        <v/>
      </c>
      <c r="AQ134" s="118" t="str">
        <f t="shared" si="143"/>
        <v/>
      </c>
      <c r="AR134" s="118" t="str">
        <f t="shared" si="143"/>
        <v/>
      </c>
      <c r="AS134" s="118" t="str">
        <f t="shared" si="143"/>
        <v/>
      </c>
      <c r="AT134" s="123">
        <f>IF(AT$6="","",IF(AT$3="Maior",iferror(VLOOKUP($R134,Capa!$A:$Z,AT$5,0),0),IF(ISERROR(1/VLOOKUP($R134,Capa!$A:$Z,AT$5,0)),0,1/VLOOKUP($R134,Capa!$A:$Z,AT$5,0))))</f>
        <v>1.220295817</v>
      </c>
      <c r="AU134" s="124">
        <f>IF(AU$6="","",IF(AU$3="Maior",iferror(VLOOKUP($R134,Capa!$A:$Z,AU$5,0),0),IF(ISERROR(1/VLOOKUP($R134,Capa!$A:$Z,AU$5,0)),0,1/VLOOKUP($R134,Capa!$A:$Z,AU$5,0))))</f>
        <v>0.07108685182</v>
      </c>
      <c r="AV134" s="124" t="str">
        <f>IF(AV$6="","",IF(AV$3="Maior",iferror(VLOOKUP(#REF!,Capa!$A:$Z,AV$5,0),0),IF(ISERROR(1/VLOOKUP(#REF!,Capa!$A:$Z,AV$5,0)),0,1/VLOOKUP(#REF!,Capa!$A:$Z,AV$5,0))))</f>
        <v/>
      </c>
      <c r="AW134" s="124" t="str">
        <f>IF(AW$6="","",IF(AW$3="Maior",iferror(VLOOKUP(#REF!,Capa!$A:$Z,AW$5,0),0),IF(ISERROR(1/VLOOKUP(#REF!,Capa!$A:$Z,AW$5,0)),0,1/VLOOKUP(#REF!,Capa!$A:$Z,AW$5,0))))</f>
        <v/>
      </c>
      <c r="AX134" s="124" t="str">
        <f>IF(AX$6="","",IF(AX$3="Maior",iferror(VLOOKUP(#REF!,Capa!$A:$Z,AX$5,0),0),IF(ISERROR(1/VLOOKUP(#REF!,Capa!$A:$Z,AX$5,0)),0,1/VLOOKUP(#REF!,Capa!$A:$Z,AX$5,0))))</f>
        <v/>
      </c>
      <c r="AY134" s="124" t="str">
        <f>IF(AY$6="","",IF(AY$3="Maior",iferror(VLOOKUP(#REF!,Capa!$A:$Z,AY$5,0),0),IF(ISERROR(1/VLOOKUP(#REF!,Capa!$A:$Z,AY$5,0)),0,1/VLOOKUP(#REF!,Capa!$A:$Z,AY$5,0))))</f>
        <v/>
      </c>
      <c r="AZ134" s="124" t="str">
        <f>IF(AZ$6="","",IF(AZ$3="Maior",iferror(VLOOKUP(#REF!,Capa!$A:$Z,AZ$5,0),0),IF(ISERROR(1/VLOOKUP(#REF!,Capa!$A:$Z,AZ$5,0)),0,1/VLOOKUP(#REF!,Capa!$A:$Z,AZ$5,0))))</f>
        <v/>
      </c>
      <c r="BA134" s="124" t="str">
        <f>IF(BA$6="","",IF(BA$3="Maior",iferror(VLOOKUP(#REF!,Capa!$A:$Z,BA$5,0),0),IF(ISERROR(1/VLOOKUP(#REF!,Capa!$A:$Z,BA$5,0)),0,1/VLOOKUP(#REF!,Capa!$A:$Z,BA$5,0))))</f>
        <v/>
      </c>
      <c r="BB134" s="124" t="str">
        <f>IF(BB$6="","",IF(BB$3="Maior",iferror(VLOOKUP(#REF!,Capa!$A:$Z,BB$5,0),0),IF(ISERROR(1/VLOOKUP(#REF!,Capa!$A:$Z,BB$5,0)),0,1/VLOOKUP(#REF!,Capa!$A:$Z,BB$5,0))))</f>
        <v/>
      </c>
      <c r="BC134" s="124" t="str">
        <f>IF(BC$6="","",IF(BC$3="Maior",iferror(VLOOKUP(#REF!,Capa!$A:$Z,BC$5,0),0),IF(ISERROR(1/VLOOKUP(#REF!,Capa!$A:$Z,BC$5,0)),0,1/VLOOKUP(#REF!,Capa!$A:$Z,BC$5,0))))</f>
        <v/>
      </c>
      <c r="BD134" s="124" t="str">
        <f>IF(BD$6="","",IF(BD$3="Maior",iferror(VLOOKUP(#REF!,Capa!$A:$Z,BD$5,0),0),IF(ISERROR(1/VLOOKUP(#REF!,Capa!$A:$Z,BD$5,0)),0,1/VLOOKUP(#REF!,Capa!$A:$Z,BD$5,0))))</f>
        <v/>
      </c>
      <c r="BE134" s="124" t="str">
        <f>IF(BE$6="","",IF(BE$3="Maior",iferror(VLOOKUP(#REF!,Capa!$A:$Z,BE$5,0),0),IF(ISERROR(1/VLOOKUP(#REF!,Capa!$A:$Z,BE$5,0)),0,1/VLOOKUP(#REF!,Capa!$A:$Z,BE$5,0))))</f>
        <v/>
      </c>
      <c r="BF134" s="124" t="str">
        <f>IF(BF$6="","",IF(BF$3="Maior",iferror(VLOOKUP(#REF!,Capa!$A:$Z,BF$5,0),0),IF(ISERROR(1/VLOOKUP(#REF!,Capa!$A:$Z,BF$5,0)),0,1/VLOOKUP(#REF!,Capa!$A:$Z,BF$5,0))))</f>
        <v/>
      </c>
      <c r="BG134" s="124" t="str">
        <f>IF(BG$6="","",IF(BG$3="Maior",iferror(VLOOKUP(#REF!,Capa!$A:$Z,BG$5,0),0),IF(ISERROR(1/VLOOKUP(#REF!,Capa!$A:$Z,BG$5,0)),0,1/VLOOKUP(#REF!,Capa!$A:$Z,BG$5,0))))</f>
        <v/>
      </c>
      <c r="BH134" s="124" t="str">
        <f>IF(BH$6="","",IF(BH$3="Maior",iferror(VLOOKUP(#REF!,Capa!$A:$Z,BH$5,0),0),IF(ISERROR(1/VLOOKUP(#REF!,Capa!$A:$Z,BH$5,0)),0,1/VLOOKUP(#REF!,Capa!$A:$Z,BH$5,0))))</f>
        <v/>
      </c>
      <c r="BI134" s="124" t="str">
        <f>IF(BI$6="","",IF(BI$3="Maior",iferror(VLOOKUP(#REF!,Capa!$A:$Z,BI$5,0),0),IF(ISERROR(1/VLOOKUP(#REF!,Capa!$A:$Z,BI$5,0)),0,1/VLOOKUP(#REF!,Capa!$A:$Z,BI$5,0))))</f>
        <v/>
      </c>
      <c r="BJ134" s="124" t="str">
        <f>IF(BJ$6="","",IF(BJ$3="Maior",iferror(VLOOKUP(#REF!,Capa!$A:$Z,BJ$5,0),0),IF(ISERROR(1/VLOOKUP(#REF!,Capa!$A:$Z,BJ$5,0)),0,1/VLOOKUP(#REF!,Capa!$A:$Z,BJ$5,0))))</f>
        <v/>
      </c>
      <c r="BK134" s="124" t="str">
        <f>IF(BK$6="","",IF(BK$3="Maior",iferror(VLOOKUP(#REF!,Capa!$A:$Z,BK$5,0),0),IF(ISERROR(1/VLOOKUP(#REF!,Capa!$A:$Z,BK$5,0)),0,1/VLOOKUP(#REF!,Capa!$A:$Z,BK$5,0))))</f>
        <v/>
      </c>
      <c r="BL134" s="124" t="str">
        <f>IF(BL$6="","",IF(BL$3="Maior",iferror(VLOOKUP(#REF!,Capa!$A:$Z,BL$5,0),0),IF(ISERROR(1/VLOOKUP(#REF!,Capa!$A:$Z,BL$5,0)),0,1/VLOOKUP(#REF!,Capa!$A:$Z,BL$5,0))))</f>
        <v/>
      </c>
      <c r="BM134" s="124" t="str">
        <f>IF(BM$6="","",IF(BM$3="Maior",iferror(VLOOKUP(#REF!,Capa!$A:$Z,BM$5,0),0),IF(ISERROR(1/VLOOKUP(#REF!,Capa!$A:$Z,BM$5,0)),0,1/VLOOKUP(#REF!,Capa!$A:$Z,BM$5,0))))</f>
        <v/>
      </c>
      <c r="BN134" s="124" t="str">
        <f>IF(BN$6="","",IF(BN$3="Maior",iferror(VLOOKUP(#REF!,Capa!$A:$Z,BN$5,0),0),IF(ISERROR(1/VLOOKUP(#REF!,Capa!$A:$Z,BN$5,0)),0,1/VLOOKUP(#REF!,Capa!$A:$Z,BN$5,0))))</f>
        <v/>
      </c>
      <c r="BO134" s="124" t="str">
        <f>IF(BO$6="","",IF(BO$3="Maior",iferror(VLOOKUP(#REF!,Capa!$A:$Z,BO$5,0),0),IF(ISERROR(1/VLOOKUP(#REF!,Capa!$A:$Z,BO$5,0)),0,1/VLOOKUP(#REF!,Capa!$A:$Z,BO$5,0))))</f>
        <v/>
      </c>
      <c r="BP134" s="124" t="str">
        <f>IF(BP$6="","",IF(BP$3="Maior",iferror(VLOOKUP(#REF!,Capa!$A:$Z,BP$5,0),0),IF(ISERROR(1/VLOOKUP(#REF!,Capa!$A:$Z,BP$5,0)),0,1/VLOOKUP(#REF!,Capa!$A:$Z,BP$5,0))))</f>
        <v/>
      </c>
      <c r="BQ134" s="124" t="str">
        <f>IF(BQ$6="","",IF(BQ$3="Maior",iferror(VLOOKUP(#REF!,Capa!$A:$Z,BQ$5,0),0),IF(ISERROR(1/VLOOKUP(#REF!,Capa!$A:$Z,BQ$5,0)),0,1/VLOOKUP(#REF!,Capa!$A:$Z,BQ$5,0))))</f>
        <v/>
      </c>
      <c r="BR134" s="125" t="str">
        <f>IF(BR$6="","",IF(BR$3="Maior",iferror(VLOOKUP(#REF!,Capa!$A:$Z,BR$5,0),0),IF(ISERROR(1/VLOOKUP(#REF!,Capa!$A:$Z,BR$5,0)),0,1/VLOOKUP(#REF!,Capa!$A:$Z,BR$5,0))))</f>
        <v/>
      </c>
      <c r="BS134" s="88"/>
    </row>
    <row r="135">
      <c r="G135" s="9"/>
      <c r="H135" s="7">
        <v>129.0</v>
      </c>
      <c r="I135" s="111" t="str">
        <f t="shared" si="7"/>
        <v>MFII11</v>
      </c>
      <c r="J135" s="112" t="str">
        <f>VLOOKUP(I135,Capa!A:G,7,0)</f>
        <v>Incorporação Residencial</v>
      </c>
      <c r="K135" s="113">
        <f t="shared" si="8"/>
        <v>0.9174757282</v>
      </c>
      <c r="L135" s="113">
        <f t="shared" si="9"/>
        <v>0.1434690067</v>
      </c>
      <c r="M135" s="113" t="str">
        <f t="shared" si="10"/>
        <v/>
      </c>
      <c r="N135" s="113" t="str">
        <f t="shared" si="11"/>
        <v/>
      </c>
      <c r="O135" s="114">
        <f t="shared" si="12"/>
        <v>285904.64</v>
      </c>
      <c r="P135" s="9"/>
      <c r="Q135" s="9"/>
      <c r="R135" s="115" t="s">
        <v>184</v>
      </c>
      <c r="S135" s="116">
        <f t="shared" si="13"/>
        <v>1280.013447</v>
      </c>
      <c r="T135" s="117">
        <f>MID(VLOOKUP($R135,'Dados ClubeFII'!$A:$AU,23,0),3,100)/1</f>
        <v>2368.27</v>
      </c>
      <c r="U135" s="118">
        <f t="shared" si="14"/>
        <v>133.0133</v>
      </c>
      <c r="V135" s="118">
        <f t="shared" si="15"/>
        <v>147.000147</v>
      </c>
      <c r="W135" s="118" t="str">
        <f t="shared" ref="W135:AS135" si="144">IF(AV135="","", RANK(AV135,AV$7:AV$405,0))</f>
        <v/>
      </c>
      <c r="X135" s="118" t="str">
        <f t="shared" si="144"/>
        <v/>
      </c>
      <c r="Y135" s="118" t="str">
        <f t="shared" si="144"/>
        <v/>
      </c>
      <c r="Z135" s="118" t="str">
        <f t="shared" si="144"/>
        <v/>
      </c>
      <c r="AA135" s="118" t="str">
        <f t="shared" si="144"/>
        <v/>
      </c>
      <c r="AB135" s="118" t="str">
        <f t="shared" si="144"/>
        <v/>
      </c>
      <c r="AC135" s="118" t="str">
        <f t="shared" si="144"/>
        <v/>
      </c>
      <c r="AD135" s="118" t="str">
        <f t="shared" si="144"/>
        <v/>
      </c>
      <c r="AE135" s="118" t="str">
        <f t="shared" si="144"/>
        <v/>
      </c>
      <c r="AF135" s="118" t="str">
        <f t="shared" si="144"/>
        <v/>
      </c>
      <c r="AG135" s="118" t="str">
        <f t="shared" si="144"/>
        <v/>
      </c>
      <c r="AH135" s="118" t="str">
        <f t="shared" si="144"/>
        <v/>
      </c>
      <c r="AI135" s="118" t="str">
        <f t="shared" si="144"/>
        <v/>
      </c>
      <c r="AJ135" s="118" t="str">
        <f t="shared" si="144"/>
        <v/>
      </c>
      <c r="AK135" s="118" t="str">
        <f t="shared" si="144"/>
        <v/>
      </c>
      <c r="AL135" s="118" t="str">
        <f t="shared" si="144"/>
        <v/>
      </c>
      <c r="AM135" s="118" t="str">
        <f t="shared" si="144"/>
        <v/>
      </c>
      <c r="AN135" s="118" t="str">
        <f t="shared" si="144"/>
        <v/>
      </c>
      <c r="AO135" s="118" t="str">
        <f t="shared" si="144"/>
        <v/>
      </c>
      <c r="AP135" s="118" t="str">
        <f t="shared" si="144"/>
        <v/>
      </c>
      <c r="AQ135" s="118" t="str">
        <f t="shared" si="144"/>
        <v/>
      </c>
      <c r="AR135" s="118" t="str">
        <f t="shared" si="144"/>
        <v/>
      </c>
      <c r="AS135" s="118" t="str">
        <f t="shared" si="144"/>
        <v/>
      </c>
      <c r="AT135" s="123">
        <f>IF(AT$6="","",IF(AT$3="Maior",iferror(VLOOKUP($R135,Capa!$A:$Z,AT$5,0),0),IF(ISERROR(1/VLOOKUP($R135,Capa!$A:$Z,AT$5,0)),0,1/VLOOKUP($R135,Capa!$A:$Z,AT$5,0))))</f>
        <v>1.115442928</v>
      </c>
      <c r="AU135" s="124">
        <f>IF(AU$6="","",IF(AU$3="Maior",iferror(VLOOKUP($R135,Capa!$A:$Z,AU$5,0),0),IF(ISERROR(1/VLOOKUP($R135,Capa!$A:$Z,AU$5,0)),0,1/VLOOKUP($R135,Capa!$A:$Z,AU$5,0))))</f>
        <v>0.0845592233</v>
      </c>
      <c r="AV135" s="124" t="str">
        <f>IF(AV$6="","",IF(AV$3="Maior",iferror(VLOOKUP($R134,Capa!$A:$Z,AV$5,0),0),IF(ISERROR(1/VLOOKUP($R134,Capa!$A:$Z,AV$5,0)),0,1/VLOOKUP($R134,Capa!$A:$Z,AV$5,0))))</f>
        <v/>
      </c>
      <c r="AW135" s="124" t="str">
        <f>IF(AW$6="","",IF(AW$3="Maior",iferror(VLOOKUP($R134,Capa!$A:$Z,AW$5,0),0),IF(ISERROR(1/VLOOKUP($R134,Capa!$A:$Z,AW$5,0)),0,1/VLOOKUP($R134,Capa!$A:$Z,AW$5,0))))</f>
        <v/>
      </c>
      <c r="AX135" s="124" t="str">
        <f>IF(AX$6="","",IF(AX$3="Maior",iferror(VLOOKUP($R134,Capa!$A:$Z,AX$5,0),0),IF(ISERROR(1/VLOOKUP($R134,Capa!$A:$Z,AX$5,0)),0,1/VLOOKUP($R134,Capa!$A:$Z,AX$5,0))))</f>
        <v/>
      </c>
      <c r="AY135" s="124" t="str">
        <f>IF(AY$6="","",IF(AY$3="Maior",iferror(VLOOKUP($R134,Capa!$A:$Z,AY$5,0),0),IF(ISERROR(1/VLOOKUP($R134,Capa!$A:$Z,AY$5,0)),0,1/VLOOKUP($R134,Capa!$A:$Z,AY$5,0))))</f>
        <v/>
      </c>
      <c r="AZ135" s="124" t="str">
        <f>IF(AZ$6="","",IF(AZ$3="Maior",iferror(VLOOKUP($R134,Capa!$A:$Z,AZ$5,0),0),IF(ISERROR(1/VLOOKUP($R134,Capa!$A:$Z,AZ$5,0)),0,1/VLOOKUP($R134,Capa!$A:$Z,AZ$5,0))))</f>
        <v/>
      </c>
      <c r="BA135" s="124" t="str">
        <f>IF(BA$6="","",IF(BA$3="Maior",iferror(VLOOKUP($R134,Capa!$A:$Z,BA$5,0),0),IF(ISERROR(1/VLOOKUP($R134,Capa!$A:$Z,BA$5,0)),0,1/VLOOKUP($R134,Capa!$A:$Z,BA$5,0))))</f>
        <v/>
      </c>
      <c r="BB135" s="124" t="str">
        <f>IF(BB$6="","",IF(BB$3="Maior",iferror(VLOOKUP($R134,Capa!$A:$Z,BB$5,0),0),IF(ISERROR(1/VLOOKUP($R134,Capa!$A:$Z,BB$5,0)),0,1/VLOOKUP($R134,Capa!$A:$Z,BB$5,0))))</f>
        <v/>
      </c>
      <c r="BC135" s="124" t="str">
        <f>IF(BC$6="","",IF(BC$3="Maior",iferror(VLOOKUP($R134,Capa!$A:$Z,BC$5,0),0),IF(ISERROR(1/VLOOKUP($R134,Capa!$A:$Z,BC$5,0)),0,1/VLOOKUP($R134,Capa!$A:$Z,BC$5,0))))</f>
        <v/>
      </c>
      <c r="BD135" s="124" t="str">
        <f>IF(BD$6="","",IF(BD$3="Maior",iferror(VLOOKUP($R134,Capa!$A:$Z,BD$5,0),0),IF(ISERROR(1/VLOOKUP($R134,Capa!$A:$Z,BD$5,0)),0,1/VLOOKUP($R134,Capa!$A:$Z,BD$5,0))))</f>
        <v/>
      </c>
      <c r="BE135" s="124" t="str">
        <f>IF(BE$6="","",IF(BE$3="Maior",iferror(VLOOKUP($R134,Capa!$A:$Z,BE$5,0),0),IF(ISERROR(1/VLOOKUP($R134,Capa!$A:$Z,BE$5,0)),0,1/VLOOKUP($R134,Capa!$A:$Z,BE$5,0))))</f>
        <v/>
      </c>
      <c r="BF135" s="124" t="str">
        <f>IF(BF$6="","",IF(BF$3="Maior",iferror(VLOOKUP($R134,Capa!$A:$Z,BF$5,0),0),IF(ISERROR(1/VLOOKUP($R134,Capa!$A:$Z,BF$5,0)),0,1/VLOOKUP($R134,Capa!$A:$Z,BF$5,0))))</f>
        <v/>
      </c>
      <c r="BG135" s="124" t="str">
        <f>IF(BG$6="","",IF(BG$3="Maior",iferror(VLOOKUP($R134,Capa!$A:$Z,BG$5,0),0),IF(ISERROR(1/VLOOKUP($R134,Capa!$A:$Z,BG$5,0)),0,1/VLOOKUP($R134,Capa!$A:$Z,BG$5,0))))</f>
        <v/>
      </c>
      <c r="BH135" s="124" t="str">
        <f>IF(BH$6="","",IF(BH$3="Maior",iferror(VLOOKUP($R134,Capa!$A:$Z,BH$5,0),0),IF(ISERROR(1/VLOOKUP($R134,Capa!$A:$Z,BH$5,0)),0,1/VLOOKUP($R134,Capa!$A:$Z,BH$5,0))))</f>
        <v/>
      </c>
      <c r="BI135" s="124" t="str">
        <f>IF(BI$6="","",IF(BI$3="Maior",iferror(VLOOKUP($R134,Capa!$A:$Z,BI$5,0),0),IF(ISERROR(1/VLOOKUP($R134,Capa!$A:$Z,BI$5,0)),0,1/VLOOKUP($R134,Capa!$A:$Z,BI$5,0))))</f>
        <v/>
      </c>
      <c r="BJ135" s="124" t="str">
        <f>IF(BJ$6="","",IF(BJ$3="Maior",iferror(VLOOKUP($R134,Capa!$A:$Z,BJ$5,0),0),IF(ISERROR(1/VLOOKUP($R134,Capa!$A:$Z,BJ$5,0)),0,1/VLOOKUP($R134,Capa!$A:$Z,BJ$5,0))))</f>
        <v/>
      </c>
      <c r="BK135" s="124" t="str">
        <f>IF(BK$6="","",IF(BK$3="Maior",iferror(VLOOKUP($R134,Capa!$A:$Z,BK$5,0),0),IF(ISERROR(1/VLOOKUP($R134,Capa!$A:$Z,BK$5,0)),0,1/VLOOKUP($R134,Capa!$A:$Z,BK$5,0))))</f>
        <v/>
      </c>
      <c r="BL135" s="124" t="str">
        <f>IF(BL$6="","",IF(BL$3="Maior",iferror(VLOOKUP($R134,Capa!$A:$Z,BL$5,0),0),IF(ISERROR(1/VLOOKUP($R134,Capa!$A:$Z,BL$5,0)),0,1/VLOOKUP($R134,Capa!$A:$Z,BL$5,0))))</f>
        <v/>
      </c>
      <c r="BM135" s="124" t="str">
        <f>IF(BM$6="","",IF(BM$3="Maior",iferror(VLOOKUP($R134,Capa!$A:$Z,BM$5,0),0),IF(ISERROR(1/VLOOKUP($R134,Capa!$A:$Z,BM$5,0)),0,1/VLOOKUP($R134,Capa!$A:$Z,BM$5,0))))</f>
        <v/>
      </c>
      <c r="BN135" s="124" t="str">
        <f>IF(BN$6="","",IF(BN$3="Maior",iferror(VLOOKUP($R134,Capa!$A:$Z,BN$5,0),0),IF(ISERROR(1/VLOOKUP($R134,Capa!$A:$Z,BN$5,0)),0,1/VLOOKUP($R134,Capa!$A:$Z,BN$5,0))))</f>
        <v/>
      </c>
      <c r="BO135" s="124" t="str">
        <f>IF(BO$6="","",IF(BO$3="Maior",iferror(VLOOKUP($R134,Capa!$A:$Z,BO$5,0),0),IF(ISERROR(1/VLOOKUP($R134,Capa!$A:$Z,BO$5,0)),0,1/VLOOKUP($R134,Capa!$A:$Z,BO$5,0))))</f>
        <v/>
      </c>
      <c r="BP135" s="124" t="str">
        <f>IF(BP$6="","",IF(BP$3="Maior",iferror(VLOOKUP($R134,Capa!$A:$Z,BP$5,0),0),IF(ISERROR(1/VLOOKUP($R134,Capa!$A:$Z,BP$5,0)),0,1/VLOOKUP($R134,Capa!$A:$Z,BP$5,0))))</f>
        <v/>
      </c>
      <c r="BQ135" s="124" t="str">
        <f>IF(BQ$6="","",IF(BQ$3="Maior",iferror(VLOOKUP($R134,Capa!$A:$Z,BQ$5,0),0),IF(ISERROR(1/VLOOKUP($R134,Capa!$A:$Z,BQ$5,0)),0,1/VLOOKUP($R134,Capa!$A:$Z,BQ$5,0))))</f>
        <v/>
      </c>
      <c r="BR135" s="125" t="str">
        <f>IF(BR$6="","",IF(BR$3="Maior",iferror(VLOOKUP($R134,Capa!$A:$Z,BR$5,0),0),IF(ISERROR(1/VLOOKUP($R134,Capa!$A:$Z,BR$5,0)),0,1/VLOOKUP($R134,Capa!$A:$Z,BR$5,0))))</f>
        <v/>
      </c>
      <c r="BS135" s="88"/>
    </row>
    <row r="136">
      <c r="G136" s="9"/>
      <c r="H136" s="7">
        <v>130.0</v>
      </c>
      <c r="I136" s="129" t="str">
        <f t="shared" si="7"/>
        <v>FAMB11B</v>
      </c>
      <c r="J136" s="112" t="str">
        <f>VLOOKUP(I136,Capa!A:G,7,0)</f>
        <v>Lajes Comerciais</v>
      </c>
      <c r="K136" s="113">
        <f t="shared" si="8"/>
        <v>0.2403504422</v>
      </c>
      <c r="L136" s="113">
        <f t="shared" si="9"/>
        <v>0</v>
      </c>
      <c r="M136" s="113" t="str">
        <f t="shared" si="10"/>
        <v/>
      </c>
      <c r="N136" s="113" t="str">
        <f t="shared" si="11"/>
        <v/>
      </c>
      <c r="O136" s="114">
        <f t="shared" si="12"/>
        <v>11070.4</v>
      </c>
      <c r="P136" s="9"/>
      <c r="Q136" s="9"/>
      <c r="R136" s="115" t="s">
        <v>170</v>
      </c>
      <c r="S136" s="116">
        <f t="shared" si="13"/>
        <v>1246.008463</v>
      </c>
      <c r="T136" s="117">
        <f>MID(VLOOKUP($R136,'Dados ClubeFII'!$A:$AU,23,0),3,100)/1</f>
        <v>79961.11</v>
      </c>
      <c r="U136" s="118">
        <f t="shared" si="14"/>
        <v>83.0083</v>
      </c>
      <c r="V136" s="118">
        <f t="shared" si="15"/>
        <v>163.000163</v>
      </c>
      <c r="W136" s="118" t="str">
        <f t="shared" ref="W136:AS136" si="145">IF(AV136="","", RANK(AV136,AV$7:AV$405,0))</f>
        <v/>
      </c>
      <c r="X136" s="118" t="str">
        <f t="shared" si="145"/>
        <v/>
      </c>
      <c r="Y136" s="118" t="str">
        <f t="shared" si="145"/>
        <v/>
      </c>
      <c r="Z136" s="118" t="str">
        <f t="shared" si="145"/>
        <v/>
      </c>
      <c r="AA136" s="118" t="str">
        <f t="shared" si="145"/>
        <v/>
      </c>
      <c r="AB136" s="118" t="str">
        <f t="shared" si="145"/>
        <v/>
      </c>
      <c r="AC136" s="118" t="str">
        <f t="shared" si="145"/>
        <v/>
      </c>
      <c r="AD136" s="118" t="str">
        <f t="shared" si="145"/>
        <v/>
      </c>
      <c r="AE136" s="118" t="str">
        <f t="shared" si="145"/>
        <v/>
      </c>
      <c r="AF136" s="118" t="str">
        <f t="shared" si="145"/>
        <v/>
      </c>
      <c r="AG136" s="118" t="str">
        <f t="shared" si="145"/>
        <v/>
      </c>
      <c r="AH136" s="118" t="str">
        <f t="shared" si="145"/>
        <v/>
      </c>
      <c r="AI136" s="118" t="str">
        <f t="shared" si="145"/>
        <v/>
      </c>
      <c r="AJ136" s="118" t="str">
        <f t="shared" si="145"/>
        <v/>
      </c>
      <c r="AK136" s="118" t="str">
        <f t="shared" si="145"/>
        <v/>
      </c>
      <c r="AL136" s="118" t="str">
        <f t="shared" si="145"/>
        <v/>
      </c>
      <c r="AM136" s="118" t="str">
        <f t="shared" si="145"/>
        <v/>
      </c>
      <c r="AN136" s="118" t="str">
        <f t="shared" si="145"/>
        <v/>
      </c>
      <c r="AO136" s="118" t="str">
        <f t="shared" si="145"/>
        <v/>
      </c>
      <c r="AP136" s="118" t="str">
        <f t="shared" si="145"/>
        <v/>
      </c>
      <c r="AQ136" s="118" t="str">
        <f t="shared" si="145"/>
        <v/>
      </c>
      <c r="AR136" s="118" t="str">
        <f t="shared" si="145"/>
        <v/>
      </c>
      <c r="AS136" s="118" t="str">
        <f t="shared" si="145"/>
        <v/>
      </c>
      <c r="AT136" s="123">
        <f>IF(AT$6="","",IF(AT$3="Maior",iferror(VLOOKUP($R136,Capa!$A:$Z,AT$5,0),0),IF(ISERROR(1/VLOOKUP($R136,Capa!$A:$Z,AT$5,0)),0,1/VLOOKUP($R136,Capa!$A:$Z,AT$5,0))))</f>
        <v>1.223842933</v>
      </c>
      <c r="AU136" s="124">
        <f>IF(AU$6="","",IF(AU$3="Maior",iferror(VLOOKUP($R136,Capa!$A:$Z,AU$5,0),0),IF(ISERROR(1/VLOOKUP($R136,Capa!$A:$Z,AU$5,0)),0,1/VLOOKUP($R136,Capa!$A:$Z,AU$5,0))))</f>
        <v>0.07021344835</v>
      </c>
      <c r="AV136" s="124" t="str">
        <f>IF(AV$6="","",IF(AV$3="Maior",iferror(VLOOKUP(#REF!,Capa!$A:$Z,AV$5,0),0),IF(ISERROR(1/VLOOKUP(#REF!,Capa!$A:$Z,AV$5,0)),0,1/VLOOKUP(#REF!,Capa!$A:$Z,AV$5,0))))</f>
        <v/>
      </c>
      <c r="AW136" s="124" t="str">
        <f>IF(AW$6="","",IF(AW$3="Maior",iferror(VLOOKUP(#REF!,Capa!$A:$Z,AW$5,0),0),IF(ISERROR(1/VLOOKUP(#REF!,Capa!$A:$Z,AW$5,0)),0,1/VLOOKUP(#REF!,Capa!$A:$Z,AW$5,0))))</f>
        <v/>
      </c>
      <c r="AX136" s="124" t="str">
        <f>IF(AX$6="","",IF(AX$3="Maior",iferror(VLOOKUP(#REF!,Capa!$A:$Z,AX$5,0),0),IF(ISERROR(1/VLOOKUP(#REF!,Capa!$A:$Z,AX$5,0)),0,1/VLOOKUP(#REF!,Capa!$A:$Z,AX$5,0))))</f>
        <v/>
      </c>
      <c r="AY136" s="124" t="str">
        <f>IF(AY$6="","",IF(AY$3="Maior",iferror(VLOOKUP(#REF!,Capa!$A:$Z,AY$5,0),0),IF(ISERROR(1/VLOOKUP(#REF!,Capa!$A:$Z,AY$5,0)),0,1/VLOOKUP(#REF!,Capa!$A:$Z,AY$5,0))))</f>
        <v/>
      </c>
      <c r="AZ136" s="124" t="str">
        <f>IF(AZ$6="","",IF(AZ$3="Maior",iferror(VLOOKUP(#REF!,Capa!$A:$Z,AZ$5,0),0),IF(ISERROR(1/VLOOKUP(#REF!,Capa!$A:$Z,AZ$5,0)),0,1/VLOOKUP(#REF!,Capa!$A:$Z,AZ$5,0))))</f>
        <v/>
      </c>
      <c r="BA136" s="124" t="str">
        <f>IF(BA$6="","",IF(BA$3="Maior",iferror(VLOOKUP(#REF!,Capa!$A:$Z,BA$5,0),0),IF(ISERROR(1/VLOOKUP(#REF!,Capa!$A:$Z,BA$5,0)),0,1/VLOOKUP(#REF!,Capa!$A:$Z,BA$5,0))))</f>
        <v/>
      </c>
      <c r="BB136" s="124" t="str">
        <f>IF(BB$6="","",IF(BB$3="Maior",iferror(VLOOKUP(#REF!,Capa!$A:$Z,BB$5,0),0),IF(ISERROR(1/VLOOKUP(#REF!,Capa!$A:$Z,BB$5,0)),0,1/VLOOKUP(#REF!,Capa!$A:$Z,BB$5,0))))</f>
        <v/>
      </c>
      <c r="BC136" s="124" t="str">
        <f>IF(BC$6="","",IF(BC$3="Maior",iferror(VLOOKUP(#REF!,Capa!$A:$Z,BC$5,0),0),IF(ISERROR(1/VLOOKUP(#REF!,Capa!$A:$Z,BC$5,0)),0,1/VLOOKUP(#REF!,Capa!$A:$Z,BC$5,0))))</f>
        <v/>
      </c>
      <c r="BD136" s="124" t="str">
        <f>IF(BD$6="","",IF(BD$3="Maior",iferror(VLOOKUP(#REF!,Capa!$A:$Z,BD$5,0),0),IF(ISERROR(1/VLOOKUP(#REF!,Capa!$A:$Z,BD$5,0)),0,1/VLOOKUP(#REF!,Capa!$A:$Z,BD$5,0))))</f>
        <v/>
      </c>
      <c r="BE136" s="124" t="str">
        <f>IF(BE$6="","",IF(BE$3="Maior",iferror(VLOOKUP(#REF!,Capa!$A:$Z,BE$5,0),0),IF(ISERROR(1/VLOOKUP(#REF!,Capa!$A:$Z,BE$5,0)),0,1/VLOOKUP(#REF!,Capa!$A:$Z,BE$5,0))))</f>
        <v/>
      </c>
      <c r="BF136" s="124" t="str">
        <f>IF(BF$6="","",IF(BF$3="Maior",iferror(VLOOKUP(#REF!,Capa!$A:$Z,BF$5,0),0),IF(ISERROR(1/VLOOKUP(#REF!,Capa!$A:$Z,BF$5,0)),0,1/VLOOKUP(#REF!,Capa!$A:$Z,BF$5,0))))</f>
        <v/>
      </c>
      <c r="BG136" s="124" t="str">
        <f>IF(BG$6="","",IF(BG$3="Maior",iferror(VLOOKUP(#REF!,Capa!$A:$Z,BG$5,0),0),IF(ISERROR(1/VLOOKUP(#REF!,Capa!$A:$Z,BG$5,0)),0,1/VLOOKUP(#REF!,Capa!$A:$Z,BG$5,0))))</f>
        <v/>
      </c>
      <c r="BH136" s="124" t="str">
        <f>IF(BH$6="","",IF(BH$3="Maior",iferror(VLOOKUP(#REF!,Capa!$A:$Z,BH$5,0),0),IF(ISERROR(1/VLOOKUP(#REF!,Capa!$A:$Z,BH$5,0)),0,1/VLOOKUP(#REF!,Capa!$A:$Z,BH$5,0))))</f>
        <v/>
      </c>
      <c r="BI136" s="124" t="str">
        <f>IF(BI$6="","",IF(BI$3="Maior",iferror(VLOOKUP(#REF!,Capa!$A:$Z,BI$5,0),0),IF(ISERROR(1/VLOOKUP(#REF!,Capa!$A:$Z,BI$5,0)),0,1/VLOOKUP(#REF!,Capa!$A:$Z,BI$5,0))))</f>
        <v/>
      </c>
      <c r="BJ136" s="124" t="str">
        <f>IF(BJ$6="","",IF(BJ$3="Maior",iferror(VLOOKUP(#REF!,Capa!$A:$Z,BJ$5,0),0),IF(ISERROR(1/VLOOKUP(#REF!,Capa!$A:$Z,BJ$5,0)),0,1/VLOOKUP(#REF!,Capa!$A:$Z,BJ$5,0))))</f>
        <v/>
      </c>
      <c r="BK136" s="124" t="str">
        <f>IF(BK$6="","",IF(BK$3="Maior",iferror(VLOOKUP(#REF!,Capa!$A:$Z,BK$5,0),0),IF(ISERROR(1/VLOOKUP(#REF!,Capa!$A:$Z,BK$5,0)),0,1/VLOOKUP(#REF!,Capa!$A:$Z,BK$5,0))))</f>
        <v/>
      </c>
      <c r="BL136" s="124" t="str">
        <f>IF(BL$6="","",IF(BL$3="Maior",iferror(VLOOKUP(#REF!,Capa!$A:$Z,BL$5,0),0),IF(ISERROR(1/VLOOKUP(#REF!,Capa!$A:$Z,BL$5,0)),0,1/VLOOKUP(#REF!,Capa!$A:$Z,BL$5,0))))</f>
        <v/>
      </c>
      <c r="BM136" s="124" t="str">
        <f>IF(BM$6="","",IF(BM$3="Maior",iferror(VLOOKUP(#REF!,Capa!$A:$Z,BM$5,0),0),IF(ISERROR(1/VLOOKUP(#REF!,Capa!$A:$Z,BM$5,0)),0,1/VLOOKUP(#REF!,Capa!$A:$Z,BM$5,0))))</f>
        <v/>
      </c>
      <c r="BN136" s="124" t="str">
        <f>IF(BN$6="","",IF(BN$3="Maior",iferror(VLOOKUP(#REF!,Capa!$A:$Z,BN$5,0),0),IF(ISERROR(1/VLOOKUP(#REF!,Capa!$A:$Z,BN$5,0)),0,1/VLOOKUP(#REF!,Capa!$A:$Z,BN$5,0))))</f>
        <v/>
      </c>
      <c r="BO136" s="124" t="str">
        <f>IF(BO$6="","",IF(BO$3="Maior",iferror(VLOOKUP(#REF!,Capa!$A:$Z,BO$5,0),0),IF(ISERROR(1/VLOOKUP(#REF!,Capa!$A:$Z,BO$5,0)),0,1/VLOOKUP(#REF!,Capa!$A:$Z,BO$5,0))))</f>
        <v/>
      </c>
      <c r="BP136" s="124" t="str">
        <f>IF(BP$6="","",IF(BP$3="Maior",iferror(VLOOKUP(#REF!,Capa!$A:$Z,BP$5,0),0),IF(ISERROR(1/VLOOKUP(#REF!,Capa!$A:$Z,BP$5,0)),0,1/VLOOKUP(#REF!,Capa!$A:$Z,BP$5,0))))</f>
        <v/>
      </c>
      <c r="BQ136" s="124" t="str">
        <f>IF(BQ$6="","",IF(BQ$3="Maior",iferror(VLOOKUP(#REF!,Capa!$A:$Z,BQ$5,0),0),IF(ISERROR(1/VLOOKUP(#REF!,Capa!$A:$Z,BQ$5,0)),0,1/VLOOKUP(#REF!,Capa!$A:$Z,BQ$5,0))))</f>
        <v/>
      </c>
      <c r="BR136" s="125" t="str">
        <f>IF(BR$6="","",IF(BR$3="Maior",iferror(VLOOKUP(#REF!,Capa!$A:$Z,BR$5,0),0),IF(ISERROR(1/VLOOKUP(#REF!,Capa!$A:$Z,BR$5,0)),0,1/VLOOKUP(#REF!,Capa!$A:$Z,BR$5,0))))</f>
        <v/>
      </c>
      <c r="BS136" s="88"/>
    </row>
    <row r="137">
      <c r="G137" s="9"/>
      <c r="H137" s="7">
        <v>131.0</v>
      </c>
      <c r="I137" s="129" t="str">
        <f t="shared" si="7"/>
        <v>HLOG11</v>
      </c>
      <c r="J137" s="112" t="str">
        <f>VLOOKUP(I137,Capa!A:G,7,0)</f>
        <v>Logisticos</v>
      </c>
      <c r="K137" s="113">
        <f t="shared" si="8"/>
        <v>0.7223273076</v>
      </c>
      <c r="L137" s="113">
        <f t="shared" si="9"/>
        <v>0.09320028732</v>
      </c>
      <c r="M137" s="113" t="str">
        <f t="shared" si="10"/>
        <v/>
      </c>
      <c r="N137" s="113" t="str">
        <f t="shared" si="11"/>
        <v/>
      </c>
      <c r="O137" s="114">
        <f t="shared" si="12"/>
        <v>53390</v>
      </c>
      <c r="P137" s="9"/>
      <c r="Q137" s="9"/>
      <c r="R137" s="115" t="s">
        <v>163</v>
      </c>
      <c r="S137" s="116">
        <f t="shared" si="13"/>
        <v>274.012055</v>
      </c>
      <c r="T137" s="117">
        <f>MID(VLOOKUP($R137,'Dados ClubeFII'!$A:$AU,23,0),3,100)/1</f>
        <v>3147405.28</v>
      </c>
      <c r="U137" s="118">
        <f t="shared" si="14"/>
        <v>119.0119</v>
      </c>
      <c r="V137" s="118">
        <f t="shared" si="15"/>
        <v>155.000155</v>
      </c>
      <c r="W137" s="118" t="str">
        <f t="shared" ref="W137:AS137" si="146">IF(AV137="","", RANK(AV137,AV$7:AV$405,0))</f>
        <v/>
      </c>
      <c r="X137" s="118" t="str">
        <f t="shared" si="146"/>
        <v/>
      </c>
      <c r="Y137" s="118" t="str">
        <f t="shared" si="146"/>
        <v/>
      </c>
      <c r="Z137" s="118" t="str">
        <f t="shared" si="146"/>
        <v/>
      </c>
      <c r="AA137" s="118" t="str">
        <f t="shared" si="146"/>
        <v/>
      </c>
      <c r="AB137" s="118" t="str">
        <f t="shared" si="146"/>
        <v/>
      </c>
      <c r="AC137" s="118" t="str">
        <f t="shared" si="146"/>
        <v/>
      </c>
      <c r="AD137" s="118" t="str">
        <f t="shared" si="146"/>
        <v/>
      </c>
      <c r="AE137" s="118" t="str">
        <f t="shared" si="146"/>
        <v/>
      </c>
      <c r="AF137" s="118" t="str">
        <f t="shared" si="146"/>
        <v/>
      </c>
      <c r="AG137" s="118" t="str">
        <f t="shared" si="146"/>
        <v/>
      </c>
      <c r="AH137" s="118" t="str">
        <f t="shared" si="146"/>
        <v/>
      </c>
      <c r="AI137" s="118" t="str">
        <f t="shared" si="146"/>
        <v/>
      </c>
      <c r="AJ137" s="118" t="str">
        <f t="shared" si="146"/>
        <v/>
      </c>
      <c r="AK137" s="118" t="str">
        <f t="shared" si="146"/>
        <v/>
      </c>
      <c r="AL137" s="118" t="str">
        <f t="shared" si="146"/>
        <v/>
      </c>
      <c r="AM137" s="118" t="str">
        <f t="shared" si="146"/>
        <v/>
      </c>
      <c r="AN137" s="118" t="str">
        <f t="shared" si="146"/>
        <v/>
      </c>
      <c r="AO137" s="118" t="str">
        <f t="shared" si="146"/>
        <v/>
      </c>
      <c r="AP137" s="118" t="str">
        <f t="shared" si="146"/>
        <v/>
      </c>
      <c r="AQ137" s="118" t="str">
        <f t="shared" si="146"/>
        <v/>
      </c>
      <c r="AR137" s="118" t="str">
        <f t="shared" si="146"/>
        <v/>
      </c>
      <c r="AS137" s="118" t="str">
        <f t="shared" si="146"/>
        <v/>
      </c>
      <c r="AT137" s="123">
        <f>IF(AT$6="","",IF(AT$3="Maior",iferror(VLOOKUP($R137,Capa!$A:$Z,AT$5,0),0),IF(ISERROR(1/VLOOKUP($R137,Capa!$A:$Z,AT$5,0)),0,1/VLOOKUP($R137,Capa!$A:$Z,AT$5,0))))</f>
        <v>1.152508098</v>
      </c>
      <c r="AU137" s="124">
        <f>IF(AU$6="","",IF(AU$3="Maior",iferror(VLOOKUP($R137,Capa!$A:$Z,AU$5,0),0),IF(ISERROR(1/VLOOKUP($R137,Capa!$A:$Z,AU$5,0)),0,1/VLOOKUP($R137,Capa!$A:$Z,AU$5,0))))</f>
        <v>0.07758609665</v>
      </c>
      <c r="AV137" s="124" t="str">
        <f>IF(AV$6="","",IF(AV$3="Maior",iferror(VLOOKUP($R135,Capa!$A:$Z,AV$5,0),0),IF(ISERROR(1/VLOOKUP($R135,Capa!$A:$Z,AV$5,0)),0,1/VLOOKUP($R135,Capa!$A:$Z,AV$5,0))))</f>
        <v/>
      </c>
      <c r="AW137" s="124" t="str">
        <f>IF(AW$6="","",IF(AW$3="Maior",iferror(VLOOKUP($R135,Capa!$A:$Z,AW$5,0),0),IF(ISERROR(1/VLOOKUP($R135,Capa!$A:$Z,AW$5,0)),0,1/VLOOKUP($R135,Capa!$A:$Z,AW$5,0))))</f>
        <v/>
      </c>
      <c r="AX137" s="124" t="str">
        <f>IF(AX$6="","",IF(AX$3="Maior",iferror(VLOOKUP($R135,Capa!$A:$Z,AX$5,0),0),IF(ISERROR(1/VLOOKUP($R135,Capa!$A:$Z,AX$5,0)),0,1/VLOOKUP($R135,Capa!$A:$Z,AX$5,0))))</f>
        <v/>
      </c>
      <c r="AY137" s="124" t="str">
        <f>IF(AY$6="","",IF(AY$3="Maior",iferror(VLOOKUP($R135,Capa!$A:$Z,AY$5,0),0),IF(ISERROR(1/VLOOKUP($R135,Capa!$A:$Z,AY$5,0)),0,1/VLOOKUP($R135,Capa!$A:$Z,AY$5,0))))</f>
        <v/>
      </c>
      <c r="AZ137" s="124" t="str">
        <f>IF(AZ$6="","",IF(AZ$3="Maior",iferror(VLOOKUP($R135,Capa!$A:$Z,AZ$5,0),0),IF(ISERROR(1/VLOOKUP($R135,Capa!$A:$Z,AZ$5,0)),0,1/VLOOKUP($R135,Capa!$A:$Z,AZ$5,0))))</f>
        <v/>
      </c>
      <c r="BA137" s="124" t="str">
        <f>IF(BA$6="","",IF(BA$3="Maior",iferror(VLOOKUP($R135,Capa!$A:$Z,BA$5,0),0),IF(ISERROR(1/VLOOKUP($R135,Capa!$A:$Z,BA$5,0)),0,1/VLOOKUP($R135,Capa!$A:$Z,BA$5,0))))</f>
        <v/>
      </c>
      <c r="BB137" s="124" t="str">
        <f>IF(BB$6="","",IF(BB$3="Maior",iferror(VLOOKUP($R135,Capa!$A:$Z,BB$5,0),0),IF(ISERROR(1/VLOOKUP($R135,Capa!$A:$Z,BB$5,0)),0,1/VLOOKUP($R135,Capa!$A:$Z,BB$5,0))))</f>
        <v/>
      </c>
      <c r="BC137" s="124" t="str">
        <f>IF(BC$6="","",IF(BC$3="Maior",iferror(VLOOKUP($R135,Capa!$A:$Z,BC$5,0),0),IF(ISERROR(1/VLOOKUP($R135,Capa!$A:$Z,BC$5,0)),0,1/VLOOKUP($R135,Capa!$A:$Z,BC$5,0))))</f>
        <v/>
      </c>
      <c r="BD137" s="124" t="str">
        <f>IF(BD$6="","",IF(BD$3="Maior",iferror(VLOOKUP($R135,Capa!$A:$Z,BD$5,0),0),IF(ISERROR(1/VLOOKUP($R135,Capa!$A:$Z,BD$5,0)),0,1/VLOOKUP($R135,Capa!$A:$Z,BD$5,0))))</f>
        <v/>
      </c>
      <c r="BE137" s="124" t="str">
        <f>IF(BE$6="","",IF(BE$3="Maior",iferror(VLOOKUP($R135,Capa!$A:$Z,BE$5,0),0),IF(ISERROR(1/VLOOKUP($R135,Capa!$A:$Z,BE$5,0)),0,1/VLOOKUP($R135,Capa!$A:$Z,BE$5,0))))</f>
        <v/>
      </c>
      <c r="BF137" s="124" t="str">
        <f>IF(BF$6="","",IF(BF$3="Maior",iferror(VLOOKUP($R135,Capa!$A:$Z,BF$5,0),0),IF(ISERROR(1/VLOOKUP($R135,Capa!$A:$Z,BF$5,0)),0,1/VLOOKUP($R135,Capa!$A:$Z,BF$5,0))))</f>
        <v/>
      </c>
      <c r="BG137" s="124" t="str">
        <f>IF(BG$6="","",IF(BG$3="Maior",iferror(VLOOKUP($R135,Capa!$A:$Z,BG$5,0),0),IF(ISERROR(1/VLOOKUP($R135,Capa!$A:$Z,BG$5,0)),0,1/VLOOKUP($R135,Capa!$A:$Z,BG$5,0))))</f>
        <v/>
      </c>
      <c r="BH137" s="124" t="str">
        <f>IF(BH$6="","",IF(BH$3="Maior",iferror(VLOOKUP($R135,Capa!$A:$Z,BH$5,0),0),IF(ISERROR(1/VLOOKUP($R135,Capa!$A:$Z,BH$5,0)),0,1/VLOOKUP($R135,Capa!$A:$Z,BH$5,0))))</f>
        <v/>
      </c>
      <c r="BI137" s="124" t="str">
        <f>IF(BI$6="","",IF(BI$3="Maior",iferror(VLOOKUP($R135,Capa!$A:$Z,BI$5,0),0),IF(ISERROR(1/VLOOKUP($R135,Capa!$A:$Z,BI$5,0)),0,1/VLOOKUP($R135,Capa!$A:$Z,BI$5,0))))</f>
        <v/>
      </c>
      <c r="BJ137" s="124" t="str">
        <f>IF(BJ$6="","",IF(BJ$3="Maior",iferror(VLOOKUP($R135,Capa!$A:$Z,BJ$5,0),0),IF(ISERROR(1/VLOOKUP($R135,Capa!$A:$Z,BJ$5,0)),0,1/VLOOKUP($R135,Capa!$A:$Z,BJ$5,0))))</f>
        <v/>
      </c>
      <c r="BK137" s="124" t="str">
        <f>IF(BK$6="","",IF(BK$3="Maior",iferror(VLOOKUP($R135,Capa!$A:$Z,BK$5,0),0),IF(ISERROR(1/VLOOKUP($R135,Capa!$A:$Z,BK$5,0)),0,1/VLOOKUP($R135,Capa!$A:$Z,BK$5,0))))</f>
        <v/>
      </c>
      <c r="BL137" s="124" t="str">
        <f>IF(BL$6="","",IF(BL$3="Maior",iferror(VLOOKUP($R135,Capa!$A:$Z,BL$5,0),0),IF(ISERROR(1/VLOOKUP($R135,Capa!$A:$Z,BL$5,0)),0,1/VLOOKUP($R135,Capa!$A:$Z,BL$5,0))))</f>
        <v/>
      </c>
      <c r="BM137" s="124" t="str">
        <f>IF(BM$6="","",IF(BM$3="Maior",iferror(VLOOKUP($R135,Capa!$A:$Z,BM$5,0),0),IF(ISERROR(1/VLOOKUP($R135,Capa!$A:$Z,BM$5,0)),0,1/VLOOKUP($R135,Capa!$A:$Z,BM$5,0))))</f>
        <v/>
      </c>
      <c r="BN137" s="124" t="str">
        <f>IF(BN$6="","",IF(BN$3="Maior",iferror(VLOOKUP($R135,Capa!$A:$Z,BN$5,0),0),IF(ISERROR(1/VLOOKUP($R135,Capa!$A:$Z,BN$5,0)),0,1/VLOOKUP($R135,Capa!$A:$Z,BN$5,0))))</f>
        <v/>
      </c>
      <c r="BO137" s="124" t="str">
        <f>IF(BO$6="","",IF(BO$3="Maior",iferror(VLOOKUP($R135,Capa!$A:$Z,BO$5,0),0),IF(ISERROR(1/VLOOKUP($R135,Capa!$A:$Z,BO$5,0)),0,1/VLOOKUP($R135,Capa!$A:$Z,BO$5,0))))</f>
        <v/>
      </c>
      <c r="BP137" s="124" t="str">
        <f>IF(BP$6="","",IF(BP$3="Maior",iferror(VLOOKUP($R135,Capa!$A:$Z,BP$5,0),0),IF(ISERROR(1/VLOOKUP($R135,Capa!$A:$Z,BP$5,0)),0,1/VLOOKUP($R135,Capa!$A:$Z,BP$5,0))))</f>
        <v/>
      </c>
      <c r="BQ137" s="124" t="str">
        <f>IF(BQ$6="","",IF(BQ$3="Maior",iferror(VLOOKUP($R135,Capa!$A:$Z,BQ$5,0),0),IF(ISERROR(1/VLOOKUP($R135,Capa!$A:$Z,BQ$5,0)),0,1/VLOOKUP($R135,Capa!$A:$Z,BQ$5,0))))</f>
        <v/>
      </c>
      <c r="BR137" s="125" t="str">
        <f>IF(BR$6="","",IF(BR$3="Maior",iferror(VLOOKUP($R135,Capa!$A:$Z,BR$5,0),0),IF(ISERROR(1/VLOOKUP($R135,Capa!$A:$Z,BR$5,0)),0,1/VLOOKUP($R135,Capa!$A:$Z,BR$5,0))))</f>
        <v/>
      </c>
      <c r="BS137" s="88"/>
    </row>
    <row r="138">
      <c r="G138" s="9"/>
      <c r="H138" s="7">
        <v>132.0</v>
      </c>
      <c r="I138" s="111" t="str">
        <f t="shared" si="7"/>
        <v>CARE11</v>
      </c>
      <c r="J138" s="112" t="str">
        <f>VLOOKUP(I138,Capa!A:G,7,0)</f>
        <v>Outros</v>
      </c>
      <c r="K138" s="113">
        <f t="shared" si="8"/>
        <v>0.2603829787</v>
      </c>
      <c r="L138" s="113">
        <f t="shared" si="9"/>
        <v>0</v>
      </c>
      <c r="M138" s="113" t="str">
        <f t="shared" si="10"/>
        <v/>
      </c>
      <c r="N138" s="113" t="str">
        <f t="shared" si="11"/>
        <v/>
      </c>
      <c r="O138" s="114">
        <f t="shared" si="12"/>
        <v>18070.45</v>
      </c>
      <c r="P138" s="9"/>
      <c r="Q138" s="9"/>
      <c r="R138" s="127" t="s">
        <v>166</v>
      </c>
      <c r="S138" s="116">
        <f t="shared" si="13"/>
        <v>1181.00028</v>
      </c>
      <c r="T138" s="117">
        <f>MID(VLOOKUP($R138,'Dados ClubeFII'!$A:$AU,23,0),3,100)/1</f>
        <v>0</v>
      </c>
      <c r="U138" s="118">
        <f t="shared" si="14"/>
        <v>1.0001</v>
      </c>
      <c r="V138" s="118">
        <f t="shared" si="15"/>
        <v>180.00018</v>
      </c>
      <c r="W138" s="118" t="str">
        <f t="shared" ref="W138:AS138" si="147">IF(AV138="","", RANK(AV138,AV$7:AV$405,0))</f>
        <v/>
      </c>
      <c r="X138" s="118" t="str">
        <f t="shared" si="147"/>
        <v/>
      </c>
      <c r="Y138" s="118" t="str">
        <f t="shared" si="147"/>
        <v/>
      </c>
      <c r="Z138" s="118" t="str">
        <f t="shared" si="147"/>
        <v/>
      </c>
      <c r="AA138" s="118" t="str">
        <f t="shared" si="147"/>
        <v/>
      </c>
      <c r="AB138" s="118" t="str">
        <f t="shared" si="147"/>
        <v/>
      </c>
      <c r="AC138" s="118" t="str">
        <f t="shared" si="147"/>
        <v/>
      </c>
      <c r="AD138" s="118" t="str">
        <f t="shared" si="147"/>
        <v/>
      </c>
      <c r="AE138" s="118" t="str">
        <f t="shared" si="147"/>
        <v/>
      </c>
      <c r="AF138" s="118" t="str">
        <f t="shared" si="147"/>
        <v/>
      </c>
      <c r="AG138" s="118" t="str">
        <f t="shared" si="147"/>
        <v/>
      </c>
      <c r="AH138" s="118" t="str">
        <f t="shared" si="147"/>
        <v/>
      </c>
      <c r="AI138" s="118" t="str">
        <f t="shared" si="147"/>
        <v/>
      </c>
      <c r="AJ138" s="118" t="str">
        <f t="shared" si="147"/>
        <v/>
      </c>
      <c r="AK138" s="118" t="str">
        <f t="shared" si="147"/>
        <v/>
      </c>
      <c r="AL138" s="118" t="str">
        <f t="shared" si="147"/>
        <v/>
      </c>
      <c r="AM138" s="118" t="str">
        <f t="shared" si="147"/>
        <v/>
      </c>
      <c r="AN138" s="118" t="str">
        <f t="shared" si="147"/>
        <v/>
      </c>
      <c r="AO138" s="118" t="str">
        <f t="shared" si="147"/>
        <v/>
      </c>
      <c r="AP138" s="118" t="str">
        <f t="shared" si="147"/>
        <v/>
      </c>
      <c r="AQ138" s="118" t="str">
        <f t="shared" si="147"/>
        <v/>
      </c>
      <c r="AR138" s="118" t="str">
        <f t="shared" si="147"/>
        <v/>
      </c>
      <c r="AS138" s="118" t="str">
        <f t="shared" si="147"/>
        <v/>
      </c>
      <c r="AT138" s="123">
        <f>IF(AT$6="","",IF(AT$3="Maior",iferror(VLOOKUP($R138,Capa!$A:$Z,AT$5,0),0),IF(ISERROR(1/VLOOKUP($R138,Capa!$A:$Z,AT$5,0)),0,1/VLOOKUP($R138,Capa!$A:$Z,AT$5,0))))</f>
        <v>333.3333333</v>
      </c>
      <c r="AU138" s="124">
        <f>IF(AU$6="","",IF(AU$3="Maior",iferror(VLOOKUP($R138,Capa!$A:$Z,AU$5,0),0),IF(ISERROR(1/VLOOKUP($R138,Capa!$A:$Z,AU$5,0)),0,1/VLOOKUP($R138,Capa!$A:$Z,AU$5,0))))</f>
        <v>0.0005795454545</v>
      </c>
      <c r="AV138" s="124" t="str">
        <f>IF(AV$6="","",IF(AV$3="Maior",iferror(VLOOKUP($R136,Capa!$A:$Z,AV$5,0),0),IF(ISERROR(1/VLOOKUP($R136,Capa!$A:$Z,AV$5,0)),0,1/VLOOKUP($R136,Capa!$A:$Z,AV$5,0))))</f>
        <v/>
      </c>
      <c r="AW138" s="124" t="str">
        <f>IF(AW$6="","",IF(AW$3="Maior",iferror(VLOOKUP($R136,Capa!$A:$Z,AW$5,0),0),IF(ISERROR(1/VLOOKUP($R136,Capa!$A:$Z,AW$5,0)),0,1/VLOOKUP($R136,Capa!$A:$Z,AW$5,0))))</f>
        <v/>
      </c>
      <c r="AX138" s="124" t="str">
        <f>IF(AX$6="","",IF(AX$3="Maior",iferror(VLOOKUP($R136,Capa!$A:$Z,AX$5,0),0),IF(ISERROR(1/VLOOKUP($R136,Capa!$A:$Z,AX$5,0)),0,1/VLOOKUP($R136,Capa!$A:$Z,AX$5,0))))</f>
        <v/>
      </c>
      <c r="AY138" s="124" t="str">
        <f>IF(AY$6="","",IF(AY$3="Maior",iferror(VLOOKUP($R136,Capa!$A:$Z,AY$5,0),0),IF(ISERROR(1/VLOOKUP($R136,Capa!$A:$Z,AY$5,0)),0,1/VLOOKUP($R136,Capa!$A:$Z,AY$5,0))))</f>
        <v/>
      </c>
      <c r="AZ138" s="124" t="str">
        <f>IF(AZ$6="","",IF(AZ$3="Maior",iferror(VLOOKUP($R136,Capa!$A:$Z,AZ$5,0),0),IF(ISERROR(1/VLOOKUP($R136,Capa!$A:$Z,AZ$5,0)),0,1/VLOOKUP($R136,Capa!$A:$Z,AZ$5,0))))</f>
        <v/>
      </c>
      <c r="BA138" s="124" t="str">
        <f>IF(BA$6="","",IF(BA$3="Maior",iferror(VLOOKUP($R136,Capa!$A:$Z,BA$5,0),0),IF(ISERROR(1/VLOOKUP($R136,Capa!$A:$Z,BA$5,0)),0,1/VLOOKUP($R136,Capa!$A:$Z,BA$5,0))))</f>
        <v/>
      </c>
      <c r="BB138" s="124" t="str">
        <f>IF(BB$6="","",IF(BB$3="Maior",iferror(VLOOKUP($R136,Capa!$A:$Z,BB$5,0),0),IF(ISERROR(1/VLOOKUP($R136,Capa!$A:$Z,BB$5,0)),0,1/VLOOKUP($R136,Capa!$A:$Z,BB$5,0))))</f>
        <v/>
      </c>
      <c r="BC138" s="124" t="str">
        <f>IF(BC$6="","",IF(BC$3="Maior",iferror(VLOOKUP($R136,Capa!$A:$Z,BC$5,0),0),IF(ISERROR(1/VLOOKUP($R136,Capa!$A:$Z,BC$5,0)),0,1/VLOOKUP($R136,Capa!$A:$Z,BC$5,0))))</f>
        <v/>
      </c>
      <c r="BD138" s="124" t="str">
        <f>IF(BD$6="","",IF(BD$3="Maior",iferror(VLOOKUP($R136,Capa!$A:$Z,BD$5,0),0),IF(ISERROR(1/VLOOKUP($R136,Capa!$A:$Z,BD$5,0)),0,1/VLOOKUP($R136,Capa!$A:$Z,BD$5,0))))</f>
        <v/>
      </c>
      <c r="BE138" s="124" t="str">
        <f>IF(BE$6="","",IF(BE$3="Maior",iferror(VLOOKUP($R136,Capa!$A:$Z,BE$5,0),0),IF(ISERROR(1/VLOOKUP($R136,Capa!$A:$Z,BE$5,0)),0,1/VLOOKUP($R136,Capa!$A:$Z,BE$5,0))))</f>
        <v/>
      </c>
      <c r="BF138" s="124" t="str">
        <f>IF(BF$6="","",IF(BF$3="Maior",iferror(VLOOKUP($R136,Capa!$A:$Z,BF$5,0),0),IF(ISERROR(1/VLOOKUP($R136,Capa!$A:$Z,BF$5,0)),0,1/VLOOKUP($R136,Capa!$A:$Z,BF$5,0))))</f>
        <v/>
      </c>
      <c r="BG138" s="124" t="str">
        <f>IF(BG$6="","",IF(BG$3="Maior",iferror(VLOOKUP($R136,Capa!$A:$Z,BG$5,0),0),IF(ISERROR(1/VLOOKUP($R136,Capa!$A:$Z,BG$5,0)),0,1/VLOOKUP($R136,Capa!$A:$Z,BG$5,0))))</f>
        <v/>
      </c>
      <c r="BH138" s="124" t="str">
        <f>IF(BH$6="","",IF(BH$3="Maior",iferror(VLOOKUP($R136,Capa!$A:$Z,BH$5,0),0),IF(ISERROR(1/VLOOKUP($R136,Capa!$A:$Z,BH$5,0)),0,1/VLOOKUP($R136,Capa!$A:$Z,BH$5,0))))</f>
        <v/>
      </c>
      <c r="BI138" s="124" t="str">
        <f>IF(BI$6="","",IF(BI$3="Maior",iferror(VLOOKUP($R136,Capa!$A:$Z,BI$5,0),0),IF(ISERROR(1/VLOOKUP($R136,Capa!$A:$Z,BI$5,0)),0,1/VLOOKUP($R136,Capa!$A:$Z,BI$5,0))))</f>
        <v/>
      </c>
      <c r="BJ138" s="124" t="str">
        <f>IF(BJ$6="","",IF(BJ$3="Maior",iferror(VLOOKUP($R136,Capa!$A:$Z,BJ$5,0),0),IF(ISERROR(1/VLOOKUP($R136,Capa!$A:$Z,BJ$5,0)),0,1/VLOOKUP($R136,Capa!$A:$Z,BJ$5,0))))</f>
        <v/>
      </c>
      <c r="BK138" s="124" t="str">
        <f>IF(BK$6="","",IF(BK$3="Maior",iferror(VLOOKUP($R136,Capa!$A:$Z,BK$5,0),0),IF(ISERROR(1/VLOOKUP($R136,Capa!$A:$Z,BK$5,0)),0,1/VLOOKUP($R136,Capa!$A:$Z,BK$5,0))))</f>
        <v/>
      </c>
      <c r="BL138" s="124" t="str">
        <f>IF(BL$6="","",IF(BL$3="Maior",iferror(VLOOKUP($R136,Capa!$A:$Z,BL$5,0),0),IF(ISERROR(1/VLOOKUP($R136,Capa!$A:$Z,BL$5,0)),0,1/VLOOKUP($R136,Capa!$A:$Z,BL$5,0))))</f>
        <v/>
      </c>
      <c r="BM138" s="124" t="str">
        <f>IF(BM$6="","",IF(BM$3="Maior",iferror(VLOOKUP($R136,Capa!$A:$Z,BM$5,0),0),IF(ISERROR(1/VLOOKUP($R136,Capa!$A:$Z,BM$5,0)),0,1/VLOOKUP($R136,Capa!$A:$Z,BM$5,0))))</f>
        <v/>
      </c>
      <c r="BN138" s="124" t="str">
        <f>IF(BN$6="","",IF(BN$3="Maior",iferror(VLOOKUP($R136,Capa!$A:$Z,BN$5,0),0),IF(ISERROR(1/VLOOKUP($R136,Capa!$A:$Z,BN$5,0)),0,1/VLOOKUP($R136,Capa!$A:$Z,BN$5,0))))</f>
        <v/>
      </c>
      <c r="BO138" s="124" t="str">
        <f>IF(BO$6="","",IF(BO$3="Maior",iferror(VLOOKUP($R136,Capa!$A:$Z,BO$5,0),0),IF(ISERROR(1/VLOOKUP($R136,Capa!$A:$Z,BO$5,0)),0,1/VLOOKUP($R136,Capa!$A:$Z,BO$5,0))))</f>
        <v/>
      </c>
      <c r="BP138" s="124" t="str">
        <f>IF(BP$6="","",IF(BP$3="Maior",iferror(VLOOKUP($R136,Capa!$A:$Z,BP$5,0),0),IF(ISERROR(1/VLOOKUP($R136,Capa!$A:$Z,BP$5,0)),0,1/VLOOKUP($R136,Capa!$A:$Z,BP$5,0))))</f>
        <v/>
      </c>
      <c r="BQ138" s="124" t="str">
        <f>IF(BQ$6="","",IF(BQ$3="Maior",iferror(VLOOKUP($R136,Capa!$A:$Z,BQ$5,0),0),IF(ISERROR(1/VLOOKUP($R136,Capa!$A:$Z,BQ$5,0)),0,1/VLOOKUP($R136,Capa!$A:$Z,BQ$5,0))))</f>
        <v/>
      </c>
      <c r="BR138" s="125" t="str">
        <f>IF(BR$6="","",IF(BR$3="Maior",iferror(VLOOKUP($R136,Capa!$A:$Z,BR$5,0),0),IF(ISERROR(1/VLOOKUP($R136,Capa!$A:$Z,BR$5,0)),0,1/VLOOKUP($R136,Capa!$A:$Z,BR$5,0))))</f>
        <v/>
      </c>
      <c r="BS138" s="88"/>
    </row>
    <row r="139">
      <c r="G139" s="9"/>
      <c r="H139" s="7">
        <v>133.0</v>
      </c>
      <c r="I139" s="129" t="str">
        <f t="shared" si="7"/>
        <v>BPML11</v>
      </c>
      <c r="J139" s="112" t="str">
        <f>VLOOKUP(I139,Capa!A:G,7,0)</f>
        <v>Shopping/Varejo</v>
      </c>
      <c r="K139" s="113">
        <f t="shared" si="8"/>
        <v>0.4535675492</v>
      </c>
      <c r="L139" s="113">
        <f t="shared" si="9"/>
        <v>0.04487423625</v>
      </c>
      <c r="M139" s="113" t="str">
        <f t="shared" si="10"/>
        <v/>
      </c>
      <c r="N139" s="113" t="str">
        <f t="shared" si="11"/>
        <v/>
      </c>
      <c r="O139" s="114">
        <f t="shared" si="12"/>
        <v>13563.55</v>
      </c>
      <c r="P139" s="9"/>
      <c r="Q139" s="9"/>
      <c r="R139" s="127" t="s">
        <v>165</v>
      </c>
      <c r="S139" s="116">
        <f t="shared" si="13"/>
        <v>202.008221</v>
      </c>
      <c r="T139" s="117">
        <f>MID(VLOOKUP($R139,'Dados ClubeFII'!$A:$AU,23,0),3,100)/1</f>
        <v>2496620.45</v>
      </c>
      <c r="U139" s="118">
        <f t="shared" si="14"/>
        <v>81.0081</v>
      </c>
      <c r="V139" s="118">
        <f t="shared" si="15"/>
        <v>121.000121</v>
      </c>
      <c r="W139" s="118" t="str">
        <f t="shared" ref="W139:AS139" si="148">IF(AV139="","", RANK(AV139,AV$7:AV$405,0))</f>
        <v/>
      </c>
      <c r="X139" s="118" t="str">
        <f t="shared" si="148"/>
        <v/>
      </c>
      <c r="Y139" s="118" t="str">
        <f t="shared" si="148"/>
        <v/>
      </c>
      <c r="Z139" s="118" t="str">
        <f t="shared" si="148"/>
        <v/>
      </c>
      <c r="AA139" s="118" t="str">
        <f t="shared" si="148"/>
        <v/>
      </c>
      <c r="AB139" s="118" t="str">
        <f t="shared" si="148"/>
        <v/>
      </c>
      <c r="AC139" s="118" t="str">
        <f t="shared" si="148"/>
        <v/>
      </c>
      <c r="AD139" s="118" t="str">
        <f t="shared" si="148"/>
        <v/>
      </c>
      <c r="AE139" s="118" t="str">
        <f t="shared" si="148"/>
        <v/>
      </c>
      <c r="AF139" s="118" t="str">
        <f t="shared" si="148"/>
        <v/>
      </c>
      <c r="AG139" s="118" t="str">
        <f t="shared" si="148"/>
        <v/>
      </c>
      <c r="AH139" s="118" t="str">
        <f t="shared" si="148"/>
        <v/>
      </c>
      <c r="AI139" s="118" t="str">
        <f t="shared" si="148"/>
        <v/>
      </c>
      <c r="AJ139" s="118" t="str">
        <f t="shared" si="148"/>
        <v/>
      </c>
      <c r="AK139" s="118" t="str">
        <f t="shared" si="148"/>
        <v/>
      </c>
      <c r="AL139" s="118" t="str">
        <f t="shared" si="148"/>
        <v/>
      </c>
      <c r="AM139" s="118" t="str">
        <f t="shared" si="148"/>
        <v/>
      </c>
      <c r="AN139" s="118" t="str">
        <f t="shared" si="148"/>
        <v/>
      </c>
      <c r="AO139" s="118" t="str">
        <f t="shared" si="148"/>
        <v/>
      </c>
      <c r="AP139" s="118" t="str">
        <f t="shared" si="148"/>
        <v/>
      </c>
      <c r="AQ139" s="118" t="str">
        <f t="shared" si="148"/>
        <v/>
      </c>
      <c r="AR139" s="118" t="str">
        <f t="shared" si="148"/>
        <v/>
      </c>
      <c r="AS139" s="118" t="str">
        <f t="shared" si="148"/>
        <v/>
      </c>
      <c r="AT139" s="123">
        <f>IF(AT$6="","",IF(AT$3="Maior",iferror(VLOOKUP($R139,Capa!$A:$Z,AT$5,0),0),IF(ISERROR(1/VLOOKUP($R139,Capa!$A:$Z,AT$5,0)),0,1/VLOOKUP($R139,Capa!$A:$Z,AT$5,0))))</f>
        <v>1.225910631</v>
      </c>
      <c r="AU139" s="124">
        <f>IF(AU$6="","",IF(AU$3="Maior",iferror(VLOOKUP($R139,Capa!$A:$Z,AU$5,0),0),IF(ISERROR(1/VLOOKUP($R139,Capa!$A:$Z,AU$5,0)),0,1/VLOOKUP($R139,Capa!$A:$Z,AU$5,0))))</f>
        <v>0.09819231268</v>
      </c>
      <c r="AV139" s="124" t="str">
        <f>IF(AV$6="","",IF(AV$3="Maior",iferror(VLOOKUP($R137,Capa!$A:$Z,AV$5,0),0),IF(ISERROR(1/VLOOKUP($R137,Capa!$A:$Z,AV$5,0)),0,1/VLOOKUP($R137,Capa!$A:$Z,AV$5,0))))</f>
        <v/>
      </c>
      <c r="AW139" s="124" t="str">
        <f>IF(AW$6="","",IF(AW$3="Maior",iferror(VLOOKUP($R137,Capa!$A:$Z,AW$5,0),0),IF(ISERROR(1/VLOOKUP($R137,Capa!$A:$Z,AW$5,0)),0,1/VLOOKUP($R137,Capa!$A:$Z,AW$5,0))))</f>
        <v/>
      </c>
      <c r="AX139" s="124" t="str">
        <f>IF(AX$6="","",IF(AX$3="Maior",iferror(VLOOKUP($R137,Capa!$A:$Z,AX$5,0),0),IF(ISERROR(1/VLOOKUP($R137,Capa!$A:$Z,AX$5,0)),0,1/VLOOKUP($R137,Capa!$A:$Z,AX$5,0))))</f>
        <v/>
      </c>
      <c r="AY139" s="124" t="str">
        <f>IF(AY$6="","",IF(AY$3="Maior",iferror(VLOOKUP($R137,Capa!$A:$Z,AY$5,0),0),IF(ISERROR(1/VLOOKUP($R137,Capa!$A:$Z,AY$5,0)),0,1/VLOOKUP($R137,Capa!$A:$Z,AY$5,0))))</f>
        <v/>
      </c>
      <c r="AZ139" s="124" t="str">
        <f>IF(AZ$6="","",IF(AZ$3="Maior",iferror(VLOOKUP($R137,Capa!$A:$Z,AZ$5,0),0),IF(ISERROR(1/VLOOKUP($R137,Capa!$A:$Z,AZ$5,0)),0,1/VLOOKUP($R137,Capa!$A:$Z,AZ$5,0))))</f>
        <v/>
      </c>
      <c r="BA139" s="124" t="str">
        <f>IF(BA$6="","",IF(BA$3="Maior",iferror(VLOOKUP($R137,Capa!$A:$Z,BA$5,0),0),IF(ISERROR(1/VLOOKUP($R137,Capa!$A:$Z,BA$5,0)),0,1/VLOOKUP($R137,Capa!$A:$Z,BA$5,0))))</f>
        <v/>
      </c>
      <c r="BB139" s="124" t="str">
        <f>IF(BB$6="","",IF(BB$3="Maior",iferror(VLOOKUP($R137,Capa!$A:$Z,BB$5,0),0),IF(ISERROR(1/VLOOKUP($R137,Capa!$A:$Z,BB$5,0)),0,1/VLOOKUP($R137,Capa!$A:$Z,BB$5,0))))</f>
        <v/>
      </c>
      <c r="BC139" s="124" t="str">
        <f>IF(BC$6="","",IF(BC$3="Maior",iferror(VLOOKUP($R137,Capa!$A:$Z,BC$5,0),0),IF(ISERROR(1/VLOOKUP($R137,Capa!$A:$Z,BC$5,0)),0,1/VLOOKUP($R137,Capa!$A:$Z,BC$5,0))))</f>
        <v/>
      </c>
      <c r="BD139" s="124" t="str">
        <f>IF(BD$6="","",IF(BD$3="Maior",iferror(VLOOKUP($R137,Capa!$A:$Z,BD$5,0),0),IF(ISERROR(1/VLOOKUP($R137,Capa!$A:$Z,BD$5,0)),0,1/VLOOKUP($R137,Capa!$A:$Z,BD$5,0))))</f>
        <v/>
      </c>
      <c r="BE139" s="124" t="str">
        <f>IF(BE$6="","",IF(BE$3="Maior",iferror(VLOOKUP($R137,Capa!$A:$Z,BE$5,0),0),IF(ISERROR(1/VLOOKUP($R137,Capa!$A:$Z,BE$5,0)),0,1/VLOOKUP($R137,Capa!$A:$Z,BE$5,0))))</f>
        <v/>
      </c>
      <c r="BF139" s="124" t="str">
        <f>IF(BF$6="","",IF(BF$3="Maior",iferror(VLOOKUP($R137,Capa!$A:$Z,BF$5,0),0),IF(ISERROR(1/VLOOKUP($R137,Capa!$A:$Z,BF$5,0)),0,1/VLOOKUP($R137,Capa!$A:$Z,BF$5,0))))</f>
        <v/>
      </c>
      <c r="BG139" s="124" t="str">
        <f>IF(BG$6="","",IF(BG$3="Maior",iferror(VLOOKUP($R137,Capa!$A:$Z,BG$5,0),0),IF(ISERROR(1/VLOOKUP($R137,Capa!$A:$Z,BG$5,0)),0,1/VLOOKUP($R137,Capa!$A:$Z,BG$5,0))))</f>
        <v/>
      </c>
      <c r="BH139" s="124" t="str">
        <f>IF(BH$6="","",IF(BH$3="Maior",iferror(VLOOKUP($R137,Capa!$A:$Z,BH$5,0),0),IF(ISERROR(1/VLOOKUP($R137,Capa!$A:$Z,BH$5,0)),0,1/VLOOKUP($R137,Capa!$A:$Z,BH$5,0))))</f>
        <v/>
      </c>
      <c r="BI139" s="124" t="str">
        <f>IF(BI$6="","",IF(BI$3="Maior",iferror(VLOOKUP($R137,Capa!$A:$Z,BI$5,0),0),IF(ISERROR(1/VLOOKUP($R137,Capa!$A:$Z,BI$5,0)),0,1/VLOOKUP($R137,Capa!$A:$Z,BI$5,0))))</f>
        <v/>
      </c>
      <c r="BJ139" s="124" t="str">
        <f>IF(BJ$6="","",IF(BJ$3="Maior",iferror(VLOOKUP($R137,Capa!$A:$Z,BJ$5,0),0),IF(ISERROR(1/VLOOKUP($R137,Capa!$A:$Z,BJ$5,0)),0,1/VLOOKUP($R137,Capa!$A:$Z,BJ$5,0))))</f>
        <v/>
      </c>
      <c r="BK139" s="124" t="str">
        <f>IF(BK$6="","",IF(BK$3="Maior",iferror(VLOOKUP($R137,Capa!$A:$Z,BK$5,0),0),IF(ISERROR(1/VLOOKUP($R137,Capa!$A:$Z,BK$5,0)),0,1/VLOOKUP($R137,Capa!$A:$Z,BK$5,0))))</f>
        <v/>
      </c>
      <c r="BL139" s="124" t="str">
        <f>IF(BL$6="","",IF(BL$3="Maior",iferror(VLOOKUP($R137,Capa!$A:$Z,BL$5,0),0),IF(ISERROR(1/VLOOKUP($R137,Capa!$A:$Z,BL$5,0)),0,1/VLOOKUP($R137,Capa!$A:$Z,BL$5,0))))</f>
        <v/>
      </c>
      <c r="BM139" s="124" t="str">
        <f>IF(BM$6="","",IF(BM$3="Maior",iferror(VLOOKUP($R137,Capa!$A:$Z,BM$5,0),0),IF(ISERROR(1/VLOOKUP($R137,Capa!$A:$Z,BM$5,0)),0,1/VLOOKUP($R137,Capa!$A:$Z,BM$5,0))))</f>
        <v/>
      </c>
      <c r="BN139" s="124" t="str">
        <f>IF(BN$6="","",IF(BN$3="Maior",iferror(VLOOKUP($R137,Capa!$A:$Z,BN$5,0),0),IF(ISERROR(1/VLOOKUP($R137,Capa!$A:$Z,BN$5,0)),0,1/VLOOKUP($R137,Capa!$A:$Z,BN$5,0))))</f>
        <v/>
      </c>
      <c r="BO139" s="124" t="str">
        <f>IF(BO$6="","",IF(BO$3="Maior",iferror(VLOOKUP($R137,Capa!$A:$Z,BO$5,0),0),IF(ISERROR(1/VLOOKUP($R137,Capa!$A:$Z,BO$5,0)),0,1/VLOOKUP($R137,Capa!$A:$Z,BO$5,0))))</f>
        <v/>
      </c>
      <c r="BP139" s="124" t="str">
        <f>IF(BP$6="","",IF(BP$3="Maior",iferror(VLOOKUP($R137,Capa!$A:$Z,BP$5,0),0),IF(ISERROR(1/VLOOKUP($R137,Capa!$A:$Z,BP$5,0)),0,1/VLOOKUP($R137,Capa!$A:$Z,BP$5,0))))</f>
        <v/>
      </c>
      <c r="BQ139" s="124" t="str">
        <f>IF(BQ$6="","",IF(BQ$3="Maior",iferror(VLOOKUP($R137,Capa!$A:$Z,BQ$5,0),0),IF(ISERROR(1/VLOOKUP($R137,Capa!$A:$Z,BQ$5,0)),0,1/VLOOKUP($R137,Capa!$A:$Z,BQ$5,0))))</f>
        <v/>
      </c>
      <c r="BR139" s="125" t="str">
        <f>IF(BR$6="","",IF(BR$3="Maior",iferror(VLOOKUP($R137,Capa!$A:$Z,BR$5,0),0),IF(ISERROR(1/VLOOKUP($R137,Capa!$A:$Z,BR$5,0)),0,1/VLOOKUP($R137,Capa!$A:$Z,BR$5,0))))</f>
        <v/>
      </c>
      <c r="BS139" s="88"/>
    </row>
    <row r="140">
      <c r="G140" s="9"/>
      <c r="H140" s="7">
        <v>134.0</v>
      </c>
      <c r="I140" s="111" t="str">
        <f t="shared" si="7"/>
        <v>TEPP11</v>
      </c>
      <c r="J140" s="112" t="str">
        <f>VLOOKUP(I140,Capa!A:G,7,0)</f>
        <v>Lajes Comerciais</v>
      </c>
      <c r="K140" s="113">
        <f t="shared" si="8"/>
        <v>0.6792895522</v>
      </c>
      <c r="L140" s="113">
        <f t="shared" si="9"/>
        <v>0.08850453731</v>
      </c>
      <c r="M140" s="113" t="str">
        <f t="shared" si="10"/>
        <v/>
      </c>
      <c r="N140" s="113" t="str">
        <f t="shared" si="11"/>
        <v/>
      </c>
      <c r="O140" s="114">
        <f t="shared" si="12"/>
        <v>451577.65</v>
      </c>
      <c r="P140" s="9"/>
      <c r="Q140" s="9"/>
      <c r="R140" s="115" t="s">
        <v>183</v>
      </c>
      <c r="S140" s="116">
        <f t="shared" si="13"/>
        <v>1232.00736</v>
      </c>
      <c r="T140" s="117">
        <f>MID(VLOOKUP($R140,'Dados ClubeFII'!$A:$AU,23,0),3,100)/1</f>
        <v>1701.21</v>
      </c>
      <c r="U140" s="118">
        <f t="shared" si="14"/>
        <v>72.0072</v>
      </c>
      <c r="V140" s="118">
        <f t="shared" si="15"/>
        <v>160.00016</v>
      </c>
      <c r="W140" s="118" t="str">
        <f t="shared" ref="W140:AS140" si="149">IF(AV140="","", RANK(AV140,AV$7:AV$405,0))</f>
        <v/>
      </c>
      <c r="X140" s="118" t="str">
        <f t="shared" si="149"/>
        <v/>
      </c>
      <c r="Y140" s="118" t="str">
        <f t="shared" si="149"/>
        <v/>
      </c>
      <c r="Z140" s="118" t="str">
        <f t="shared" si="149"/>
        <v/>
      </c>
      <c r="AA140" s="118" t="str">
        <f t="shared" si="149"/>
        <v/>
      </c>
      <c r="AB140" s="118" t="str">
        <f t="shared" si="149"/>
        <v/>
      </c>
      <c r="AC140" s="118" t="str">
        <f t="shared" si="149"/>
        <v/>
      </c>
      <c r="AD140" s="118" t="str">
        <f t="shared" si="149"/>
        <v/>
      </c>
      <c r="AE140" s="118" t="str">
        <f t="shared" si="149"/>
        <v/>
      </c>
      <c r="AF140" s="118" t="str">
        <f t="shared" si="149"/>
        <v/>
      </c>
      <c r="AG140" s="118" t="str">
        <f t="shared" si="149"/>
        <v/>
      </c>
      <c r="AH140" s="118" t="str">
        <f t="shared" si="149"/>
        <v/>
      </c>
      <c r="AI140" s="118" t="str">
        <f t="shared" si="149"/>
        <v/>
      </c>
      <c r="AJ140" s="118" t="str">
        <f t="shared" si="149"/>
        <v/>
      </c>
      <c r="AK140" s="118" t="str">
        <f t="shared" si="149"/>
        <v/>
      </c>
      <c r="AL140" s="118" t="str">
        <f t="shared" si="149"/>
        <v/>
      </c>
      <c r="AM140" s="118" t="str">
        <f t="shared" si="149"/>
        <v/>
      </c>
      <c r="AN140" s="118" t="str">
        <f t="shared" si="149"/>
        <v/>
      </c>
      <c r="AO140" s="118" t="str">
        <f t="shared" si="149"/>
        <v/>
      </c>
      <c r="AP140" s="118" t="str">
        <f t="shared" si="149"/>
        <v/>
      </c>
      <c r="AQ140" s="118" t="str">
        <f t="shared" si="149"/>
        <v/>
      </c>
      <c r="AR140" s="118" t="str">
        <f t="shared" si="149"/>
        <v/>
      </c>
      <c r="AS140" s="118" t="str">
        <f t="shared" si="149"/>
        <v/>
      </c>
      <c r="AT140" s="123">
        <f>IF(AT$6="","",IF(AT$3="Maior",iferror(VLOOKUP($R140,Capa!$A:$Z,AT$5,0),0),IF(ISERROR(1/VLOOKUP($R140,Capa!$A:$Z,AT$5,0)),0,1/VLOOKUP($R140,Capa!$A:$Z,AT$5,0))))</f>
        <v>1.282856642</v>
      </c>
      <c r="AU140" s="124">
        <f>IF(AU$6="","",IF(AU$3="Maior",iferror(VLOOKUP($R140,Capa!$A:$Z,AU$5,0),0),IF(ISERROR(1/VLOOKUP($R140,Capa!$A:$Z,AU$5,0)),0,1/VLOOKUP($R140,Capa!$A:$Z,AU$5,0))))</f>
        <v>0.07110655177</v>
      </c>
      <c r="AV140" s="124" t="str">
        <f>IF(AV$6="","",IF(AV$3="Maior",iferror(VLOOKUP($R138,Capa!$A:$Z,AV$5,0),0),IF(ISERROR(1/VLOOKUP($R138,Capa!$A:$Z,AV$5,0)),0,1/VLOOKUP($R138,Capa!$A:$Z,AV$5,0))))</f>
        <v/>
      </c>
      <c r="AW140" s="124" t="str">
        <f>IF(AW$6="","",IF(AW$3="Maior",iferror(VLOOKUP($R138,Capa!$A:$Z,AW$5,0),0),IF(ISERROR(1/VLOOKUP($R138,Capa!$A:$Z,AW$5,0)),0,1/VLOOKUP($R138,Capa!$A:$Z,AW$5,0))))</f>
        <v/>
      </c>
      <c r="AX140" s="124" t="str">
        <f>IF(AX$6="","",IF(AX$3="Maior",iferror(VLOOKUP($R138,Capa!$A:$Z,AX$5,0),0),IF(ISERROR(1/VLOOKUP($R138,Capa!$A:$Z,AX$5,0)),0,1/VLOOKUP($R138,Capa!$A:$Z,AX$5,0))))</f>
        <v/>
      </c>
      <c r="AY140" s="124" t="str">
        <f>IF(AY$6="","",IF(AY$3="Maior",iferror(VLOOKUP($R138,Capa!$A:$Z,AY$5,0),0),IF(ISERROR(1/VLOOKUP($R138,Capa!$A:$Z,AY$5,0)),0,1/VLOOKUP($R138,Capa!$A:$Z,AY$5,0))))</f>
        <v/>
      </c>
      <c r="AZ140" s="124" t="str">
        <f>IF(AZ$6="","",IF(AZ$3="Maior",iferror(VLOOKUP($R138,Capa!$A:$Z,AZ$5,0),0),IF(ISERROR(1/VLOOKUP($R138,Capa!$A:$Z,AZ$5,0)),0,1/VLOOKUP($R138,Capa!$A:$Z,AZ$5,0))))</f>
        <v/>
      </c>
      <c r="BA140" s="124" t="str">
        <f>IF(BA$6="","",IF(BA$3="Maior",iferror(VLOOKUP($R138,Capa!$A:$Z,BA$5,0),0),IF(ISERROR(1/VLOOKUP($R138,Capa!$A:$Z,BA$5,0)),0,1/VLOOKUP($R138,Capa!$A:$Z,BA$5,0))))</f>
        <v/>
      </c>
      <c r="BB140" s="124" t="str">
        <f>IF(BB$6="","",IF(BB$3="Maior",iferror(VLOOKUP($R138,Capa!$A:$Z,BB$5,0),0),IF(ISERROR(1/VLOOKUP($R138,Capa!$A:$Z,BB$5,0)),0,1/VLOOKUP($R138,Capa!$A:$Z,BB$5,0))))</f>
        <v/>
      </c>
      <c r="BC140" s="124" t="str">
        <f>IF(BC$6="","",IF(BC$3="Maior",iferror(VLOOKUP($R138,Capa!$A:$Z,BC$5,0),0),IF(ISERROR(1/VLOOKUP($R138,Capa!$A:$Z,BC$5,0)),0,1/VLOOKUP($R138,Capa!$A:$Z,BC$5,0))))</f>
        <v/>
      </c>
      <c r="BD140" s="124" t="str">
        <f>IF(BD$6="","",IF(BD$3="Maior",iferror(VLOOKUP($R138,Capa!$A:$Z,BD$5,0),0),IF(ISERROR(1/VLOOKUP($R138,Capa!$A:$Z,BD$5,0)),0,1/VLOOKUP($R138,Capa!$A:$Z,BD$5,0))))</f>
        <v/>
      </c>
      <c r="BE140" s="124" t="str">
        <f>IF(BE$6="","",IF(BE$3="Maior",iferror(VLOOKUP($R138,Capa!$A:$Z,BE$5,0),0),IF(ISERROR(1/VLOOKUP($R138,Capa!$A:$Z,BE$5,0)),0,1/VLOOKUP($R138,Capa!$A:$Z,BE$5,0))))</f>
        <v/>
      </c>
      <c r="BF140" s="124" t="str">
        <f>IF(BF$6="","",IF(BF$3="Maior",iferror(VLOOKUP($R138,Capa!$A:$Z,BF$5,0),0),IF(ISERROR(1/VLOOKUP($R138,Capa!$A:$Z,BF$5,0)),0,1/VLOOKUP($R138,Capa!$A:$Z,BF$5,0))))</f>
        <v/>
      </c>
      <c r="BG140" s="124" t="str">
        <f>IF(BG$6="","",IF(BG$3="Maior",iferror(VLOOKUP($R138,Capa!$A:$Z,BG$5,0),0),IF(ISERROR(1/VLOOKUP($R138,Capa!$A:$Z,BG$5,0)),0,1/VLOOKUP($R138,Capa!$A:$Z,BG$5,0))))</f>
        <v/>
      </c>
      <c r="BH140" s="124" t="str">
        <f>IF(BH$6="","",IF(BH$3="Maior",iferror(VLOOKUP($R138,Capa!$A:$Z,BH$5,0),0),IF(ISERROR(1/VLOOKUP($R138,Capa!$A:$Z,BH$5,0)),0,1/VLOOKUP($R138,Capa!$A:$Z,BH$5,0))))</f>
        <v/>
      </c>
      <c r="BI140" s="124" t="str">
        <f>IF(BI$6="","",IF(BI$3="Maior",iferror(VLOOKUP($R138,Capa!$A:$Z,BI$5,0),0),IF(ISERROR(1/VLOOKUP($R138,Capa!$A:$Z,BI$5,0)),0,1/VLOOKUP($R138,Capa!$A:$Z,BI$5,0))))</f>
        <v/>
      </c>
      <c r="BJ140" s="124" t="str">
        <f>IF(BJ$6="","",IF(BJ$3="Maior",iferror(VLOOKUP($R138,Capa!$A:$Z,BJ$5,0),0),IF(ISERROR(1/VLOOKUP($R138,Capa!$A:$Z,BJ$5,0)),0,1/VLOOKUP($R138,Capa!$A:$Z,BJ$5,0))))</f>
        <v/>
      </c>
      <c r="BK140" s="124" t="str">
        <f>IF(BK$6="","",IF(BK$3="Maior",iferror(VLOOKUP($R138,Capa!$A:$Z,BK$5,0),0),IF(ISERROR(1/VLOOKUP($R138,Capa!$A:$Z,BK$5,0)),0,1/VLOOKUP($R138,Capa!$A:$Z,BK$5,0))))</f>
        <v/>
      </c>
      <c r="BL140" s="124" t="str">
        <f>IF(BL$6="","",IF(BL$3="Maior",iferror(VLOOKUP($R138,Capa!$A:$Z,BL$5,0),0),IF(ISERROR(1/VLOOKUP($R138,Capa!$A:$Z,BL$5,0)),0,1/VLOOKUP($R138,Capa!$A:$Z,BL$5,0))))</f>
        <v/>
      </c>
      <c r="BM140" s="124" t="str">
        <f>IF(BM$6="","",IF(BM$3="Maior",iferror(VLOOKUP($R138,Capa!$A:$Z,BM$5,0),0),IF(ISERROR(1/VLOOKUP($R138,Capa!$A:$Z,BM$5,0)),0,1/VLOOKUP($R138,Capa!$A:$Z,BM$5,0))))</f>
        <v/>
      </c>
      <c r="BN140" s="124" t="str">
        <f>IF(BN$6="","",IF(BN$3="Maior",iferror(VLOOKUP($R138,Capa!$A:$Z,BN$5,0),0),IF(ISERROR(1/VLOOKUP($R138,Capa!$A:$Z,BN$5,0)),0,1/VLOOKUP($R138,Capa!$A:$Z,BN$5,0))))</f>
        <v/>
      </c>
      <c r="BO140" s="124" t="str">
        <f>IF(BO$6="","",IF(BO$3="Maior",iferror(VLOOKUP($R138,Capa!$A:$Z,BO$5,0),0),IF(ISERROR(1/VLOOKUP($R138,Capa!$A:$Z,BO$5,0)),0,1/VLOOKUP($R138,Capa!$A:$Z,BO$5,0))))</f>
        <v/>
      </c>
      <c r="BP140" s="124" t="str">
        <f>IF(BP$6="","",IF(BP$3="Maior",iferror(VLOOKUP($R138,Capa!$A:$Z,BP$5,0),0),IF(ISERROR(1/VLOOKUP($R138,Capa!$A:$Z,BP$5,0)),0,1/VLOOKUP($R138,Capa!$A:$Z,BP$5,0))))</f>
        <v/>
      </c>
      <c r="BQ140" s="124" t="str">
        <f>IF(BQ$6="","",IF(BQ$3="Maior",iferror(VLOOKUP($R138,Capa!$A:$Z,BQ$5,0),0),IF(ISERROR(1/VLOOKUP($R138,Capa!$A:$Z,BQ$5,0)),0,1/VLOOKUP($R138,Capa!$A:$Z,BQ$5,0))))</f>
        <v/>
      </c>
      <c r="BR140" s="125" t="str">
        <f>IF(BR$6="","",IF(BR$3="Maior",iferror(VLOOKUP($R138,Capa!$A:$Z,BR$5,0),0),IF(ISERROR(1/VLOOKUP($R138,Capa!$A:$Z,BR$5,0)),0,1/VLOOKUP($R138,Capa!$A:$Z,BR$5,0))))</f>
        <v/>
      </c>
      <c r="BS140" s="88"/>
    </row>
    <row r="141">
      <c r="G141" s="9"/>
      <c r="H141" s="7">
        <v>135.0</v>
      </c>
      <c r="I141" s="129" t="str">
        <f t="shared" si="7"/>
        <v>ARRI11</v>
      </c>
      <c r="J141" s="112" t="str">
        <f>VLOOKUP(I141,Capa!A:G,7,0)</f>
        <v>Recebíveis Imobiliários</v>
      </c>
      <c r="K141" s="113">
        <f t="shared" si="8"/>
        <v>0.9765339074</v>
      </c>
      <c r="L141" s="113">
        <f t="shared" si="9"/>
        <v>0.1535483315</v>
      </c>
      <c r="M141" s="113" t="str">
        <f t="shared" si="10"/>
        <v/>
      </c>
      <c r="N141" s="113" t="str">
        <f t="shared" si="11"/>
        <v/>
      </c>
      <c r="O141" s="114">
        <f t="shared" si="12"/>
        <v>360126.88</v>
      </c>
      <c r="P141" s="9"/>
      <c r="Q141" s="9"/>
      <c r="R141" s="115" t="s">
        <v>179</v>
      </c>
      <c r="S141" s="116">
        <f t="shared" si="13"/>
        <v>303.016539</v>
      </c>
      <c r="T141" s="117">
        <f>MID(VLOOKUP($R141,'Dados ClubeFII'!$A:$AU,23,0),3,100)/1</f>
        <v>4220057.77</v>
      </c>
      <c r="U141" s="118">
        <f t="shared" si="14"/>
        <v>164.0164</v>
      </c>
      <c r="V141" s="118">
        <f t="shared" si="15"/>
        <v>139.000139</v>
      </c>
      <c r="W141" s="118" t="str">
        <f t="shared" ref="W141:AS141" si="150">IF(AV141="","", RANK(AV141,AV$7:AV$405,0))</f>
        <v/>
      </c>
      <c r="X141" s="118" t="str">
        <f t="shared" si="150"/>
        <v/>
      </c>
      <c r="Y141" s="118" t="str">
        <f t="shared" si="150"/>
        <v/>
      </c>
      <c r="Z141" s="118" t="str">
        <f t="shared" si="150"/>
        <v/>
      </c>
      <c r="AA141" s="118" t="str">
        <f t="shared" si="150"/>
        <v/>
      </c>
      <c r="AB141" s="118" t="str">
        <f t="shared" si="150"/>
        <v/>
      </c>
      <c r="AC141" s="118" t="str">
        <f t="shared" si="150"/>
        <v/>
      </c>
      <c r="AD141" s="118" t="str">
        <f t="shared" si="150"/>
        <v/>
      </c>
      <c r="AE141" s="118" t="str">
        <f t="shared" si="150"/>
        <v/>
      </c>
      <c r="AF141" s="118" t="str">
        <f t="shared" si="150"/>
        <v/>
      </c>
      <c r="AG141" s="118" t="str">
        <f t="shared" si="150"/>
        <v/>
      </c>
      <c r="AH141" s="118" t="str">
        <f t="shared" si="150"/>
        <v/>
      </c>
      <c r="AI141" s="118" t="str">
        <f t="shared" si="150"/>
        <v/>
      </c>
      <c r="AJ141" s="118" t="str">
        <f t="shared" si="150"/>
        <v/>
      </c>
      <c r="AK141" s="118" t="str">
        <f t="shared" si="150"/>
        <v/>
      </c>
      <c r="AL141" s="118" t="str">
        <f t="shared" si="150"/>
        <v/>
      </c>
      <c r="AM141" s="118" t="str">
        <f t="shared" si="150"/>
        <v/>
      </c>
      <c r="AN141" s="118" t="str">
        <f t="shared" si="150"/>
        <v/>
      </c>
      <c r="AO141" s="118" t="str">
        <f t="shared" si="150"/>
        <v/>
      </c>
      <c r="AP141" s="118" t="str">
        <f t="shared" si="150"/>
        <v/>
      </c>
      <c r="AQ141" s="118" t="str">
        <f t="shared" si="150"/>
        <v/>
      </c>
      <c r="AR141" s="118" t="str">
        <f t="shared" si="150"/>
        <v/>
      </c>
      <c r="AS141" s="118" t="str">
        <f t="shared" si="150"/>
        <v/>
      </c>
      <c r="AT141" s="123">
        <f>IF(AT$6="","",IF(AT$3="Maior",iferror(VLOOKUP($R141,Capa!$A:$Z,AT$5,0),0),IF(ISERROR(1/VLOOKUP($R141,Capa!$A:$Z,AT$5,0)),0,1/VLOOKUP($R141,Capa!$A:$Z,AT$5,0))))</f>
        <v>1.027864627</v>
      </c>
      <c r="AU141" s="124">
        <f>IF(AU$6="","",IF(AU$3="Maior",iferror(VLOOKUP($R141,Capa!$A:$Z,AU$5,0),0),IF(ISERROR(1/VLOOKUP($R141,Capa!$A:$Z,AU$5,0)),0,1/VLOOKUP($R141,Capa!$A:$Z,AU$5,0))))</f>
        <v>0.08936553283</v>
      </c>
      <c r="AV141" s="124" t="str">
        <f>IF(AV$6="","",IF(AV$3="Maior",iferror(VLOOKUP($R139,Capa!$A:$Z,AV$5,0),0),IF(ISERROR(1/VLOOKUP($R139,Capa!$A:$Z,AV$5,0)),0,1/VLOOKUP($R139,Capa!$A:$Z,AV$5,0))))</f>
        <v/>
      </c>
      <c r="AW141" s="124" t="str">
        <f>IF(AW$6="","",IF(AW$3="Maior",iferror(VLOOKUP($R139,Capa!$A:$Z,AW$5,0),0),IF(ISERROR(1/VLOOKUP($R139,Capa!$A:$Z,AW$5,0)),0,1/VLOOKUP($R139,Capa!$A:$Z,AW$5,0))))</f>
        <v/>
      </c>
      <c r="AX141" s="124" t="str">
        <f>IF(AX$6="","",IF(AX$3="Maior",iferror(VLOOKUP($R139,Capa!$A:$Z,AX$5,0),0),IF(ISERROR(1/VLOOKUP($R139,Capa!$A:$Z,AX$5,0)),0,1/VLOOKUP($R139,Capa!$A:$Z,AX$5,0))))</f>
        <v/>
      </c>
      <c r="AY141" s="124" t="str">
        <f>IF(AY$6="","",IF(AY$3="Maior",iferror(VLOOKUP($R139,Capa!$A:$Z,AY$5,0),0),IF(ISERROR(1/VLOOKUP($R139,Capa!$A:$Z,AY$5,0)),0,1/VLOOKUP($R139,Capa!$A:$Z,AY$5,0))))</f>
        <v/>
      </c>
      <c r="AZ141" s="124" t="str">
        <f>IF(AZ$6="","",IF(AZ$3="Maior",iferror(VLOOKUP($R139,Capa!$A:$Z,AZ$5,0),0),IF(ISERROR(1/VLOOKUP($R139,Capa!$A:$Z,AZ$5,0)),0,1/VLOOKUP($R139,Capa!$A:$Z,AZ$5,0))))</f>
        <v/>
      </c>
      <c r="BA141" s="124" t="str">
        <f>IF(BA$6="","",IF(BA$3="Maior",iferror(VLOOKUP($R139,Capa!$A:$Z,BA$5,0),0),IF(ISERROR(1/VLOOKUP($R139,Capa!$A:$Z,BA$5,0)),0,1/VLOOKUP($R139,Capa!$A:$Z,BA$5,0))))</f>
        <v/>
      </c>
      <c r="BB141" s="124" t="str">
        <f>IF(BB$6="","",IF(BB$3="Maior",iferror(VLOOKUP($R139,Capa!$A:$Z,BB$5,0),0),IF(ISERROR(1/VLOOKUP($R139,Capa!$A:$Z,BB$5,0)),0,1/VLOOKUP($R139,Capa!$A:$Z,BB$5,0))))</f>
        <v/>
      </c>
      <c r="BC141" s="124" t="str">
        <f>IF(BC$6="","",IF(BC$3="Maior",iferror(VLOOKUP($R139,Capa!$A:$Z,BC$5,0),0),IF(ISERROR(1/VLOOKUP($R139,Capa!$A:$Z,BC$5,0)),0,1/VLOOKUP($R139,Capa!$A:$Z,BC$5,0))))</f>
        <v/>
      </c>
      <c r="BD141" s="124" t="str">
        <f>IF(BD$6="","",IF(BD$3="Maior",iferror(VLOOKUP($R139,Capa!$A:$Z,BD$5,0),0),IF(ISERROR(1/VLOOKUP($R139,Capa!$A:$Z,BD$5,0)),0,1/VLOOKUP($R139,Capa!$A:$Z,BD$5,0))))</f>
        <v/>
      </c>
      <c r="BE141" s="124" t="str">
        <f>IF(BE$6="","",IF(BE$3="Maior",iferror(VLOOKUP($R139,Capa!$A:$Z,BE$5,0),0),IF(ISERROR(1/VLOOKUP($R139,Capa!$A:$Z,BE$5,0)),0,1/VLOOKUP($R139,Capa!$A:$Z,BE$5,0))))</f>
        <v/>
      </c>
      <c r="BF141" s="124" t="str">
        <f>IF(BF$6="","",IF(BF$3="Maior",iferror(VLOOKUP($R139,Capa!$A:$Z,BF$5,0),0),IF(ISERROR(1/VLOOKUP($R139,Capa!$A:$Z,BF$5,0)),0,1/VLOOKUP($R139,Capa!$A:$Z,BF$5,0))))</f>
        <v/>
      </c>
      <c r="BG141" s="124" t="str">
        <f>IF(BG$6="","",IF(BG$3="Maior",iferror(VLOOKUP($R139,Capa!$A:$Z,BG$5,0),0),IF(ISERROR(1/VLOOKUP($R139,Capa!$A:$Z,BG$5,0)),0,1/VLOOKUP($R139,Capa!$A:$Z,BG$5,0))))</f>
        <v/>
      </c>
      <c r="BH141" s="124" t="str">
        <f>IF(BH$6="","",IF(BH$3="Maior",iferror(VLOOKUP($R139,Capa!$A:$Z,BH$5,0),0),IF(ISERROR(1/VLOOKUP($R139,Capa!$A:$Z,BH$5,0)),0,1/VLOOKUP($R139,Capa!$A:$Z,BH$5,0))))</f>
        <v/>
      </c>
      <c r="BI141" s="124" t="str">
        <f>IF(BI$6="","",IF(BI$3="Maior",iferror(VLOOKUP($R139,Capa!$A:$Z,BI$5,0),0),IF(ISERROR(1/VLOOKUP($R139,Capa!$A:$Z,BI$5,0)),0,1/VLOOKUP($R139,Capa!$A:$Z,BI$5,0))))</f>
        <v/>
      </c>
      <c r="BJ141" s="124" t="str">
        <f>IF(BJ$6="","",IF(BJ$3="Maior",iferror(VLOOKUP($R139,Capa!$A:$Z,BJ$5,0),0),IF(ISERROR(1/VLOOKUP($R139,Capa!$A:$Z,BJ$5,0)),0,1/VLOOKUP($R139,Capa!$A:$Z,BJ$5,0))))</f>
        <v/>
      </c>
      <c r="BK141" s="124" t="str">
        <f>IF(BK$6="","",IF(BK$3="Maior",iferror(VLOOKUP($R139,Capa!$A:$Z,BK$5,0),0),IF(ISERROR(1/VLOOKUP($R139,Capa!$A:$Z,BK$5,0)),0,1/VLOOKUP($R139,Capa!$A:$Z,BK$5,0))))</f>
        <v/>
      </c>
      <c r="BL141" s="124" t="str">
        <f>IF(BL$6="","",IF(BL$3="Maior",iferror(VLOOKUP($R139,Capa!$A:$Z,BL$5,0),0),IF(ISERROR(1/VLOOKUP($R139,Capa!$A:$Z,BL$5,0)),0,1/VLOOKUP($R139,Capa!$A:$Z,BL$5,0))))</f>
        <v/>
      </c>
      <c r="BM141" s="124" t="str">
        <f>IF(BM$6="","",IF(BM$3="Maior",iferror(VLOOKUP($R139,Capa!$A:$Z,BM$5,0),0),IF(ISERROR(1/VLOOKUP($R139,Capa!$A:$Z,BM$5,0)),0,1/VLOOKUP($R139,Capa!$A:$Z,BM$5,0))))</f>
        <v/>
      </c>
      <c r="BN141" s="124" t="str">
        <f>IF(BN$6="","",IF(BN$3="Maior",iferror(VLOOKUP($R139,Capa!$A:$Z,BN$5,0),0),IF(ISERROR(1/VLOOKUP($R139,Capa!$A:$Z,BN$5,0)),0,1/VLOOKUP($R139,Capa!$A:$Z,BN$5,0))))</f>
        <v/>
      </c>
      <c r="BO141" s="124" t="str">
        <f>IF(BO$6="","",IF(BO$3="Maior",iferror(VLOOKUP($R139,Capa!$A:$Z,BO$5,0),0),IF(ISERROR(1/VLOOKUP($R139,Capa!$A:$Z,BO$5,0)),0,1/VLOOKUP($R139,Capa!$A:$Z,BO$5,0))))</f>
        <v/>
      </c>
      <c r="BP141" s="124" t="str">
        <f>IF(BP$6="","",IF(BP$3="Maior",iferror(VLOOKUP($R139,Capa!$A:$Z,BP$5,0),0),IF(ISERROR(1/VLOOKUP($R139,Capa!$A:$Z,BP$5,0)),0,1/VLOOKUP($R139,Capa!$A:$Z,BP$5,0))))</f>
        <v/>
      </c>
      <c r="BQ141" s="124" t="str">
        <f>IF(BQ$6="","",IF(BQ$3="Maior",iferror(VLOOKUP($R139,Capa!$A:$Z,BQ$5,0),0),IF(ISERROR(1/VLOOKUP($R139,Capa!$A:$Z,BQ$5,0)),0,1/VLOOKUP($R139,Capa!$A:$Z,BQ$5,0))))</f>
        <v/>
      </c>
      <c r="BR141" s="125" t="str">
        <f>IF(BR$6="","",IF(BR$3="Maior",iferror(VLOOKUP($R139,Capa!$A:$Z,BR$5,0),0),IF(ISERROR(1/VLOOKUP($R139,Capa!$A:$Z,BR$5,0)),0,1/VLOOKUP($R139,Capa!$A:$Z,BR$5,0))))</f>
        <v/>
      </c>
      <c r="BS141" s="88"/>
    </row>
    <row r="142">
      <c r="G142" s="9"/>
      <c r="H142" s="7">
        <v>136.0</v>
      </c>
      <c r="I142" s="129" t="str">
        <f t="shared" si="7"/>
        <v>BPRP11</v>
      </c>
      <c r="J142" s="112" t="str">
        <f>VLOOKUP(I142,Capa!A:G,7,0)</f>
        <v>Logisticos</v>
      </c>
      <c r="K142" s="113">
        <f t="shared" si="8"/>
        <v>0.84</v>
      </c>
      <c r="L142" s="113">
        <f t="shared" si="9"/>
        <v>0.1143</v>
      </c>
      <c r="M142" s="113" t="str">
        <f t="shared" si="10"/>
        <v/>
      </c>
      <c r="N142" s="113" t="str">
        <f t="shared" si="11"/>
        <v/>
      </c>
      <c r="O142" s="114">
        <f t="shared" si="12"/>
        <v>1522.03</v>
      </c>
      <c r="P142" s="9"/>
      <c r="Q142" s="9"/>
      <c r="R142" s="115" t="s">
        <v>175</v>
      </c>
      <c r="S142" s="116">
        <f t="shared" si="13"/>
        <v>1258.009465</v>
      </c>
      <c r="T142" s="117">
        <f>MID(VLOOKUP($R142,'Dados ClubeFII'!$A:$AU,23,0),3,100)/1</f>
        <v>251825.77</v>
      </c>
      <c r="U142" s="118">
        <f t="shared" si="14"/>
        <v>93.0093</v>
      </c>
      <c r="V142" s="118">
        <f t="shared" si="15"/>
        <v>165.000165</v>
      </c>
      <c r="W142" s="118" t="str">
        <f t="shared" ref="W142:AS142" si="151">IF(AV142="","", RANK(AV142,AV$7:AV$405,0))</f>
        <v/>
      </c>
      <c r="X142" s="118" t="str">
        <f t="shared" si="151"/>
        <v/>
      </c>
      <c r="Y142" s="118" t="str">
        <f t="shared" si="151"/>
        <v/>
      </c>
      <c r="Z142" s="118" t="str">
        <f t="shared" si="151"/>
        <v/>
      </c>
      <c r="AA142" s="118" t="str">
        <f t="shared" si="151"/>
        <v/>
      </c>
      <c r="AB142" s="118" t="str">
        <f t="shared" si="151"/>
        <v/>
      </c>
      <c r="AC142" s="118" t="str">
        <f t="shared" si="151"/>
        <v/>
      </c>
      <c r="AD142" s="118" t="str">
        <f t="shared" si="151"/>
        <v/>
      </c>
      <c r="AE142" s="118" t="str">
        <f t="shared" si="151"/>
        <v/>
      </c>
      <c r="AF142" s="118" t="str">
        <f t="shared" si="151"/>
        <v/>
      </c>
      <c r="AG142" s="118" t="str">
        <f t="shared" si="151"/>
        <v/>
      </c>
      <c r="AH142" s="118" t="str">
        <f t="shared" si="151"/>
        <v/>
      </c>
      <c r="AI142" s="118" t="str">
        <f t="shared" si="151"/>
        <v/>
      </c>
      <c r="AJ142" s="118" t="str">
        <f t="shared" si="151"/>
        <v/>
      </c>
      <c r="AK142" s="118" t="str">
        <f t="shared" si="151"/>
        <v/>
      </c>
      <c r="AL142" s="118" t="str">
        <f t="shared" si="151"/>
        <v/>
      </c>
      <c r="AM142" s="118" t="str">
        <f t="shared" si="151"/>
        <v/>
      </c>
      <c r="AN142" s="118" t="str">
        <f t="shared" si="151"/>
        <v/>
      </c>
      <c r="AO142" s="118" t="str">
        <f t="shared" si="151"/>
        <v/>
      </c>
      <c r="AP142" s="118" t="str">
        <f t="shared" si="151"/>
        <v/>
      </c>
      <c r="AQ142" s="118" t="str">
        <f t="shared" si="151"/>
        <v/>
      </c>
      <c r="AR142" s="118" t="str">
        <f t="shared" si="151"/>
        <v/>
      </c>
      <c r="AS142" s="118" t="str">
        <f t="shared" si="151"/>
        <v/>
      </c>
      <c r="AT142" s="123">
        <f>IF(AT$6="","",IF(AT$3="Maior",iferror(VLOOKUP($R142,Capa!$A:$Z,AT$5,0),0),IF(ISERROR(1/VLOOKUP($R142,Capa!$A:$Z,AT$5,0)),0,1/VLOOKUP($R142,Capa!$A:$Z,AT$5,0))))</f>
        <v>1.206598473</v>
      </c>
      <c r="AU142" s="124">
        <f>IF(AU$6="","",IF(AU$3="Maior",iferror(VLOOKUP($R142,Capa!$A:$Z,AU$5,0),0),IF(ISERROR(1/VLOOKUP($R142,Capa!$A:$Z,AU$5,0)),0,1/VLOOKUP($R142,Capa!$A:$Z,AU$5,0))))</f>
        <v>0.0630058209</v>
      </c>
      <c r="AV142" s="124" t="str">
        <f>IF(AV$6="","",IF(AV$3="Maior",iferror(VLOOKUP($R140,Capa!$A:$Z,AV$5,0),0),IF(ISERROR(1/VLOOKUP($R140,Capa!$A:$Z,AV$5,0)),0,1/VLOOKUP($R140,Capa!$A:$Z,AV$5,0))))</f>
        <v/>
      </c>
      <c r="AW142" s="124" t="str">
        <f>IF(AW$6="","",IF(AW$3="Maior",iferror(VLOOKUP($R140,Capa!$A:$Z,AW$5,0),0),IF(ISERROR(1/VLOOKUP($R140,Capa!$A:$Z,AW$5,0)),0,1/VLOOKUP($R140,Capa!$A:$Z,AW$5,0))))</f>
        <v/>
      </c>
      <c r="AX142" s="124" t="str">
        <f>IF(AX$6="","",IF(AX$3="Maior",iferror(VLOOKUP($R140,Capa!$A:$Z,AX$5,0),0),IF(ISERROR(1/VLOOKUP($R140,Capa!$A:$Z,AX$5,0)),0,1/VLOOKUP($R140,Capa!$A:$Z,AX$5,0))))</f>
        <v/>
      </c>
      <c r="AY142" s="124" t="str">
        <f>IF(AY$6="","",IF(AY$3="Maior",iferror(VLOOKUP($R140,Capa!$A:$Z,AY$5,0),0),IF(ISERROR(1/VLOOKUP($R140,Capa!$A:$Z,AY$5,0)),0,1/VLOOKUP($R140,Capa!$A:$Z,AY$5,0))))</f>
        <v/>
      </c>
      <c r="AZ142" s="124" t="str">
        <f>IF(AZ$6="","",IF(AZ$3="Maior",iferror(VLOOKUP($R140,Capa!$A:$Z,AZ$5,0),0),IF(ISERROR(1/VLOOKUP($R140,Capa!$A:$Z,AZ$5,0)),0,1/VLOOKUP($R140,Capa!$A:$Z,AZ$5,0))))</f>
        <v/>
      </c>
      <c r="BA142" s="124" t="str">
        <f>IF(BA$6="","",IF(BA$3="Maior",iferror(VLOOKUP($R140,Capa!$A:$Z,BA$5,0),0),IF(ISERROR(1/VLOOKUP($R140,Capa!$A:$Z,BA$5,0)),0,1/VLOOKUP($R140,Capa!$A:$Z,BA$5,0))))</f>
        <v/>
      </c>
      <c r="BB142" s="124" t="str">
        <f>IF(BB$6="","",IF(BB$3="Maior",iferror(VLOOKUP($R140,Capa!$A:$Z,BB$5,0),0),IF(ISERROR(1/VLOOKUP($R140,Capa!$A:$Z,BB$5,0)),0,1/VLOOKUP($R140,Capa!$A:$Z,BB$5,0))))</f>
        <v/>
      </c>
      <c r="BC142" s="124" t="str">
        <f>IF(BC$6="","",IF(BC$3="Maior",iferror(VLOOKUP($R140,Capa!$A:$Z,BC$5,0),0),IF(ISERROR(1/VLOOKUP($R140,Capa!$A:$Z,BC$5,0)),0,1/VLOOKUP($R140,Capa!$A:$Z,BC$5,0))))</f>
        <v/>
      </c>
      <c r="BD142" s="124" t="str">
        <f>IF(BD$6="","",IF(BD$3="Maior",iferror(VLOOKUP($R140,Capa!$A:$Z,BD$5,0),0),IF(ISERROR(1/VLOOKUP($R140,Capa!$A:$Z,BD$5,0)),0,1/VLOOKUP($R140,Capa!$A:$Z,BD$5,0))))</f>
        <v/>
      </c>
      <c r="BE142" s="124" t="str">
        <f>IF(BE$6="","",IF(BE$3="Maior",iferror(VLOOKUP($R140,Capa!$A:$Z,BE$5,0),0),IF(ISERROR(1/VLOOKUP($R140,Capa!$A:$Z,BE$5,0)),0,1/VLOOKUP($R140,Capa!$A:$Z,BE$5,0))))</f>
        <v/>
      </c>
      <c r="BF142" s="124" t="str">
        <f>IF(BF$6="","",IF(BF$3="Maior",iferror(VLOOKUP($R140,Capa!$A:$Z,BF$5,0),0),IF(ISERROR(1/VLOOKUP($R140,Capa!$A:$Z,BF$5,0)),0,1/VLOOKUP($R140,Capa!$A:$Z,BF$5,0))))</f>
        <v/>
      </c>
      <c r="BG142" s="124" t="str">
        <f>IF(BG$6="","",IF(BG$3="Maior",iferror(VLOOKUP($R140,Capa!$A:$Z,BG$5,0),0),IF(ISERROR(1/VLOOKUP($R140,Capa!$A:$Z,BG$5,0)),0,1/VLOOKUP($R140,Capa!$A:$Z,BG$5,0))))</f>
        <v/>
      </c>
      <c r="BH142" s="124" t="str">
        <f>IF(BH$6="","",IF(BH$3="Maior",iferror(VLOOKUP($R140,Capa!$A:$Z,BH$5,0),0),IF(ISERROR(1/VLOOKUP($R140,Capa!$A:$Z,BH$5,0)),0,1/VLOOKUP($R140,Capa!$A:$Z,BH$5,0))))</f>
        <v/>
      </c>
      <c r="BI142" s="124" t="str">
        <f>IF(BI$6="","",IF(BI$3="Maior",iferror(VLOOKUP($R140,Capa!$A:$Z,BI$5,0),0),IF(ISERROR(1/VLOOKUP($R140,Capa!$A:$Z,BI$5,0)),0,1/VLOOKUP($R140,Capa!$A:$Z,BI$5,0))))</f>
        <v/>
      </c>
      <c r="BJ142" s="124" t="str">
        <f>IF(BJ$6="","",IF(BJ$3="Maior",iferror(VLOOKUP($R140,Capa!$A:$Z,BJ$5,0),0),IF(ISERROR(1/VLOOKUP($R140,Capa!$A:$Z,BJ$5,0)),0,1/VLOOKUP($R140,Capa!$A:$Z,BJ$5,0))))</f>
        <v/>
      </c>
      <c r="BK142" s="124" t="str">
        <f>IF(BK$6="","",IF(BK$3="Maior",iferror(VLOOKUP($R140,Capa!$A:$Z,BK$5,0),0),IF(ISERROR(1/VLOOKUP($R140,Capa!$A:$Z,BK$5,0)),0,1/VLOOKUP($R140,Capa!$A:$Z,BK$5,0))))</f>
        <v/>
      </c>
      <c r="BL142" s="124" t="str">
        <f>IF(BL$6="","",IF(BL$3="Maior",iferror(VLOOKUP($R140,Capa!$A:$Z,BL$5,0),0),IF(ISERROR(1/VLOOKUP($R140,Capa!$A:$Z,BL$5,0)),0,1/VLOOKUP($R140,Capa!$A:$Z,BL$5,0))))</f>
        <v/>
      </c>
      <c r="BM142" s="124" t="str">
        <f>IF(BM$6="","",IF(BM$3="Maior",iferror(VLOOKUP($R140,Capa!$A:$Z,BM$5,0),0),IF(ISERROR(1/VLOOKUP($R140,Capa!$A:$Z,BM$5,0)),0,1/VLOOKUP($R140,Capa!$A:$Z,BM$5,0))))</f>
        <v/>
      </c>
      <c r="BN142" s="124" t="str">
        <f>IF(BN$6="","",IF(BN$3="Maior",iferror(VLOOKUP($R140,Capa!$A:$Z,BN$5,0),0),IF(ISERROR(1/VLOOKUP($R140,Capa!$A:$Z,BN$5,0)),0,1/VLOOKUP($R140,Capa!$A:$Z,BN$5,0))))</f>
        <v/>
      </c>
      <c r="BO142" s="124" t="str">
        <f>IF(BO$6="","",IF(BO$3="Maior",iferror(VLOOKUP($R140,Capa!$A:$Z,BO$5,0),0),IF(ISERROR(1/VLOOKUP($R140,Capa!$A:$Z,BO$5,0)),0,1/VLOOKUP($R140,Capa!$A:$Z,BO$5,0))))</f>
        <v/>
      </c>
      <c r="BP142" s="124" t="str">
        <f>IF(BP$6="","",IF(BP$3="Maior",iferror(VLOOKUP($R140,Capa!$A:$Z,BP$5,0),0),IF(ISERROR(1/VLOOKUP($R140,Capa!$A:$Z,BP$5,0)),0,1/VLOOKUP($R140,Capa!$A:$Z,BP$5,0))))</f>
        <v/>
      </c>
      <c r="BQ142" s="124" t="str">
        <f>IF(BQ$6="","",IF(BQ$3="Maior",iferror(VLOOKUP($R140,Capa!$A:$Z,BQ$5,0),0),IF(ISERROR(1/VLOOKUP($R140,Capa!$A:$Z,BQ$5,0)),0,1/VLOOKUP($R140,Capa!$A:$Z,BQ$5,0))))</f>
        <v/>
      </c>
      <c r="BR142" s="125" t="str">
        <f>IF(BR$6="","",IF(BR$3="Maior",iferror(VLOOKUP($R140,Capa!$A:$Z,BR$5,0),0),IF(ISERROR(1/VLOOKUP($R140,Capa!$A:$Z,BR$5,0)),0,1/VLOOKUP($R140,Capa!$A:$Z,BR$5,0))))</f>
        <v/>
      </c>
      <c r="BS142" s="88"/>
    </row>
    <row r="143">
      <c r="G143" s="9"/>
      <c r="H143" s="7">
        <v>137.0</v>
      </c>
      <c r="I143" s="111" t="str">
        <f t="shared" si="7"/>
        <v>SADI11</v>
      </c>
      <c r="J143" s="112" t="str">
        <f>VLOOKUP(I143,Capa!A:G,7,0)</f>
        <v>Recebíveis Imobiliários</v>
      </c>
      <c r="K143" s="113">
        <f t="shared" si="8"/>
        <v>0.9059375</v>
      </c>
      <c r="L143" s="113">
        <f t="shared" si="9"/>
        <v>0.1355919643</v>
      </c>
      <c r="M143" s="113" t="str">
        <f t="shared" si="10"/>
        <v/>
      </c>
      <c r="N143" s="113" t="str">
        <f t="shared" si="11"/>
        <v/>
      </c>
      <c r="O143" s="114">
        <f t="shared" si="12"/>
        <v>832448.31</v>
      </c>
      <c r="P143" s="9"/>
      <c r="Q143" s="9"/>
      <c r="R143" s="115" t="s">
        <v>167</v>
      </c>
      <c r="S143" s="116">
        <f t="shared" si="13"/>
        <v>1193.001975</v>
      </c>
      <c r="T143" s="117">
        <f>MID(VLOOKUP($R143,'Dados ClubeFII'!$A:$AU,23,0),3,100)/1</f>
        <v>3396.41</v>
      </c>
      <c r="U143" s="118">
        <f t="shared" si="14"/>
        <v>18.0018</v>
      </c>
      <c r="V143" s="118">
        <f t="shared" si="15"/>
        <v>175.000175</v>
      </c>
      <c r="W143" s="118" t="str">
        <f t="shared" ref="W143:AS143" si="152">IF(AV143="","", RANK(AV143,AV$7:AV$405,0))</f>
        <v/>
      </c>
      <c r="X143" s="118" t="str">
        <f t="shared" si="152"/>
        <v/>
      </c>
      <c r="Y143" s="118" t="str">
        <f t="shared" si="152"/>
        <v/>
      </c>
      <c r="Z143" s="118" t="str">
        <f t="shared" si="152"/>
        <v/>
      </c>
      <c r="AA143" s="118" t="str">
        <f t="shared" si="152"/>
        <v/>
      </c>
      <c r="AB143" s="118" t="str">
        <f t="shared" si="152"/>
        <v/>
      </c>
      <c r="AC143" s="118" t="str">
        <f t="shared" si="152"/>
        <v/>
      </c>
      <c r="AD143" s="118" t="str">
        <f t="shared" si="152"/>
        <v/>
      </c>
      <c r="AE143" s="118" t="str">
        <f t="shared" si="152"/>
        <v/>
      </c>
      <c r="AF143" s="118" t="str">
        <f t="shared" si="152"/>
        <v/>
      </c>
      <c r="AG143" s="118" t="str">
        <f t="shared" si="152"/>
        <v/>
      </c>
      <c r="AH143" s="118" t="str">
        <f t="shared" si="152"/>
        <v/>
      </c>
      <c r="AI143" s="118" t="str">
        <f t="shared" si="152"/>
        <v/>
      </c>
      <c r="AJ143" s="118" t="str">
        <f t="shared" si="152"/>
        <v/>
      </c>
      <c r="AK143" s="118" t="str">
        <f t="shared" si="152"/>
        <v/>
      </c>
      <c r="AL143" s="118" t="str">
        <f t="shared" si="152"/>
        <v/>
      </c>
      <c r="AM143" s="118" t="str">
        <f t="shared" si="152"/>
        <v/>
      </c>
      <c r="AN143" s="118" t="str">
        <f t="shared" si="152"/>
        <v/>
      </c>
      <c r="AO143" s="118" t="str">
        <f t="shared" si="152"/>
        <v/>
      </c>
      <c r="AP143" s="118" t="str">
        <f t="shared" si="152"/>
        <v/>
      </c>
      <c r="AQ143" s="118" t="str">
        <f t="shared" si="152"/>
        <v/>
      </c>
      <c r="AR143" s="118" t="str">
        <f t="shared" si="152"/>
        <v/>
      </c>
      <c r="AS143" s="118" t="str">
        <f t="shared" si="152"/>
        <v/>
      </c>
      <c r="AT143" s="123">
        <f>IF(AT$6="","",IF(AT$3="Maior",iferror(VLOOKUP($R143,Capa!$A:$Z,AT$5,0),0),IF(ISERROR(1/VLOOKUP($R143,Capa!$A:$Z,AT$5,0)),0,1/VLOOKUP($R143,Capa!$A:$Z,AT$5,0))))</f>
        <v>1.874754131</v>
      </c>
      <c r="AU143" s="124">
        <f>IF(AU$6="","",IF(AU$3="Maior",iferror(VLOOKUP($R143,Capa!$A:$Z,AU$5,0),0),IF(ISERROR(1/VLOOKUP($R143,Capa!$A:$Z,AU$5,0)),0,1/VLOOKUP($R143,Capa!$A:$Z,AU$5,0))))</f>
        <v>0.03226229508</v>
      </c>
      <c r="AV143" s="124" t="str">
        <f>IF(AV$6="","",IF(AV$3="Maior",iferror(VLOOKUP($R142,Capa!$A:$Z,AV$5,0),0),IF(ISERROR(1/VLOOKUP($R142,Capa!$A:$Z,AV$5,0)),0,1/VLOOKUP($R142,Capa!$A:$Z,AV$5,0))))</f>
        <v/>
      </c>
      <c r="AW143" s="124" t="str">
        <f>IF(AW$6="","",IF(AW$3="Maior",iferror(VLOOKUP($R142,Capa!$A:$Z,AW$5,0),0),IF(ISERROR(1/VLOOKUP($R142,Capa!$A:$Z,AW$5,0)),0,1/VLOOKUP($R142,Capa!$A:$Z,AW$5,0))))</f>
        <v/>
      </c>
      <c r="AX143" s="124" t="str">
        <f>IF(AX$6="","",IF(AX$3="Maior",iferror(VLOOKUP($R142,Capa!$A:$Z,AX$5,0),0),IF(ISERROR(1/VLOOKUP($R142,Capa!$A:$Z,AX$5,0)),0,1/VLOOKUP($R142,Capa!$A:$Z,AX$5,0))))</f>
        <v/>
      </c>
      <c r="AY143" s="124" t="str">
        <f>IF(AY$6="","",IF(AY$3="Maior",iferror(VLOOKUP($R142,Capa!$A:$Z,AY$5,0),0),IF(ISERROR(1/VLOOKUP($R142,Capa!$A:$Z,AY$5,0)),0,1/VLOOKUP($R142,Capa!$A:$Z,AY$5,0))))</f>
        <v/>
      </c>
      <c r="AZ143" s="124" t="str">
        <f>IF(AZ$6="","",IF(AZ$3="Maior",iferror(VLOOKUP($R142,Capa!$A:$Z,AZ$5,0),0),IF(ISERROR(1/VLOOKUP($R142,Capa!$A:$Z,AZ$5,0)),0,1/VLOOKUP($R142,Capa!$A:$Z,AZ$5,0))))</f>
        <v/>
      </c>
      <c r="BA143" s="124" t="str">
        <f>IF(BA$6="","",IF(BA$3="Maior",iferror(VLOOKUP($R142,Capa!$A:$Z,BA$5,0),0),IF(ISERROR(1/VLOOKUP($R142,Capa!$A:$Z,BA$5,0)),0,1/VLOOKUP($R142,Capa!$A:$Z,BA$5,0))))</f>
        <v/>
      </c>
      <c r="BB143" s="124" t="str">
        <f>IF(BB$6="","",IF(BB$3="Maior",iferror(VLOOKUP($R142,Capa!$A:$Z,BB$5,0),0),IF(ISERROR(1/VLOOKUP($R142,Capa!$A:$Z,BB$5,0)),0,1/VLOOKUP($R142,Capa!$A:$Z,BB$5,0))))</f>
        <v/>
      </c>
      <c r="BC143" s="124" t="str">
        <f>IF(BC$6="","",IF(BC$3="Maior",iferror(VLOOKUP($R142,Capa!$A:$Z,BC$5,0),0),IF(ISERROR(1/VLOOKUP($R142,Capa!$A:$Z,BC$5,0)),0,1/VLOOKUP($R142,Capa!$A:$Z,BC$5,0))))</f>
        <v/>
      </c>
      <c r="BD143" s="124" t="str">
        <f>IF(BD$6="","",IF(BD$3="Maior",iferror(VLOOKUP($R142,Capa!$A:$Z,BD$5,0),0),IF(ISERROR(1/VLOOKUP($R142,Capa!$A:$Z,BD$5,0)),0,1/VLOOKUP($R142,Capa!$A:$Z,BD$5,0))))</f>
        <v/>
      </c>
      <c r="BE143" s="124" t="str">
        <f>IF(BE$6="","",IF(BE$3="Maior",iferror(VLOOKUP($R142,Capa!$A:$Z,BE$5,0),0),IF(ISERROR(1/VLOOKUP($R142,Capa!$A:$Z,BE$5,0)),0,1/VLOOKUP($R142,Capa!$A:$Z,BE$5,0))))</f>
        <v/>
      </c>
      <c r="BF143" s="124" t="str">
        <f>IF(BF$6="","",IF(BF$3="Maior",iferror(VLOOKUP($R142,Capa!$A:$Z,BF$5,0),0),IF(ISERROR(1/VLOOKUP($R142,Capa!$A:$Z,BF$5,0)),0,1/VLOOKUP($R142,Capa!$A:$Z,BF$5,0))))</f>
        <v/>
      </c>
      <c r="BG143" s="124" t="str">
        <f>IF(BG$6="","",IF(BG$3="Maior",iferror(VLOOKUP($R142,Capa!$A:$Z,BG$5,0),0),IF(ISERROR(1/VLOOKUP($R142,Capa!$A:$Z,BG$5,0)),0,1/VLOOKUP($R142,Capa!$A:$Z,BG$5,0))))</f>
        <v/>
      </c>
      <c r="BH143" s="124" t="str">
        <f>IF(BH$6="","",IF(BH$3="Maior",iferror(VLOOKUP($R142,Capa!$A:$Z,BH$5,0),0),IF(ISERROR(1/VLOOKUP($R142,Capa!$A:$Z,BH$5,0)),0,1/VLOOKUP($R142,Capa!$A:$Z,BH$5,0))))</f>
        <v/>
      </c>
      <c r="BI143" s="124" t="str">
        <f>IF(BI$6="","",IF(BI$3="Maior",iferror(VLOOKUP($R142,Capa!$A:$Z,BI$5,0),0),IF(ISERROR(1/VLOOKUP($R142,Capa!$A:$Z,BI$5,0)),0,1/VLOOKUP($R142,Capa!$A:$Z,BI$5,0))))</f>
        <v/>
      </c>
      <c r="BJ143" s="124" t="str">
        <f>IF(BJ$6="","",IF(BJ$3="Maior",iferror(VLOOKUP($R142,Capa!$A:$Z,BJ$5,0),0),IF(ISERROR(1/VLOOKUP($R142,Capa!$A:$Z,BJ$5,0)),0,1/VLOOKUP($R142,Capa!$A:$Z,BJ$5,0))))</f>
        <v/>
      </c>
      <c r="BK143" s="124" t="str">
        <f>IF(BK$6="","",IF(BK$3="Maior",iferror(VLOOKUP($R142,Capa!$A:$Z,BK$5,0),0),IF(ISERROR(1/VLOOKUP($R142,Capa!$A:$Z,BK$5,0)),0,1/VLOOKUP($R142,Capa!$A:$Z,BK$5,0))))</f>
        <v/>
      </c>
      <c r="BL143" s="124" t="str">
        <f>IF(BL$6="","",IF(BL$3="Maior",iferror(VLOOKUP($R142,Capa!$A:$Z,BL$5,0),0),IF(ISERROR(1/VLOOKUP($R142,Capa!$A:$Z,BL$5,0)),0,1/VLOOKUP($R142,Capa!$A:$Z,BL$5,0))))</f>
        <v/>
      </c>
      <c r="BM143" s="124" t="str">
        <f>IF(BM$6="","",IF(BM$3="Maior",iferror(VLOOKUP($R142,Capa!$A:$Z,BM$5,0),0),IF(ISERROR(1/VLOOKUP($R142,Capa!$A:$Z,BM$5,0)),0,1/VLOOKUP($R142,Capa!$A:$Z,BM$5,0))))</f>
        <v/>
      </c>
      <c r="BN143" s="124" t="str">
        <f>IF(BN$6="","",IF(BN$3="Maior",iferror(VLOOKUP($R142,Capa!$A:$Z,BN$5,0),0),IF(ISERROR(1/VLOOKUP($R142,Capa!$A:$Z,BN$5,0)),0,1/VLOOKUP($R142,Capa!$A:$Z,BN$5,0))))</f>
        <v/>
      </c>
      <c r="BO143" s="124" t="str">
        <f>IF(BO$6="","",IF(BO$3="Maior",iferror(VLOOKUP($R142,Capa!$A:$Z,BO$5,0),0),IF(ISERROR(1/VLOOKUP($R142,Capa!$A:$Z,BO$5,0)),0,1/VLOOKUP($R142,Capa!$A:$Z,BO$5,0))))</f>
        <v/>
      </c>
      <c r="BP143" s="124" t="str">
        <f>IF(BP$6="","",IF(BP$3="Maior",iferror(VLOOKUP($R142,Capa!$A:$Z,BP$5,0),0),IF(ISERROR(1/VLOOKUP($R142,Capa!$A:$Z,BP$5,0)),0,1/VLOOKUP($R142,Capa!$A:$Z,BP$5,0))))</f>
        <v/>
      </c>
      <c r="BQ143" s="124" t="str">
        <f>IF(BQ$6="","",IF(BQ$3="Maior",iferror(VLOOKUP($R142,Capa!$A:$Z,BQ$5,0),0),IF(ISERROR(1/VLOOKUP($R142,Capa!$A:$Z,BQ$5,0)),0,1/VLOOKUP($R142,Capa!$A:$Z,BQ$5,0))))</f>
        <v/>
      </c>
      <c r="BR143" s="125" t="str">
        <f>IF(BR$6="","",IF(BR$3="Maior",iferror(VLOOKUP($R142,Capa!$A:$Z,BR$5,0),0),IF(ISERROR(1/VLOOKUP($R142,Capa!$A:$Z,BR$5,0)),0,1/VLOOKUP($R142,Capa!$A:$Z,BR$5,0))))</f>
        <v/>
      </c>
      <c r="BS143" s="88"/>
    </row>
    <row r="144">
      <c r="G144" s="9"/>
      <c r="H144" s="7">
        <v>138.0</v>
      </c>
      <c r="I144" s="111" t="str">
        <f t="shared" si="7"/>
        <v>GSFI11</v>
      </c>
      <c r="J144" s="112" t="str">
        <f>VLOOKUP(I144,Capa!A:G,7,0)</f>
        <v>Shopping/Varejo</v>
      </c>
      <c r="K144" s="113">
        <f t="shared" si="8"/>
        <v>0.3592927308</v>
      </c>
      <c r="L144" s="113">
        <f t="shared" si="9"/>
        <v>0</v>
      </c>
      <c r="M144" s="113" t="str">
        <f t="shared" si="10"/>
        <v/>
      </c>
      <c r="N144" s="113" t="str">
        <f t="shared" si="11"/>
        <v/>
      </c>
      <c r="O144" s="114">
        <f t="shared" si="12"/>
        <v>59666.23</v>
      </c>
      <c r="P144" s="9"/>
      <c r="Q144" s="9"/>
      <c r="R144" s="127" t="s">
        <v>146</v>
      </c>
      <c r="S144" s="116">
        <f t="shared" si="13"/>
        <v>1180.005031</v>
      </c>
      <c r="T144" s="117">
        <f>MID(VLOOKUP($R144,'Dados ClubeFII'!$A:$AU,23,0),3,100)/1</f>
        <v>218389.61</v>
      </c>
      <c r="U144" s="118">
        <f t="shared" si="14"/>
        <v>49.0049</v>
      </c>
      <c r="V144" s="118">
        <f t="shared" si="15"/>
        <v>131.000131</v>
      </c>
      <c r="W144" s="118" t="str">
        <f t="shared" ref="W144:AS144" si="153">IF(AV144="","", RANK(AV144,AV$7:AV$405,0))</f>
        <v/>
      </c>
      <c r="X144" s="118" t="str">
        <f t="shared" si="153"/>
        <v/>
      </c>
      <c r="Y144" s="118" t="str">
        <f t="shared" si="153"/>
        <v/>
      </c>
      <c r="Z144" s="118" t="str">
        <f t="shared" si="153"/>
        <v/>
      </c>
      <c r="AA144" s="118" t="str">
        <f t="shared" si="153"/>
        <v/>
      </c>
      <c r="AB144" s="118" t="str">
        <f t="shared" si="153"/>
        <v/>
      </c>
      <c r="AC144" s="118" t="str">
        <f t="shared" si="153"/>
        <v/>
      </c>
      <c r="AD144" s="118" t="str">
        <f t="shared" si="153"/>
        <v/>
      </c>
      <c r="AE144" s="118" t="str">
        <f t="shared" si="153"/>
        <v/>
      </c>
      <c r="AF144" s="118" t="str">
        <f t="shared" si="153"/>
        <v/>
      </c>
      <c r="AG144" s="118" t="str">
        <f t="shared" si="153"/>
        <v/>
      </c>
      <c r="AH144" s="118" t="str">
        <f t="shared" si="153"/>
        <v/>
      </c>
      <c r="AI144" s="118" t="str">
        <f t="shared" si="153"/>
        <v/>
      </c>
      <c r="AJ144" s="118" t="str">
        <f t="shared" si="153"/>
        <v/>
      </c>
      <c r="AK144" s="118" t="str">
        <f t="shared" si="153"/>
        <v/>
      </c>
      <c r="AL144" s="118" t="str">
        <f t="shared" si="153"/>
        <v/>
      </c>
      <c r="AM144" s="118" t="str">
        <f t="shared" si="153"/>
        <v/>
      </c>
      <c r="AN144" s="118" t="str">
        <f t="shared" si="153"/>
        <v/>
      </c>
      <c r="AO144" s="118" t="str">
        <f t="shared" si="153"/>
        <v/>
      </c>
      <c r="AP144" s="118" t="str">
        <f t="shared" si="153"/>
        <v/>
      </c>
      <c r="AQ144" s="118" t="str">
        <f t="shared" si="153"/>
        <v/>
      </c>
      <c r="AR144" s="118" t="str">
        <f t="shared" si="153"/>
        <v/>
      </c>
      <c r="AS144" s="118" t="str">
        <f t="shared" si="153"/>
        <v/>
      </c>
      <c r="AT144" s="123">
        <f>IF(AT$6="","",IF(AT$3="Maior",iferror(VLOOKUP($R144,Capa!$A:$Z,AT$5,0),0),IF(ISERROR(1/VLOOKUP($R144,Capa!$A:$Z,AT$5,0)),0,1/VLOOKUP($R144,Capa!$A:$Z,AT$5,0))))</f>
        <v>1.422504364</v>
      </c>
      <c r="AU144" s="124">
        <f>IF(AU$6="","",IF(AU$3="Maior",iferror(VLOOKUP($R144,Capa!$A:$Z,AU$5,0),0),IF(ISERROR(1/VLOOKUP($R144,Capa!$A:$Z,AU$5,0)),0,1/VLOOKUP($R144,Capa!$A:$Z,AU$5,0))))</f>
        <v>0.09186311059</v>
      </c>
      <c r="AV144" s="124" t="str">
        <f>IF(AV$6="","",IF(AV$3="Maior",iferror(VLOOKUP(#REF!,Capa!$A:$Z,AV$5,0),0),IF(ISERROR(1/VLOOKUP(#REF!,Capa!$A:$Z,AV$5,0)),0,1/VLOOKUP(#REF!,Capa!$A:$Z,AV$5,0))))</f>
        <v/>
      </c>
      <c r="AW144" s="124" t="str">
        <f>IF(AW$6="","",IF(AW$3="Maior",iferror(VLOOKUP(#REF!,Capa!$A:$Z,AW$5,0),0),IF(ISERROR(1/VLOOKUP(#REF!,Capa!$A:$Z,AW$5,0)),0,1/VLOOKUP(#REF!,Capa!$A:$Z,AW$5,0))))</f>
        <v/>
      </c>
      <c r="AX144" s="124" t="str">
        <f>IF(AX$6="","",IF(AX$3="Maior",iferror(VLOOKUP(#REF!,Capa!$A:$Z,AX$5,0),0),IF(ISERROR(1/VLOOKUP(#REF!,Capa!$A:$Z,AX$5,0)),0,1/VLOOKUP(#REF!,Capa!$A:$Z,AX$5,0))))</f>
        <v/>
      </c>
      <c r="AY144" s="124" t="str">
        <f>IF(AY$6="","",IF(AY$3="Maior",iferror(VLOOKUP(#REF!,Capa!$A:$Z,AY$5,0),0),IF(ISERROR(1/VLOOKUP(#REF!,Capa!$A:$Z,AY$5,0)),0,1/VLOOKUP(#REF!,Capa!$A:$Z,AY$5,0))))</f>
        <v/>
      </c>
      <c r="AZ144" s="124" t="str">
        <f>IF(AZ$6="","",IF(AZ$3="Maior",iferror(VLOOKUP(#REF!,Capa!$A:$Z,AZ$5,0),0),IF(ISERROR(1/VLOOKUP(#REF!,Capa!$A:$Z,AZ$5,0)),0,1/VLOOKUP(#REF!,Capa!$A:$Z,AZ$5,0))))</f>
        <v/>
      </c>
      <c r="BA144" s="124" t="str">
        <f>IF(BA$6="","",IF(BA$3="Maior",iferror(VLOOKUP(#REF!,Capa!$A:$Z,BA$5,0),0),IF(ISERROR(1/VLOOKUP(#REF!,Capa!$A:$Z,BA$5,0)),0,1/VLOOKUP(#REF!,Capa!$A:$Z,BA$5,0))))</f>
        <v/>
      </c>
      <c r="BB144" s="124" t="str">
        <f>IF(BB$6="","",IF(BB$3="Maior",iferror(VLOOKUP(#REF!,Capa!$A:$Z,BB$5,0),0),IF(ISERROR(1/VLOOKUP(#REF!,Capa!$A:$Z,BB$5,0)),0,1/VLOOKUP(#REF!,Capa!$A:$Z,BB$5,0))))</f>
        <v/>
      </c>
      <c r="BC144" s="124" t="str">
        <f>IF(BC$6="","",IF(BC$3="Maior",iferror(VLOOKUP(#REF!,Capa!$A:$Z,BC$5,0),0),IF(ISERROR(1/VLOOKUP(#REF!,Capa!$A:$Z,BC$5,0)),0,1/VLOOKUP(#REF!,Capa!$A:$Z,BC$5,0))))</f>
        <v/>
      </c>
      <c r="BD144" s="124" t="str">
        <f>IF(BD$6="","",IF(BD$3="Maior",iferror(VLOOKUP(#REF!,Capa!$A:$Z,BD$5,0),0),IF(ISERROR(1/VLOOKUP(#REF!,Capa!$A:$Z,BD$5,0)),0,1/VLOOKUP(#REF!,Capa!$A:$Z,BD$5,0))))</f>
        <v/>
      </c>
      <c r="BE144" s="124" t="str">
        <f>IF(BE$6="","",IF(BE$3="Maior",iferror(VLOOKUP(#REF!,Capa!$A:$Z,BE$5,0),0),IF(ISERROR(1/VLOOKUP(#REF!,Capa!$A:$Z,BE$5,0)),0,1/VLOOKUP(#REF!,Capa!$A:$Z,BE$5,0))))</f>
        <v/>
      </c>
      <c r="BF144" s="124" t="str">
        <f>IF(BF$6="","",IF(BF$3="Maior",iferror(VLOOKUP(#REF!,Capa!$A:$Z,BF$5,0),0),IF(ISERROR(1/VLOOKUP(#REF!,Capa!$A:$Z,BF$5,0)),0,1/VLOOKUP(#REF!,Capa!$A:$Z,BF$5,0))))</f>
        <v/>
      </c>
      <c r="BG144" s="124" t="str">
        <f>IF(BG$6="","",IF(BG$3="Maior",iferror(VLOOKUP(#REF!,Capa!$A:$Z,BG$5,0),0),IF(ISERROR(1/VLOOKUP(#REF!,Capa!$A:$Z,BG$5,0)),0,1/VLOOKUP(#REF!,Capa!$A:$Z,BG$5,0))))</f>
        <v/>
      </c>
      <c r="BH144" s="124" t="str">
        <f>IF(BH$6="","",IF(BH$3="Maior",iferror(VLOOKUP(#REF!,Capa!$A:$Z,BH$5,0),0),IF(ISERROR(1/VLOOKUP(#REF!,Capa!$A:$Z,BH$5,0)),0,1/VLOOKUP(#REF!,Capa!$A:$Z,BH$5,0))))</f>
        <v/>
      </c>
      <c r="BI144" s="124" t="str">
        <f>IF(BI$6="","",IF(BI$3="Maior",iferror(VLOOKUP(#REF!,Capa!$A:$Z,BI$5,0),0),IF(ISERROR(1/VLOOKUP(#REF!,Capa!$A:$Z,BI$5,0)),0,1/VLOOKUP(#REF!,Capa!$A:$Z,BI$5,0))))</f>
        <v/>
      </c>
      <c r="BJ144" s="124" t="str">
        <f>IF(BJ$6="","",IF(BJ$3="Maior",iferror(VLOOKUP(#REF!,Capa!$A:$Z,BJ$5,0),0),IF(ISERROR(1/VLOOKUP(#REF!,Capa!$A:$Z,BJ$5,0)),0,1/VLOOKUP(#REF!,Capa!$A:$Z,BJ$5,0))))</f>
        <v/>
      </c>
      <c r="BK144" s="124" t="str">
        <f>IF(BK$6="","",IF(BK$3="Maior",iferror(VLOOKUP(#REF!,Capa!$A:$Z,BK$5,0),0),IF(ISERROR(1/VLOOKUP(#REF!,Capa!$A:$Z,BK$5,0)),0,1/VLOOKUP(#REF!,Capa!$A:$Z,BK$5,0))))</f>
        <v/>
      </c>
      <c r="BL144" s="124" t="str">
        <f>IF(BL$6="","",IF(BL$3="Maior",iferror(VLOOKUP(#REF!,Capa!$A:$Z,BL$5,0),0),IF(ISERROR(1/VLOOKUP(#REF!,Capa!$A:$Z,BL$5,0)),0,1/VLOOKUP(#REF!,Capa!$A:$Z,BL$5,0))))</f>
        <v/>
      </c>
      <c r="BM144" s="124" t="str">
        <f>IF(BM$6="","",IF(BM$3="Maior",iferror(VLOOKUP(#REF!,Capa!$A:$Z,BM$5,0),0),IF(ISERROR(1/VLOOKUP(#REF!,Capa!$A:$Z,BM$5,0)),0,1/VLOOKUP(#REF!,Capa!$A:$Z,BM$5,0))))</f>
        <v/>
      </c>
      <c r="BN144" s="124" t="str">
        <f>IF(BN$6="","",IF(BN$3="Maior",iferror(VLOOKUP(#REF!,Capa!$A:$Z,BN$5,0),0),IF(ISERROR(1/VLOOKUP(#REF!,Capa!$A:$Z,BN$5,0)),0,1/VLOOKUP(#REF!,Capa!$A:$Z,BN$5,0))))</f>
        <v/>
      </c>
      <c r="BO144" s="124" t="str">
        <f>IF(BO$6="","",IF(BO$3="Maior",iferror(VLOOKUP(#REF!,Capa!$A:$Z,BO$5,0),0),IF(ISERROR(1/VLOOKUP(#REF!,Capa!$A:$Z,BO$5,0)),0,1/VLOOKUP(#REF!,Capa!$A:$Z,BO$5,0))))</f>
        <v/>
      </c>
      <c r="BP144" s="124" t="str">
        <f>IF(BP$6="","",IF(BP$3="Maior",iferror(VLOOKUP(#REF!,Capa!$A:$Z,BP$5,0),0),IF(ISERROR(1/VLOOKUP(#REF!,Capa!$A:$Z,BP$5,0)),0,1/VLOOKUP(#REF!,Capa!$A:$Z,BP$5,0))))</f>
        <v/>
      </c>
      <c r="BQ144" s="124" t="str">
        <f>IF(BQ$6="","",IF(BQ$3="Maior",iferror(VLOOKUP(#REF!,Capa!$A:$Z,BQ$5,0),0),IF(ISERROR(1/VLOOKUP(#REF!,Capa!$A:$Z,BQ$5,0)),0,1/VLOOKUP(#REF!,Capa!$A:$Z,BQ$5,0))))</f>
        <v/>
      </c>
      <c r="BR144" s="125" t="str">
        <f>IF(BR$6="","",IF(BR$3="Maior",iferror(VLOOKUP(#REF!,Capa!$A:$Z,BR$5,0),0),IF(ISERROR(1/VLOOKUP(#REF!,Capa!$A:$Z,BR$5,0)),0,1/VLOOKUP(#REF!,Capa!$A:$Z,BR$5,0))))</f>
        <v/>
      </c>
      <c r="BS144" s="88"/>
    </row>
    <row r="145">
      <c r="G145" s="9"/>
      <c r="H145" s="7">
        <v>139.0</v>
      </c>
      <c r="I145" s="129" t="str">
        <f t="shared" si="7"/>
        <v>FMOF11</v>
      </c>
      <c r="J145" s="112" t="str">
        <f>VLOOKUP(I145,Capa!A:G,7,0)</f>
        <v>Lajes Comerciais</v>
      </c>
      <c r="K145" s="113">
        <f t="shared" si="8"/>
        <v>0.4548928571</v>
      </c>
      <c r="L145" s="113">
        <f t="shared" si="9"/>
        <v>0.007742857143</v>
      </c>
      <c r="M145" s="113" t="str">
        <f t="shared" si="10"/>
        <v/>
      </c>
      <c r="N145" s="113" t="str">
        <f t="shared" si="11"/>
        <v/>
      </c>
      <c r="O145" s="114">
        <f t="shared" si="12"/>
        <v>994.93</v>
      </c>
      <c r="P145" s="9"/>
      <c r="Q145" s="9"/>
      <c r="R145" s="127" t="s">
        <v>176</v>
      </c>
      <c r="S145" s="116">
        <f t="shared" si="13"/>
        <v>1217.006652</v>
      </c>
      <c r="T145" s="117">
        <f>MID(VLOOKUP($R145,'Dados ClubeFII'!$A:$AU,23,0),3,100)/1</f>
        <v>54319.81</v>
      </c>
      <c r="U145" s="118">
        <f t="shared" si="14"/>
        <v>65.0065</v>
      </c>
      <c r="V145" s="118">
        <f t="shared" si="15"/>
        <v>152.000152</v>
      </c>
      <c r="W145" s="118" t="str">
        <f t="shared" ref="W145:AS145" si="154">IF(AV145="","", RANK(AV145,AV$7:AV$405,0))</f>
        <v/>
      </c>
      <c r="X145" s="118" t="str">
        <f t="shared" si="154"/>
        <v/>
      </c>
      <c r="Y145" s="118" t="str">
        <f t="shared" si="154"/>
        <v/>
      </c>
      <c r="Z145" s="118" t="str">
        <f t="shared" si="154"/>
        <v/>
      </c>
      <c r="AA145" s="118" t="str">
        <f t="shared" si="154"/>
        <v/>
      </c>
      <c r="AB145" s="118" t="str">
        <f t="shared" si="154"/>
        <v/>
      </c>
      <c r="AC145" s="118" t="str">
        <f t="shared" si="154"/>
        <v/>
      </c>
      <c r="AD145" s="118" t="str">
        <f t="shared" si="154"/>
        <v/>
      </c>
      <c r="AE145" s="118" t="str">
        <f t="shared" si="154"/>
        <v/>
      </c>
      <c r="AF145" s="118" t="str">
        <f t="shared" si="154"/>
        <v/>
      </c>
      <c r="AG145" s="118" t="str">
        <f t="shared" si="154"/>
        <v/>
      </c>
      <c r="AH145" s="118" t="str">
        <f t="shared" si="154"/>
        <v/>
      </c>
      <c r="AI145" s="118" t="str">
        <f t="shared" si="154"/>
        <v/>
      </c>
      <c r="AJ145" s="118" t="str">
        <f t="shared" si="154"/>
        <v/>
      </c>
      <c r="AK145" s="118" t="str">
        <f t="shared" si="154"/>
        <v/>
      </c>
      <c r="AL145" s="118" t="str">
        <f t="shared" si="154"/>
        <v/>
      </c>
      <c r="AM145" s="118" t="str">
        <f t="shared" si="154"/>
        <v/>
      </c>
      <c r="AN145" s="118" t="str">
        <f t="shared" si="154"/>
        <v/>
      </c>
      <c r="AO145" s="118" t="str">
        <f t="shared" si="154"/>
        <v/>
      </c>
      <c r="AP145" s="118" t="str">
        <f t="shared" si="154"/>
        <v/>
      </c>
      <c r="AQ145" s="118" t="str">
        <f t="shared" si="154"/>
        <v/>
      </c>
      <c r="AR145" s="118" t="str">
        <f t="shared" si="154"/>
        <v/>
      </c>
      <c r="AS145" s="118" t="str">
        <f t="shared" si="154"/>
        <v/>
      </c>
      <c r="AT145" s="123">
        <f>IF(AT$6="","",IF(AT$3="Maior",iferror(VLOOKUP($R145,Capa!$A:$Z,AT$5,0),0),IF(ISERROR(1/VLOOKUP($R145,Capa!$A:$Z,AT$5,0)),0,1/VLOOKUP($R145,Capa!$A:$Z,AT$5,0))))</f>
        <v>1.314258319</v>
      </c>
      <c r="AU145" s="124">
        <f>IF(AU$6="","",IF(AU$3="Maior",iferror(VLOOKUP($R145,Capa!$A:$Z,AU$5,0),0),IF(ISERROR(1/VLOOKUP($R145,Capa!$A:$Z,AU$5,0)),0,1/VLOOKUP($R145,Capa!$A:$Z,AU$5,0))))</f>
        <v>0.08057581552</v>
      </c>
      <c r="AV145" s="124" t="str">
        <f>IF(AV$6="","",IF(AV$3="Maior",iferror(VLOOKUP($R143,Capa!$A:$Z,AV$5,0),0),IF(ISERROR(1/VLOOKUP($R143,Capa!$A:$Z,AV$5,0)),0,1/VLOOKUP($R143,Capa!$A:$Z,AV$5,0))))</f>
        <v/>
      </c>
      <c r="AW145" s="124" t="str">
        <f>IF(AW$6="","",IF(AW$3="Maior",iferror(VLOOKUP($R143,Capa!$A:$Z,AW$5,0),0),IF(ISERROR(1/VLOOKUP($R143,Capa!$A:$Z,AW$5,0)),0,1/VLOOKUP($R143,Capa!$A:$Z,AW$5,0))))</f>
        <v/>
      </c>
      <c r="AX145" s="124" t="str">
        <f>IF(AX$6="","",IF(AX$3="Maior",iferror(VLOOKUP($R143,Capa!$A:$Z,AX$5,0),0),IF(ISERROR(1/VLOOKUP($R143,Capa!$A:$Z,AX$5,0)),0,1/VLOOKUP($R143,Capa!$A:$Z,AX$5,0))))</f>
        <v/>
      </c>
      <c r="AY145" s="124" t="str">
        <f>IF(AY$6="","",IF(AY$3="Maior",iferror(VLOOKUP($R143,Capa!$A:$Z,AY$5,0),0),IF(ISERROR(1/VLOOKUP($R143,Capa!$A:$Z,AY$5,0)),0,1/VLOOKUP($R143,Capa!$A:$Z,AY$5,0))))</f>
        <v/>
      </c>
      <c r="AZ145" s="124" t="str">
        <f>IF(AZ$6="","",IF(AZ$3="Maior",iferror(VLOOKUP($R143,Capa!$A:$Z,AZ$5,0),0),IF(ISERROR(1/VLOOKUP($R143,Capa!$A:$Z,AZ$5,0)),0,1/VLOOKUP($R143,Capa!$A:$Z,AZ$5,0))))</f>
        <v/>
      </c>
      <c r="BA145" s="124" t="str">
        <f>IF(BA$6="","",IF(BA$3="Maior",iferror(VLOOKUP($R143,Capa!$A:$Z,BA$5,0),0),IF(ISERROR(1/VLOOKUP($R143,Capa!$A:$Z,BA$5,0)),0,1/VLOOKUP($R143,Capa!$A:$Z,BA$5,0))))</f>
        <v/>
      </c>
      <c r="BB145" s="124" t="str">
        <f>IF(BB$6="","",IF(BB$3="Maior",iferror(VLOOKUP($R143,Capa!$A:$Z,BB$5,0),0),IF(ISERROR(1/VLOOKUP($R143,Capa!$A:$Z,BB$5,0)),0,1/VLOOKUP($R143,Capa!$A:$Z,BB$5,0))))</f>
        <v/>
      </c>
      <c r="BC145" s="124" t="str">
        <f>IF(BC$6="","",IF(BC$3="Maior",iferror(VLOOKUP($R143,Capa!$A:$Z,BC$5,0),0),IF(ISERROR(1/VLOOKUP($R143,Capa!$A:$Z,BC$5,0)),0,1/VLOOKUP($R143,Capa!$A:$Z,BC$5,0))))</f>
        <v/>
      </c>
      <c r="BD145" s="124" t="str">
        <f>IF(BD$6="","",IF(BD$3="Maior",iferror(VLOOKUP($R143,Capa!$A:$Z,BD$5,0),0),IF(ISERROR(1/VLOOKUP($R143,Capa!$A:$Z,BD$5,0)),0,1/VLOOKUP($R143,Capa!$A:$Z,BD$5,0))))</f>
        <v/>
      </c>
      <c r="BE145" s="124" t="str">
        <f>IF(BE$6="","",IF(BE$3="Maior",iferror(VLOOKUP($R143,Capa!$A:$Z,BE$5,0),0),IF(ISERROR(1/VLOOKUP($R143,Capa!$A:$Z,BE$5,0)),0,1/VLOOKUP($R143,Capa!$A:$Z,BE$5,0))))</f>
        <v/>
      </c>
      <c r="BF145" s="124" t="str">
        <f>IF(BF$6="","",IF(BF$3="Maior",iferror(VLOOKUP($R143,Capa!$A:$Z,BF$5,0),0),IF(ISERROR(1/VLOOKUP($R143,Capa!$A:$Z,BF$5,0)),0,1/VLOOKUP($R143,Capa!$A:$Z,BF$5,0))))</f>
        <v/>
      </c>
      <c r="BG145" s="124" t="str">
        <f>IF(BG$6="","",IF(BG$3="Maior",iferror(VLOOKUP($R143,Capa!$A:$Z,BG$5,0),0),IF(ISERROR(1/VLOOKUP($R143,Capa!$A:$Z,BG$5,0)),0,1/VLOOKUP($R143,Capa!$A:$Z,BG$5,0))))</f>
        <v/>
      </c>
      <c r="BH145" s="124" t="str">
        <f>IF(BH$6="","",IF(BH$3="Maior",iferror(VLOOKUP($R143,Capa!$A:$Z,BH$5,0),0),IF(ISERROR(1/VLOOKUP($R143,Capa!$A:$Z,BH$5,0)),0,1/VLOOKUP($R143,Capa!$A:$Z,BH$5,0))))</f>
        <v/>
      </c>
      <c r="BI145" s="124" t="str">
        <f>IF(BI$6="","",IF(BI$3="Maior",iferror(VLOOKUP($R143,Capa!$A:$Z,BI$5,0),0),IF(ISERROR(1/VLOOKUP($R143,Capa!$A:$Z,BI$5,0)),0,1/VLOOKUP($R143,Capa!$A:$Z,BI$5,0))))</f>
        <v/>
      </c>
      <c r="BJ145" s="124" t="str">
        <f>IF(BJ$6="","",IF(BJ$3="Maior",iferror(VLOOKUP($R143,Capa!$A:$Z,BJ$5,0),0),IF(ISERROR(1/VLOOKUP($R143,Capa!$A:$Z,BJ$5,0)),0,1/VLOOKUP($R143,Capa!$A:$Z,BJ$5,0))))</f>
        <v/>
      </c>
      <c r="BK145" s="124" t="str">
        <f>IF(BK$6="","",IF(BK$3="Maior",iferror(VLOOKUP($R143,Capa!$A:$Z,BK$5,0),0),IF(ISERROR(1/VLOOKUP($R143,Capa!$A:$Z,BK$5,0)),0,1/VLOOKUP($R143,Capa!$A:$Z,BK$5,0))))</f>
        <v/>
      </c>
      <c r="BL145" s="124" t="str">
        <f>IF(BL$6="","",IF(BL$3="Maior",iferror(VLOOKUP($R143,Capa!$A:$Z,BL$5,0),0),IF(ISERROR(1/VLOOKUP($R143,Capa!$A:$Z,BL$5,0)),0,1/VLOOKUP($R143,Capa!$A:$Z,BL$5,0))))</f>
        <v/>
      </c>
      <c r="BM145" s="124" t="str">
        <f>IF(BM$6="","",IF(BM$3="Maior",iferror(VLOOKUP($R143,Capa!$A:$Z,BM$5,0),0),IF(ISERROR(1/VLOOKUP($R143,Capa!$A:$Z,BM$5,0)),0,1/VLOOKUP($R143,Capa!$A:$Z,BM$5,0))))</f>
        <v/>
      </c>
      <c r="BN145" s="124" t="str">
        <f>IF(BN$6="","",IF(BN$3="Maior",iferror(VLOOKUP($R143,Capa!$A:$Z,BN$5,0),0),IF(ISERROR(1/VLOOKUP($R143,Capa!$A:$Z,BN$5,0)),0,1/VLOOKUP($R143,Capa!$A:$Z,BN$5,0))))</f>
        <v/>
      </c>
      <c r="BO145" s="124" t="str">
        <f>IF(BO$6="","",IF(BO$3="Maior",iferror(VLOOKUP($R143,Capa!$A:$Z,BO$5,0),0),IF(ISERROR(1/VLOOKUP($R143,Capa!$A:$Z,BO$5,0)),0,1/VLOOKUP($R143,Capa!$A:$Z,BO$5,0))))</f>
        <v/>
      </c>
      <c r="BP145" s="124" t="str">
        <f>IF(BP$6="","",IF(BP$3="Maior",iferror(VLOOKUP($R143,Capa!$A:$Z,BP$5,0),0),IF(ISERROR(1/VLOOKUP($R143,Capa!$A:$Z,BP$5,0)),0,1/VLOOKUP($R143,Capa!$A:$Z,BP$5,0))))</f>
        <v/>
      </c>
      <c r="BQ145" s="124" t="str">
        <f>IF(BQ$6="","",IF(BQ$3="Maior",iferror(VLOOKUP($R143,Capa!$A:$Z,BQ$5,0),0),IF(ISERROR(1/VLOOKUP($R143,Capa!$A:$Z,BQ$5,0)),0,1/VLOOKUP($R143,Capa!$A:$Z,BQ$5,0))))</f>
        <v/>
      </c>
      <c r="BR145" s="125" t="str">
        <f>IF(BR$6="","",IF(BR$3="Maior",iferror(VLOOKUP($R143,Capa!$A:$Z,BR$5,0),0),IF(ISERROR(1/VLOOKUP($R143,Capa!$A:$Z,BR$5,0)),0,1/VLOOKUP($R143,Capa!$A:$Z,BR$5,0))))</f>
        <v/>
      </c>
      <c r="BS145" s="88"/>
    </row>
    <row r="146">
      <c r="G146" s="9"/>
      <c r="H146" s="7">
        <v>140.0</v>
      </c>
      <c r="I146" s="111" t="str">
        <f t="shared" si="7"/>
        <v>NEWL11</v>
      </c>
      <c r="J146" s="112" t="str">
        <f>VLOOKUP(I146,Capa!A:G,7,0)</f>
        <v>Logisticos</v>
      </c>
      <c r="K146" s="113">
        <f t="shared" si="8"/>
        <v>0.8533130143</v>
      </c>
      <c r="L146" s="113">
        <f t="shared" si="9"/>
        <v>0.1164162755</v>
      </c>
      <c r="M146" s="113" t="str">
        <f t="shared" si="10"/>
        <v/>
      </c>
      <c r="N146" s="113" t="str">
        <f t="shared" si="11"/>
        <v/>
      </c>
      <c r="O146" s="114">
        <f t="shared" si="12"/>
        <v>124369.04</v>
      </c>
      <c r="P146" s="9"/>
      <c r="Q146" s="9"/>
      <c r="R146" s="127" t="s">
        <v>172</v>
      </c>
      <c r="S146" s="116">
        <f t="shared" si="13"/>
        <v>222.007944</v>
      </c>
      <c r="T146" s="117">
        <f>MID(VLOOKUP($R146,'Dados ClubeFII'!$A:$AU,23,0),3,100)/1</f>
        <v>1531722.07</v>
      </c>
      <c r="U146" s="118">
        <f t="shared" si="14"/>
        <v>78.0078</v>
      </c>
      <c r="V146" s="118">
        <f t="shared" si="15"/>
        <v>144.000144</v>
      </c>
      <c r="W146" s="118" t="str">
        <f t="shared" ref="W146:AS146" si="155">IF(AV146="","", RANK(AV146,AV$7:AV$405,0))</f>
        <v/>
      </c>
      <c r="X146" s="118" t="str">
        <f t="shared" si="155"/>
        <v/>
      </c>
      <c r="Y146" s="118" t="str">
        <f t="shared" si="155"/>
        <v/>
      </c>
      <c r="Z146" s="118" t="str">
        <f t="shared" si="155"/>
        <v/>
      </c>
      <c r="AA146" s="118" t="str">
        <f t="shared" si="155"/>
        <v/>
      </c>
      <c r="AB146" s="118" t="str">
        <f t="shared" si="155"/>
        <v/>
      </c>
      <c r="AC146" s="118" t="str">
        <f t="shared" si="155"/>
        <v/>
      </c>
      <c r="AD146" s="118" t="str">
        <f t="shared" si="155"/>
        <v/>
      </c>
      <c r="AE146" s="118" t="str">
        <f t="shared" si="155"/>
        <v/>
      </c>
      <c r="AF146" s="118" t="str">
        <f t="shared" si="155"/>
        <v/>
      </c>
      <c r="AG146" s="118" t="str">
        <f t="shared" si="155"/>
        <v/>
      </c>
      <c r="AH146" s="118" t="str">
        <f t="shared" si="155"/>
        <v/>
      </c>
      <c r="AI146" s="118" t="str">
        <f t="shared" si="155"/>
        <v/>
      </c>
      <c r="AJ146" s="118" t="str">
        <f t="shared" si="155"/>
        <v/>
      </c>
      <c r="AK146" s="118" t="str">
        <f t="shared" si="155"/>
        <v/>
      </c>
      <c r="AL146" s="118" t="str">
        <f t="shared" si="155"/>
        <v/>
      </c>
      <c r="AM146" s="118" t="str">
        <f t="shared" si="155"/>
        <v/>
      </c>
      <c r="AN146" s="118" t="str">
        <f t="shared" si="155"/>
        <v/>
      </c>
      <c r="AO146" s="118" t="str">
        <f t="shared" si="155"/>
        <v/>
      </c>
      <c r="AP146" s="118" t="str">
        <f t="shared" si="155"/>
        <v/>
      </c>
      <c r="AQ146" s="118" t="str">
        <f t="shared" si="155"/>
        <v/>
      </c>
      <c r="AR146" s="118" t="str">
        <f t="shared" si="155"/>
        <v/>
      </c>
      <c r="AS146" s="118" t="str">
        <f t="shared" si="155"/>
        <v/>
      </c>
      <c r="AT146" s="123">
        <f>IF(AT$6="","",IF(AT$3="Maior",iferror(VLOOKUP($R146,Capa!$A:$Z,AT$5,0),0),IF(ISERROR(1/VLOOKUP($R146,Capa!$A:$Z,AT$5,0)),0,1/VLOOKUP($R146,Capa!$A:$Z,AT$5,0))))</f>
        <v>1.245334684</v>
      </c>
      <c r="AU146" s="124">
        <f>IF(AU$6="","",IF(AU$3="Maior",iferror(VLOOKUP($R146,Capa!$A:$Z,AU$5,0),0),IF(ISERROR(1/VLOOKUP($R146,Capa!$A:$Z,AU$5,0)),0,1/VLOOKUP($R146,Capa!$A:$Z,AU$5,0))))</f>
        <v>0.0861486892</v>
      </c>
      <c r="AV146" s="124" t="str">
        <f>IF(AV$6="","",IF(AV$3="Maior",iferror(VLOOKUP($R144,Capa!$A:$Z,AV$5,0),0),IF(ISERROR(1/VLOOKUP($R144,Capa!$A:$Z,AV$5,0)),0,1/VLOOKUP($R144,Capa!$A:$Z,AV$5,0))))</f>
        <v/>
      </c>
      <c r="AW146" s="124" t="str">
        <f>IF(AW$6="","",IF(AW$3="Maior",iferror(VLOOKUP($R144,Capa!$A:$Z,AW$5,0),0),IF(ISERROR(1/VLOOKUP($R144,Capa!$A:$Z,AW$5,0)),0,1/VLOOKUP($R144,Capa!$A:$Z,AW$5,0))))</f>
        <v/>
      </c>
      <c r="AX146" s="124" t="str">
        <f>IF(AX$6="","",IF(AX$3="Maior",iferror(VLOOKUP($R144,Capa!$A:$Z,AX$5,0),0),IF(ISERROR(1/VLOOKUP($R144,Capa!$A:$Z,AX$5,0)),0,1/VLOOKUP($R144,Capa!$A:$Z,AX$5,0))))</f>
        <v/>
      </c>
      <c r="AY146" s="124" t="str">
        <f>IF(AY$6="","",IF(AY$3="Maior",iferror(VLOOKUP($R144,Capa!$A:$Z,AY$5,0),0),IF(ISERROR(1/VLOOKUP($R144,Capa!$A:$Z,AY$5,0)),0,1/VLOOKUP($R144,Capa!$A:$Z,AY$5,0))))</f>
        <v/>
      </c>
      <c r="AZ146" s="124" t="str">
        <f>IF(AZ$6="","",IF(AZ$3="Maior",iferror(VLOOKUP($R144,Capa!$A:$Z,AZ$5,0),0),IF(ISERROR(1/VLOOKUP($R144,Capa!$A:$Z,AZ$5,0)),0,1/VLOOKUP($R144,Capa!$A:$Z,AZ$5,0))))</f>
        <v/>
      </c>
      <c r="BA146" s="124" t="str">
        <f>IF(BA$6="","",IF(BA$3="Maior",iferror(VLOOKUP($R144,Capa!$A:$Z,BA$5,0),0),IF(ISERROR(1/VLOOKUP($R144,Capa!$A:$Z,BA$5,0)),0,1/VLOOKUP($R144,Capa!$A:$Z,BA$5,0))))</f>
        <v/>
      </c>
      <c r="BB146" s="124" t="str">
        <f>IF(BB$6="","",IF(BB$3="Maior",iferror(VLOOKUP($R144,Capa!$A:$Z,BB$5,0),0),IF(ISERROR(1/VLOOKUP($R144,Capa!$A:$Z,BB$5,0)),0,1/VLOOKUP($R144,Capa!$A:$Z,BB$5,0))))</f>
        <v/>
      </c>
      <c r="BC146" s="124" t="str">
        <f>IF(BC$6="","",IF(BC$3="Maior",iferror(VLOOKUP($R144,Capa!$A:$Z,BC$5,0),0),IF(ISERROR(1/VLOOKUP($R144,Capa!$A:$Z,BC$5,0)),0,1/VLOOKUP($R144,Capa!$A:$Z,BC$5,0))))</f>
        <v/>
      </c>
      <c r="BD146" s="124" t="str">
        <f>IF(BD$6="","",IF(BD$3="Maior",iferror(VLOOKUP($R144,Capa!$A:$Z,BD$5,0),0),IF(ISERROR(1/VLOOKUP($R144,Capa!$A:$Z,BD$5,0)),0,1/VLOOKUP($R144,Capa!$A:$Z,BD$5,0))))</f>
        <v/>
      </c>
      <c r="BE146" s="124" t="str">
        <f>IF(BE$6="","",IF(BE$3="Maior",iferror(VLOOKUP($R144,Capa!$A:$Z,BE$5,0),0),IF(ISERROR(1/VLOOKUP($R144,Capa!$A:$Z,BE$5,0)),0,1/VLOOKUP($R144,Capa!$A:$Z,BE$5,0))))</f>
        <v/>
      </c>
      <c r="BF146" s="124" t="str">
        <f>IF(BF$6="","",IF(BF$3="Maior",iferror(VLOOKUP($R144,Capa!$A:$Z,BF$5,0),0),IF(ISERROR(1/VLOOKUP($R144,Capa!$A:$Z,BF$5,0)),0,1/VLOOKUP($R144,Capa!$A:$Z,BF$5,0))))</f>
        <v/>
      </c>
      <c r="BG146" s="124" t="str">
        <f>IF(BG$6="","",IF(BG$3="Maior",iferror(VLOOKUP($R144,Capa!$A:$Z,BG$5,0),0),IF(ISERROR(1/VLOOKUP($R144,Capa!$A:$Z,BG$5,0)),0,1/VLOOKUP($R144,Capa!$A:$Z,BG$5,0))))</f>
        <v/>
      </c>
      <c r="BH146" s="124" t="str">
        <f>IF(BH$6="","",IF(BH$3="Maior",iferror(VLOOKUP($R144,Capa!$A:$Z,BH$5,0),0),IF(ISERROR(1/VLOOKUP($R144,Capa!$A:$Z,BH$5,0)),0,1/VLOOKUP($R144,Capa!$A:$Z,BH$5,0))))</f>
        <v/>
      </c>
      <c r="BI146" s="124" t="str">
        <f>IF(BI$6="","",IF(BI$3="Maior",iferror(VLOOKUP($R144,Capa!$A:$Z,BI$5,0),0),IF(ISERROR(1/VLOOKUP($R144,Capa!$A:$Z,BI$5,0)),0,1/VLOOKUP($R144,Capa!$A:$Z,BI$5,0))))</f>
        <v/>
      </c>
      <c r="BJ146" s="124" t="str">
        <f>IF(BJ$6="","",IF(BJ$3="Maior",iferror(VLOOKUP($R144,Capa!$A:$Z,BJ$5,0),0),IF(ISERROR(1/VLOOKUP($R144,Capa!$A:$Z,BJ$5,0)),0,1/VLOOKUP($R144,Capa!$A:$Z,BJ$5,0))))</f>
        <v/>
      </c>
      <c r="BK146" s="124" t="str">
        <f>IF(BK$6="","",IF(BK$3="Maior",iferror(VLOOKUP($R144,Capa!$A:$Z,BK$5,0),0),IF(ISERROR(1/VLOOKUP($R144,Capa!$A:$Z,BK$5,0)),0,1/VLOOKUP($R144,Capa!$A:$Z,BK$5,0))))</f>
        <v/>
      </c>
      <c r="BL146" s="124" t="str">
        <f>IF(BL$6="","",IF(BL$3="Maior",iferror(VLOOKUP($R144,Capa!$A:$Z,BL$5,0),0),IF(ISERROR(1/VLOOKUP($R144,Capa!$A:$Z,BL$5,0)),0,1/VLOOKUP($R144,Capa!$A:$Z,BL$5,0))))</f>
        <v/>
      </c>
      <c r="BM146" s="124" t="str">
        <f>IF(BM$6="","",IF(BM$3="Maior",iferror(VLOOKUP($R144,Capa!$A:$Z,BM$5,0),0),IF(ISERROR(1/VLOOKUP($R144,Capa!$A:$Z,BM$5,0)),0,1/VLOOKUP($R144,Capa!$A:$Z,BM$5,0))))</f>
        <v/>
      </c>
      <c r="BN146" s="124" t="str">
        <f>IF(BN$6="","",IF(BN$3="Maior",iferror(VLOOKUP($R144,Capa!$A:$Z,BN$5,0),0),IF(ISERROR(1/VLOOKUP($R144,Capa!$A:$Z,BN$5,0)),0,1/VLOOKUP($R144,Capa!$A:$Z,BN$5,0))))</f>
        <v/>
      </c>
      <c r="BO146" s="124" t="str">
        <f>IF(BO$6="","",IF(BO$3="Maior",iferror(VLOOKUP($R144,Capa!$A:$Z,BO$5,0),0),IF(ISERROR(1/VLOOKUP($R144,Capa!$A:$Z,BO$5,0)),0,1/VLOOKUP($R144,Capa!$A:$Z,BO$5,0))))</f>
        <v/>
      </c>
      <c r="BP146" s="124" t="str">
        <f>IF(BP$6="","",IF(BP$3="Maior",iferror(VLOOKUP($R144,Capa!$A:$Z,BP$5,0),0),IF(ISERROR(1/VLOOKUP($R144,Capa!$A:$Z,BP$5,0)),0,1/VLOOKUP($R144,Capa!$A:$Z,BP$5,0))))</f>
        <v/>
      </c>
      <c r="BQ146" s="124" t="str">
        <f>IF(BQ$6="","",IF(BQ$3="Maior",iferror(VLOOKUP($R144,Capa!$A:$Z,BQ$5,0),0),IF(ISERROR(1/VLOOKUP($R144,Capa!$A:$Z,BQ$5,0)),0,1/VLOOKUP($R144,Capa!$A:$Z,BQ$5,0))))</f>
        <v/>
      </c>
      <c r="BR146" s="125" t="str">
        <f>IF(BR$6="","",IF(BR$3="Maior",iferror(VLOOKUP($R144,Capa!$A:$Z,BR$5,0),0),IF(ISERROR(1/VLOOKUP($R144,Capa!$A:$Z,BR$5,0)),0,1/VLOOKUP($R144,Capa!$A:$Z,BR$5,0))))</f>
        <v/>
      </c>
      <c r="BS146" s="88"/>
    </row>
    <row r="147">
      <c r="G147" s="9"/>
      <c r="H147" s="7">
        <v>141.0</v>
      </c>
      <c r="I147" s="111" t="str">
        <f t="shared" si="7"/>
        <v>XPSF11</v>
      </c>
      <c r="J147" s="112" t="str">
        <f>VLOOKUP(I147,Capa!A:G,7,0)</f>
        <v>Fundo de Fundos</v>
      </c>
      <c r="K147" s="113">
        <f t="shared" si="8"/>
        <v>0.8555215577</v>
      </c>
      <c r="L147" s="113">
        <f t="shared" si="9"/>
        <v>0.1172453408</v>
      </c>
      <c r="M147" s="113" t="str">
        <f t="shared" si="10"/>
        <v/>
      </c>
      <c r="N147" s="113" t="str">
        <f t="shared" si="11"/>
        <v/>
      </c>
      <c r="O147" s="114">
        <f t="shared" si="12"/>
        <v>483523.63</v>
      </c>
      <c r="P147" s="9"/>
      <c r="Q147" s="9"/>
      <c r="R147" s="115" t="s">
        <v>174</v>
      </c>
      <c r="S147" s="116">
        <f t="shared" si="13"/>
        <v>240.018357</v>
      </c>
      <c r="T147" s="117">
        <f>MID(VLOOKUP($R147,'Dados ClubeFII'!$A:$AU,23,0),3,100)/1</f>
        <v>1064026.35</v>
      </c>
      <c r="U147" s="118">
        <f t="shared" si="14"/>
        <v>183.0183</v>
      </c>
      <c r="V147" s="118">
        <f t="shared" si="15"/>
        <v>57.000057</v>
      </c>
      <c r="W147" s="118" t="str">
        <f t="shared" ref="W147:AS147" si="156">IF(AV147="","", RANK(AV147,AV$7:AV$405,0))</f>
        <v/>
      </c>
      <c r="X147" s="118" t="str">
        <f t="shared" si="156"/>
        <v/>
      </c>
      <c r="Y147" s="118" t="str">
        <f t="shared" si="156"/>
        <v/>
      </c>
      <c r="Z147" s="118" t="str">
        <f t="shared" si="156"/>
        <v/>
      </c>
      <c r="AA147" s="118" t="str">
        <f t="shared" si="156"/>
        <v/>
      </c>
      <c r="AB147" s="118" t="str">
        <f t="shared" si="156"/>
        <v/>
      </c>
      <c r="AC147" s="118" t="str">
        <f t="shared" si="156"/>
        <v/>
      </c>
      <c r="AD147" s="118" t="str">
        <f t="shared" si="156"/>
        <v/>
      </c>
      <c r="AE147" s="118" t="str">
        <f t="shared" si="156"/>
        <v/>
      </c>
      <c r="AF147" s="118" t="str">
        <f t="shared" si="156"/>
        <v/>
      </c>
      <c r="AG147" s="118" t="str">
        <f t="shared" si="156"/>
        <v/>
      </c>
      <c r="AH147" s="118" t="str">
        <f t="shared" si="156"/>
        <v/>
      </c>
      <c r="AI147" s="118" t="str">
        <f t="shared" si="156"/>
        <v/>
      </c>
      <c r="AJ147" s="118" t="str">
        <f t="shared" si="156"/>
        <v/>
      </c>
      <c r="AK147" s="118" t="str">
        <f t="shared" si="156"/>
        <v/>
      </c>
      <c r="AL147" s="118" t="str">
        <f t="shared" si="156"/>
        <v/>
      </c>
      <c r="AM147" s="118" t="str">
        <f t="shared" si="156"/>
        <v/>
      </c>
      <c r="AN147" s="118" t="str">
        <f t="shared" si="156"/>
        <v/>
      </c>
      <c r="AO147" s="118" t="str">
        <f t="shared" si="156"/>
        <v/>
      </c>
      <c r="AP147" s="118" t="str">
        <f t="shared" si="156"/>
        <v/>
      </c>
      <c r="AQ147" s="118" t="str">
        <f t="shared" si="156"/>
        <v/>
      </c>
      <c r="AR147" s="118" t="str">
        <f t="shared" si="156"/>
        <v/>
      </c>
      <c r="AS147" s="118" t="str">
        <f t="shared" si="156"/>
        <v/>
      </c>
      <c r="AT147" s="123">
        <f>IF(AT$6="","",IF(AT$3="Maior",iferror(VLOOKUP($R147,Capa!$A:$Z,AT$5,0),0),IF(ISERROR(1/VLOOKUP($R147,Capa!$A:$Z,AT$5,0)),0,1/VLOOKUP($R147,Capa!$A:$Z,AT$5,0))))</f>
        <v>0.929411814</v>
      </c>
      <c r="AU147" s="124">
        <f>IF(AU$6="","",IF(AU$3="Maior",iferror(VLOOKUP($R147,Capa!$A:$Z,AU$5,0),0),IF(ISERROR(1/VLOOKUP($R147,Capa!$A:$Z,AU$5,0)),0,1/VLOOKUP($R147,Capa!$A:$Z,AU$5,0))))</f>
        <v>0.1308559304</v>
      </c>
      <c r="AV147" s="124" t="str">
        <f>IF(AV$6="","",IF(AV$3="Maior",iferror(VLOOKUP($R145,Capa!$A:$Z,AV$5,0),0),IF(ISERROR(1/VLOOKUP($R145,Capa!$A:$Z,AV$5,0)),0,1/VLOOKUP($R145,Capa!$A:$Z,AV$5,0))))</f>
        <v/>
      </c>
      <c r="AW147" s="124" t="str">
        <f>IF(AW$6="","",IF(AW$3="Maior",iferror(VLOOKUP($R145,Capa!$A:$Z,AW$5,0),0),IF(ISERROR(1/VLOOKUP($R145,Capa!$A:$Z,AW$5,0)),0,1/VLOOKUP($R145,Capa!$A:$Z,AW$5,0))))</f>
        <v/>
      </c>
      <c r="AX147" s="124" t="str">
        <f>IF(AX$6="","",IF(AX$3="Maior",iferror(VLOOKUP($R145,Capa!$A:$Z,AX$5,0),0),IF(ISERROR(1/VLOOKUP($R145,Capa!$A:$Z,AX$5,0)),0,1/VLOOKUP($R145,Capa!$A:$Z,AX$5,0))))</f>
        <v/>
      </c>
      <c r="AY147" s="124" t="str">
        <f>IF(AY$6="","",IF(AY$3="Maior",iferror(VLOOKUP($R145,Capa!$A:$Z,AY$5,0),0),IF(ISERROR(1/VLOOKUP($R145,Capa!$A:$Z,AY$5,0)),0,1/VLOOKUP($R145,Capa!$A:$Z,AY$5,0))))</f>
        <v/>
      </c>
      <c r="AZ147" s="124" t="str">
        <f>IF(AZ$6="","",IF(AZ$3="Maior",iferror(VLOOKUP($R145,Capa!$A:$Z,AZ$5,0),0),IF(ISERROR(1/VLOOKUP($R145,Capa!$A:$Z,AZ$5,0)),0,1/VLOOKUP($R145,Capa!$A:$Z,AZ$5,0))))</f>
        <v/>
      </c>
      <c r="BA147" s="124" t="str">
        <f>IF(BA$6="","",IF(BA$3="Maior",iferror(VLOOKUP($R145,Capa!$A:$Z,BA$5,0),0),IF(ISERROR(1/VLOOKUP($R145,Capa!$A:$Z,BA$5,0)),0,1/VLOOKUP($R145,Capa!$A:$Z,BA$5,0))))</f>
        <v/>
      </c>
      <c r="BB147" s="124" t="str">
        <f>IF(BB$6="","",IF(BB$3="Maior",iferror(VLOOKUP($R145,Capa!$A:$Z,BB$5,0),0),IF(ISERROR(1/VLOOKUP($R145,Capa!$A:$Z,BB$5,0)),0,1/VLOOKUP($R145,Capa!$A:$Z,BB$5,0))))</f>
        <v/>
      </c>
      <c r="BC147" s="124" t="str">
        <f>IF(BC$6="","",IF(BC$3="Maior",iferror(VLOOKUP($R145,Capa!$A:$Z,BC$5,0),0),IF(ISERROR(1/VLOOKUP($R145,Capa!$A:$Z,BC$5,0)),0,1/VLOOKUP($R145,Capa!$A:$Z,BC$5,0))))</f>
        <v/>
      </c>
      <c r="BD147" s="124" t="str">
        <f>IF(BD$6="","",IF(BD$3="Maior",iferror(VLOOKUP($R145,Capa!$A:$Z,BD$5,0),0),IF(ISERROR(1/VLOOKUP($R145,Capa!$A:$Z,BD$5,0)),0,1/VLOOKUP($R145,Capa!$A:$Z,BD$5,0))))</f>
        <v/>
      </c>
      <c r="BE147" s="124" t="str">
        <f>IF(BE$6="","",IF(BE$3="Maior",iferror(VLOOKUP($R145,Capa!$A:$Z,BE$5,0),0),IF(ISERROR(1/VLOOKUP($R145,Capa!$A:$Z,BE$5,0)),0,1/VLOOKUP($R145,Capa!$A:$Z,BE$5,0))))</f>
        <v/>
      </c>
      <c r="BF147" s="124" t="str">
        <f>IF(BF$6="","",IF(BF$3="Maior",iferror(VLOOKUP($R145,Capa!$A:$Z,BF$5,0),0),IF(ISERROR(1/VLOOKUP($R145,Capa!$A:$Z,BF$5,0)),0,1/VLOOKUP($R145,Capa!$A:$Z,BF$5,0))))</f>
        <v/>
      </c>
      <c r="BG147" s="124" t="str">
        <f>IF(BG$6="","",IF(BG$3="Maior",iferror(VLOOKUP($R145,Capa!$A:$Z,BG$5,0),0),IF(ISERROR(1/VLOOKUP($R145,Capa!$A:$Z,BG$5,0)),0,1/VLOOKUP($R145,Capa!$A:$Z,BG$5,0))))</f>
        <v/>
      </c>
      <c r="BH147" s="124" t="str">
        <f>IF(BH$6="","",IF(BH$3="Maior",iferror(VLOOKUP($R145,Capa!$A:$Z,BH$5,0),0),IF(ISERROR(1/VLOOKUP($R145,Capa!$A:$Z,BH$5,0)),0,1/VLOOKUP($R145,Capa!$A:$Z,BH$5,0))))</f>
        <v/>
      </c>
      <c r="BI147" s="124" t="str">
        <f>IF(BI$6="","",IF(BI$3="Maior",iferror(VLOOKUP($R145,Capa!$A:$Z,BI$5,0),0),IF(ISERROR(1/VLOOKUP($R145,Capa!$A:$Z,BI$5,0)),0,1/VLOOKUP($R145,Capa!$A:$Z,BI$5,0))))</f>
        <v/>
      </c>
      <c r="BJ147" s="124" t="str">
        <f>IF(BJ$6="","",IF(BJ$3="Maior",iferror(VLOOKUP($R145,Capa!$A:$Z,BJ$5,0),0),IF(ISERROR(1/VLOOKUP($R145,Capa!$A:$Z,BJ$5,0)),0,1/VLOOKUP($R145,Capa!$A:$Z,BJ$5,0))))</f>
        <v/>
      </c>
      <c r="BK147" s="124" t="str">
        <f>IF(BK$6="","",IF(BK$3="Maior",iferror(VLOOKUP($R145,Capa!$A:$Z,BK$5,0),0),IF(ISERROR(1/VLOOKUP($R145,Capa!$A:$Z,BK$5,0)),0,1/VLOOKUP($R145,Capa!$A:$Z,BK$5,0))))</f>
        <v/>
      </c>
      <c r="BL147" s="124" t="str">
        <f>IF(BL$6="","",IF(BL$3="Maior",iferror(VLOOKUP($R145,Capa!$A:$Z,BL$5,0),0),IF(ISERROR(1/VLOOKUP($R145,Capa!$A:$Z,BL$5,0)),0,1/VLOOKUP($R145,Capa!$A:$Z,BL$5,0))))</f>
        <v/>
      </c>
      <c r="BM147" s="124" t="str">
        <f>IF(BM$6="","",IF(BM$3="Maior",iferror(VLOOKUP($R145,Capa!$A:$Z,BM$5,0),0),IF(ISERROR(1/VLOOKUP($R145,Capa!$A:$Z,BM$5,0)),0,1/VLOOKUP($R145,Capa!$A:$Z,BM$5,0))))</f>
        <v/>
      </c>
      <c r="BN147" s="124" t="str">
        <f>IF(BN$6="","",IF(BN$3="Maior",iferror(VLOOKUP($R145,Capa!$A:$Z,BN$5,0),0),IF(ISERROR(1/VLOOKUP($R145,Capa!$A:$Z,BN$5,0)),0,1/VLOOKUP($R145,Capa!$A:$Z,BN$5,0))))</f>
        <v/>
      </c>
      <c r="BO147" s="124" t="str">
        <f>IF(BO$6="","",IF(BO$3="Maior",iferror(VLOOKUP($R145,Capa!$A:$Z,BO$5,0),0),IF(ISERROR(1/VLOOKUP($R145,Capa!$A:$Z,BO$5,0)),0,1/VLOOKUP($R145,Capa!$A:$Z,BO$5,0))))</f>
        <v/>
      </c>
      <c r="BP147" s="124" t="str">
        <f>IF(BP$6="","",IF(BP$3="Maior",iferror(VLOOKUP($R145,Capa!$A:$Z,BP$5,0),0),IF(ISERROR(1/VLOOKUP($R145,Capa!$A:$Z,BP$5,0)),0,1/VLOOKUP($R145,Capa!$A:$Z,BP$5,0))))</f>
        <v/>
      </c>
      <c r="BQ147" s="124" t="str">
        <f>IF(BQ$6="","",IF(BQ$3="Maior",iferror(VLOOKUP($R145,Capa!$A:$Z,BQ$5,0),0),IF(ISERROR(1/VLOOKUP($R145,Capa!$A:$Z,BQ$5,0)),0,1/VLOOKUP($R145,Capa!$A:$Z,BQ$5,0))))</f>
        <v/>
      </c>
      <c r="BR147" s="125" t="str">
        <f>IF(BR$6="","",IF(BR$3="Maior",iferror(VLOOKUP($R145,Capa!$A:$Z,BR$5,0),0),IF(ISERROR(1/VLOOKUP($R145,Capa!$A:$Z,BR$5,0)),0,1/VLOOKUP($R145,Capa!$A:$Z,BR$5,0))))</f>
        <v/>
      </c>
      <c r="BS147" s="88"/>
    </row>
    <row r="148">
      <c r="G148" s="9"/>
      <c r="H148" s="7">
        <v>142.0</v>
      </c>
      <c r="I148" s="111" t="str">
        <f t="shared" si="7"/>
        <v>TRNT11</v>
      </c>
      <c r="J148" s="112" t="str">
        <f>VLOOKUP(I148,Capa!A:G,7,0)</f>
        <v>Lajes Comerciais</v>
      </c>
      <c r="K148" s="113">
        <f t="shared" si="8"/>
        <v>0.5334032787</v>
      </c>
      <c r="L148" s="113">
        <f t="shared" si="9"/>
        <v>0.03226229508</v>
      </c>
      <c r="M148" s="113" t="str">
        <f t="shared" si="10"/>
        <v/>
      </c>
      <c r="N148" s="113" t="str">
        <f t="shared" si="11"/>
        <v/>
      </c>
      <c r="O148" s="114">
        <f t="shared" si="12"/>
        <v>3396.41</v>
      </c>
      <c r="P148" s="9"/>
      <c r="Q148" s="9"/>
      <c r="R148" s="115" t="s">
        <v>136</v>
      </c>
      <c r="S148" s="116">
        <f t="shared" si="13"/>
        <v>1267.011454</v>
      </c>
      <c r="T148" s="117">
        <f>MID(VLOOKUP($R148,'Dados ClubeFII'!$A:$AU,23,0),3,100)/1</f>
        <v>14554.75</v>
      </c>
      <c r="U148" s="118">
        <f t="shared" si="14"/>
        <v>113.0113</v>
      </c>
      <c r="V148" s="118">
        <f t="shared" si="15"/>
        <v>154.000154</v>
      </c>
      <c r="W148" s="118" t="str">
        <f t="shared" ref="W148:AS148" si="157">IF(AV148="","", RANK(AV148,AV$7:AV$405,0))</f>
        <v/>
      </c>
      <c r="X148" s="118" t="str">
        <f t="shared" si="157"/>
        <v/>
      </c>
      <c r="Y148" s="118" t="str">
        <f t="shared" si="157"/>
        <v/>
      </c>
      <c r="Z148" s="118" t="str">
        <f t="shared" si="157"/>
        <v/>
      </c>
      <c r="AA148" s="118" t="str">
        <f t="shared" si="157"/>
        <v/>
      </c>
      <c r="AB148" s="118" t="str">
        <f t="shared" si="157"/>
        <v/>
      </c>
      <c r="AC148" s="118" t="str">
        <f t="shared" si="157"/>
        <v/>
      </c>
      <c r="AD148" s="118" t="str">
        <f t="shared" si="157"/>
        <v/>
      </c>
      <c r="AE148" s="118" t="str">
        <f t="shared" si="157"/>
        <v/>
      </c>
      <c r="AF148" s="118" t="str">
        <f t="shared" si="157"/>
        <v/>
      </c>
      <c r="AG148" s="118" t="str">
        <f t="shared" si="157"/>
        <v/>
      </c>
      <c r="AH148" s="118" t="str">
        <f t="shared" si="157"/>
        <v/>
      </c>
      <c r="AI148" s="118" t="str">
        <f t="shared" si="157"/>
        <v/>
      </c>
      <c r="AJ148" s="118" t="str">
        <f t="shared" si="157"/>
        <v/>
      </c>
      <c r="AK148" s="118" t="str">
        <f t="shared" si="157"/>
        <v/>
      </c>
      <c r="AL148" s="118" t="str">
        <f t="shared" si="157"/>
        <v/>
      </c>
      <c r="AM148" s="118" t="str">
        <f t="shared" si="157"/>
        <v/>
      </c>
      <c r="AN148" s="118" t="str">
        <f t="shared" si="157"/>
        <v/>
      </c>
      <c r="AO148" s="118" t="str">
        <f t="shared" si="157"/>
        <v/>
      </c>
      <c r="AP148" s="118" t="str">
        <f t="shared" si="157"/>
        <v/>
      </c>
      <c r="AQ148" s="118" t="str">
        <f t="shared" si="157"/>
        <v/>
      </c>
      <c r="AR148" s="118" t="str">
        <f t="shared" si="157"/>
        <v/>
      </c>
      <c r="AS148" s="118" t="str">
        <f t="shared" si="157"/>
        <v/>
      </c>
      <c r="AT148" s="123">
        <f>IF(AT$6="","",IF(AT$3="Maior",iferror(VLOOKUP($R148,Capa!$A:$Z,AT$5,0),0),IF(ISERROR(1/VLOOKUP($R148,Capa!$A:$Z,AT$5,0)),0,1/VLOOKUP($R148,Capa!$A:$Z,AT$5,0))))</f>
        <v>1.164420076</v>
      </c>
      <c r="AU148" s="124">
        <f>IF(AU$6="","",IF(AU$3="Maior",iferror(VLOOKUP($R148,Capa!$A:$Z,AU$5,0),0),IF(ISERROR(1/VLOOKUP($R148,Capa!$A:$Z,AU$5,0)),0,1/VLOOKUP($R148,Capa!$A:$Z,AU$5,0))))</f>
        <v>0.0797881956</v>
      </c>
      <c r="AV148" s="124" t="str">
        <f>IF(AV$6="","",IF(AV$3="Maior",iferror(VLOOKUP($R146,Capa!$A:$Z,AV$5,0),0),IF(ISERROR(1/VLOOKUP($R146,Capa!$A:$Z,AV$5,0)),0,1/VLOOKUP($R146,Capa!$A:$Z,AV$5,0))))</f>
        <v/>
      </c>
      <c r="AW148" s="124" t="str">
        <f>IF(AW$6="","",IF(AW$3="Maior",iferror(VLOOKUP($R146,Capa!$A:$Z,AW$5,0),0),IF(ISERROR(1/VLOOKUP($R146,Capa!$A:$Z,AW$5,0)),0,1/VLOOKUP($R146,Capa!$A:$Z,AW$5,0))))</f>
        <v/>
      </c>
      <c r="AX148" s="124" t="str">
        <f>IF(AX$6="","",IF(AX$3="Maior",iferror(VLOOKUP($R146,Capa!$A:$Z,AX$5,0),0),IF(ISERROR(1/VLOOKUP($R146,Capa!$A:$Z,AX$5,0)),0,1/VLOOKUP($R146,Capa!$A:$Z,AX$5,0))))</f>
        <v/>
      </c>
      <c r="AY148" s="124" t="str">
        <f>IF(AY$6="","",IF(AY$3="Maior",iferror(VLOOKUP($R146,Capa!$A:$Z,AY$5,0),0),IF(ISERROR(1/VLOOKUP($R146,Capa!$A:$Z,AY$5,0)),0,1/VLOOKUP($R146,Capa!$A:$Z,AY$5,0))))</f>
        <v/>
      </c>
      <c r="AZ148" s="124" t="str">
        <f>IF(AZ$6="","",IF(AZ$3="Maior",iferror(VLOOKUP($R146,Capa!$A:$Z,AZ$5,0),0),IF(ISERROR(1/VLOOKUP($R146,Capa!$A:$Z,AZ$5,0)),0,1/VLOOKUP($R146,Capa!$A:$Z,AZ$5,0))))</f>
        <v/>
      </c>
      <c r="BA148" s="124" t="str">
        <f>IF(BA$6="","",IF(BA$3="Maior",iferror(VLOOKUP($R146,Capa!$A:$Z,BA$5,0),0),IF(ISERROR(1/VLOOKUP($R146,Capa!$A:$Z,BA$5,0)),0,1/VLOOKUP($R146,Capa!$A:$Z,BA$5,0))))</f>
        <v/>
      </c>
      <c r="BB148" s="124" t="str">
        <f>IF(BB$6="","",IF(BB$3="Maior",iferror(VLOOKUP($R146,Capa!$A:$Z,BB$5,0),0),IF(ISERROR(1/VLOOKUP($R146,Capa!$A:$Z,BB$5,0)),0,1/VLOOKUP($R146,Capa!$A:$Z,BB$5,0))))</f>
        <v/>
      </c>
      <c r="BC148" s="124" t="str">
        <f>IF(BC$6="","",IF(BC$3="Maior",iferror(VLOOKUP($R146,Capa!$A:$Z,BC$5,0),0),IF(ISERROR(1/VLOOKUP($R146,Capa!$A:$Z,BC$5,0)),0,1/VLOOKUP($R146,Capa!$A:$Z,BC$5,0))))</f>
        <v/>
      </c>
      <c r="BD148" s="124" t="str">
        <f>IF(BD$6="","",IF(BD$3="Maior",iferror(VLOOKUP($R146,Capa!$A:$Z,BD$5,0),0),IF(ISERROR(1/VLOOKUP($R146,Capa!$A:$Z,BD$5,0)),0,1/VLOOKUP($R146,Capa!$A:$Z,BD$5,0))))</f>
        <v/>
      </c>
      <c r="BE148" s="124" t="str">
        <f>IF(BE$6="","",IF(BE$3="Maior",iferror(VLOOKUP($R146,Capa!$A:$Z,BE$5,0),0),IF(ISERROR(1/VLOOKUP($R146,Capa!$A:$Z,BE$5,0)),0,1/VLOOKUP($R146,Capa!$A:$Z,BE$5,0))))</f>
        <v/>
      </c>
      <c r="BF148" s="124" t="str">
        <f>IF(BF$6="","",IF(BF$3="Maior",iferror(VLOOKUP($R146,Capa!$A:$Z,BF$5,0),0),IF(ISERROR(1/VLOOKUP($R146,Capa!$A:$Z,BF$5,0)),0,1/VLOOKUP($R146,Capa!$A:$Z,BF$5,0))))</f>
        <v/>
      </c>
      <c r="BG148" s="124" t="str">
        <f>IF(BG$6="","",IF(BG$3="Maior",iferror(VLOOKUP($R146,Capa!$A:$Z,BG$5,0),0),IF(ISERROR(1/VLOOKUP($R146,Capa!$A:$Z,BG$5,0)),0,1/VLOOKUP($R146,Capa!$A:$Z,BG$5,0))))</f>
        <v/>
      </c>
      <c r="BH148" s="124" t="str">
        <f>IF(BH$6="","",IF(BH$3="Maior",iferror(VLOOKUP($R146,Capa!$A:$Z,BH$5,0),0),IF(ISERROR(1/VLOOKUP($R146,Capa!$A:$Z,BH$5,0)),0,1/VLOOKUP($R146,Capa!$A:$Z,BH$5,0))))</f>
        <v/>
      </c>
      <c r="BI148" s="124" t="str">
        <f>IF(BI$6="","",IF(BI$3="Maior",iferror(VLOOKUP($R146,Capa!$A:$Z,BI$5,0),0),IF(ISERROR(1/VLOOKUP($R146,Capa!$A:$Z,BI$5,0)),0,1/VLOOKUP($R146,Capa!$A:$Z,BI$5,0))))</f>
        <v/>
      </c>
      <c r="BJ148" s="124" t="str">
        <f>IF(BJ$6="","",IF(BJ$3="Maior",iferror(VLOOKUP($R146,Capa!$A:$Z,BJ$5,0),0),IF(ISERROR(1/VLOOKUP($R146,Capa!$A:$Z,BJ$5,0)),0,1/VLOOKUP($R146,Capa!$A:$Z,BJ$5,0))))</f>
        <v/>
      </c>
      <c r="BK148" s="124" t="str">
        <f>IF(BK$6="","",IF(BK$3="Maior",iferror(VLOOKUP($R146,Capa!$A:$Z,BK$5,0),0),IF(ISERROR(1/VLOOKUP($R146,Capa!$A:$Z,BK$5,0)),0,1/VLOOKUP($R146,Capa!$A:$Z,BK$5,0))))</f>
        <v/>
      </c>
      <c r="BL148" s="124" t="str">
        <f>IF(BL$6="","",IF(BL$3="Maior",iferror(VLOOKUP($R146,Capa!$A:$Z,BL$5,0),0),IF(ISERROR(1/VLOOKUP($R146,Capa!$A:$Z,BL$5,0)),0,1/VLOOKUP($R146,Capa!$A:$Z,BL$5,0))))</f>
        <v/>
      </c>
      <c r="BM148" s="124" t="str">
        <f>IF(BM$6="","",IF(BM$3="Maior",iferror(VLOOKUP($R146,Capa!$A:$Z,BM$5,0),0),IF(ISERROR(1/VLOOKUP($R146,Capa!$A:$Z,BM$5,0)),0,1/VLOOKUP($R146,Capa!$A:$Z,BM$5,0))))</f>
        <v/>
      </c>
      <c r="BN148" s="124" t="str">
        <f>IF(BN$6="","",IF(BN$3="Maior",iferror(VLOOKUP($R146,Capa!$A:$Z,BN$5,0),0),IF(ISERROR(1/VLOOKUP($R146,Capa!$A:$Z,BN$5,0)),0,1/VLOOKUP($R146,Capa!$A:$Z,BN$5,0))))</f>
        <v/>
      </c>
      <c r="BO148" s="124" t="str">
        <f>IF(BO$6="","",IF(BO$3="Maior",iferror(VLOOKUP($R146,Capa!$A:$Z,BO$5,0),0),IF(ISERROR(1/VLOOKUP($R146,Capa!$A:$Z,BO$5,0)),0,1/VLOOKUP($R146,Capa!$A:$Z,BO$5,0))))</f>
        <v/>
      </c>
      <c r="BP148" s="124" t="str">
        <f>IF(BP$6="","",IF(BP$3="Maior",iferror(VLOOKUP($R146,Capa!$A:$Z,BP$5,0),0),IF(ISERROR(1/VLOOKUP($R146,Capa!$A:$Z,BP$5,0)),0,1/VLOOKUP($R146,Capa!$A:$Z,BP$5,0))))</f>
        <v/>
      </c>
      <c r="BQ148" s="124" t="str">
        <f>IF(BQ$6="","",IF(BQ$3="Maior",iferror(VLOOKUP($R146,Capa!$A:$Z,BQ$5,0),0),IF(ISERROR(1/VLOOKUP($R146,Capa!$A:$Z,BQ$5,0)),0,1/VLOOKUP($R146,Capa!$A:$Z,BQ$5,0))))</f>
        <v/>
      </c>
      <c r="BR148" s="125" t="str">
        <f>IF(BR$6="","",IF(BR$3="Maior",iferror(VLOOKUP($R146,Capa!$A:$Z,BR$5,0),0),IF(ISERROR(1/VLOOKUP($R146,Capa!$A:$Z,BR$5,0)),0,1/VLOOKUP($R146,Capa!$A:$Z,BR$5,0))))</f>
        <v/>
      </c>
      <c r="BS148" s="88"/>
    </row>
    <row r="149">
      <c r="G149" s="9"/>
      <c r="H149" s="7">
        <v>143.0</v>
      </c>
      <c r="I149" s="111" t="str">
        <f t="shared" si="7"/>
        <v>EURO11</v>
      </c>
      <c r="J149" s="112" t="str">
        <f>VLOOKUP(I149,Capa!A:G,7,0)</f>
        <v>Logisticos</v>
      </c>
      <c r="K149" s="113">
        <f t="shared" si="8"/>
        <v>0.700175914</v>
      </c>
      <c r="L149" s="113">
        <f t="shared" si="9"/>
        <v>0.08610271374</v>
      </c>
      <c r="M149" s="113" t="str">
        <f t="shared" si="10"/>
        <v/>
      </c>
      <c r="N149" s="113" t="str">
        <f t="shared" si="11"/>
        <v/>
      </c>
      <c r="O149" s="114">
        <f t="shared" si="12"/>
        <v>81042.17</v>
      </c>
      <c r="P149" s="9"/>
      <c r="Q149" s="9"/>
      <c r="R149" s="115" t="s">
        <v>181</v>
      </c>
      <c r="S149" s="116">
        <f t="shared" si="13"/>
        <v>1175.003838</v>
      </c>
      <c r="T149" s="117">
        <f>MID(VLOOKUP($R149,'Dados ClubeFII'!$A:$AU,23,0),3,100)/1</f>
        <v>85390.68</v>
      </c>
      <c r="U149" s="118">
        <f t="shared" si="14"/>
        <v>37.0037</v>
      </c>
      <c r="V149" s="118">
        <f t="shared" si="15"/>
        <v>138.000138</v>
      </c>
      <c r="W149" s="118" t="str">
        <f t="shared" ref="W149:AS149" si="158">IF(AV149="","", RANK(AV149,AV$7:AV$405,0))</f>
        <v/>
      </c>
      <c r="X149" s="118" t="str">
        <f t="shared" si="158"/>
        <v/>
      </c>
      <c r="Y149" s="118" t="str">
        <f t="shared" si="158"/>
        <v/>
      </c>
      <c r="Z149" s="118" t="str">
        <f t="shared" si="158"/>
        <v/>
      </c>
      <c r="AA149" s="118" t="str">
        <f t="shared" si="158"/>
        <v/>
      </c>
      <c r="AB149" s="118" t="str">
        <f t="shared" si="158"/>
        <v/>
      </c>
      <c r="AC149" s="118" t="str">
        <f t="shared" si="158"/>
        <v/>
      </c>
      <c r="AD149" s="118" t="str">
        <f t="shared" si="158"/>
        <v/>
      </c>
      <c r="AE149" s="118" t="str">
        <f t="shared" si="158"/>
        <v/>
      </c>
      <c r="AF149" s="118" t="str">
        <f t="shared" si="158"/>
        <v/>
      </c>
      <c r="AG149" s="118" t="str">
        <f t="shared" si="158"/>
        <v/>
      </c>
      <c r="AH149" s="118" t="str">
        <f t="shared" si="158"/>
        <v/>
      </c>
      <c r="AI149" s="118" t="str">
        <f t="shared" si="158"/>
        <v/>
      </c>
      <c r="AJ149" s="118" t="str">
        <f t="shared" si="158"/>
        <v/>
      </c>
      <c r="AK149" s="118" t="str">
        <f t="shared" si="158"/>
        <v/>
      </c>
      <c r="AL149" s="118" t="str">
        <f t="shared" si="158"/>
        <v/>
      </c>
      <c r="AM149" s="118" t="str">
        <f t="shared" si="158"/>
        <v/>
      </c>
      <c r="AN149" s="118" t="str">
        <f t="shared" si="158"/>
        <v/>
      </c>
      <c r="AO149" s="118" t="str">
        <f t="shared" si="158"/>
        <v/>
      </c>
      <c r="AP149" s="118" t="str">
        <f t="shared" si="158"/>
        <v/>
      </c>
      <c r="AQ149" s="118" t="str">
        <f t="shared" si="158"/>
        <v/>
      </c>
      <c r="AR149" s="118" t="str">
        <f t="shared" si="158"/>
        <v/>
      </c>
      <c r="AS149" s="118" t="str">
        <f t="shared" si="158"/>
        <v/>
      </c>
      <c r="AT149" s="123">
        <f>IF(AT$6="","",IF(AT$3="Maior",iferror(VLOOKUP($R149,Capa!$A:$Z,AT$5,0),0),IF(ISERROR(1/VLOOKUP($R149,Capa!$A:$Z,AT$5,0)),0,1/VLOOKUP($R149,Capa!$A:$Z,AT$5,0))))</f>
        <v>1.551205508</v>
      </c>
      <c r="AU149" s="124">
        <f>IF(AU$6="","",IF(AU$3="Maior",iferror(VLOOKUP($R149,Capa!$A:$Z,AU$5,0),0),IF(ISERROR(1/VLOOKUP($R149,Capa!$A:$Z,AU$5,0)),0,1/VLOOKUP($R149,Capa!$A:$Z,AU$5,0))))</f>
        <v>0.09005403022</v>
      </c>
      <c r="AV149" s="124" t="str">
        <f>IF(AV$6="","",IF(AV$3="Maior",iferror(VLOOKUP($R147,Capa!$A:$Z,AV$5,0),0),IF(ISERROR(1/VLOOKUP($R147,Capa!$A:$Z,AV$5,0)),0,1/VLOOKUP($R147,Capa!$A:$Z,AV$5,0))))</f>
        <v/>
      </c>
      <c r="AW149" s="124" t="str">
        <f>IF(AW$6="","",IF(AW$3="Maior",iferror(VLOOKUP($R147,Capa!$A:$Z,AW$5,0),0),IF(ISERROR(1/VLOOKUP($R147,Capa!$A:$Z,AW$5,0)),0,1/VLOOKUP($R147,Capa!$A:$Z,AW$5,0))))</f>
        <v/>
      </c>
      <c r="AX149" s="124" t="str">
        <f>IF(AX$6="","",IF(AX$3="Maior",iferror(VLOOKUP($R147,Capa!$A:$Z,AX$5,0),0),IF(ISERROR(1/VLOOKUP($R147,Capa!$A:$Z,AX$5,0)),0,1/VLOOKUP($R147,Capa!$A:$Z,AX$5,0))))</f>
        <v/>
      </c>
      <c r="AY149" s="124" t="str">
        <f>IF(AY$6="","",IF(AY$3="Maior",iferror(VLOOKUP($R147,Capa!$A:$Z,AY$5,0),0),IF(ISERROR(1/VLOOKUP($R147,Capa!$A:$Z,AY$5,0)),0,1/VLOOKUP($R147,Capa!$A:$Z,AY$5,0))))</f>
        <v/>
      </c>
      <c r="AZ149" s="124" t="str">
        <f>IF(AZ$6="","",IF(AZ$3="Maior",iferror(VLOOKUP($R147,Capa!$A:$Z,AZ$5,0),0),IF(ISERROR(1/VLOOKUP($R147,Capa!$A:$Z,AZ$5,0)),0,1/VLOOKUP($R147,Capa!$A:$Z,AZ$5,0))))</f>
        <v/>
      </c>
      <c r="BA149" s="124" t="str">
        <f>IF(BA$6="","",IF(BA$3="Maior",iferror(VLOOKUP($R147,Capa!$A:$Z,BA$5,0),0),IF(ISERROR(1/VLOOKUP($R147,Capa!$A:$Z,BA$5,0)),0,1/VLOOKUP($R147,Capa!$A:$Z,BA$5,0))))</f>
        <v/>
      </c>
      <c r="BB149" s="124" t="str">
        <f>IF(BB$6="","",IF(BB$3="Maior",iferror(VLOOKUP($R147,Capa!$A:$Z,BB$5,0),0),IF(ISERROR(1/VLOOKUP($R147,Capa!$A:$Z,BB$5,0)),0,1/VLOOKUP($R147,Capa!$A:$Z,BB$5,0))))</f>
        <v/>
      </c>
      <c r="BC149" s="124" t="str">
        <f>IF(BC$6="","",IF(BC$3="Maior",iferror(VLOOKUP($R147,Capa!$A:$Z,BC$5,0),0),IF(ISERROR(1/VLOOKUP($R147,Capa!$A:$Z,BC$5,0)),0,1/VLOOKUP($R147,Capa!$A:$Z,BC$5,0))))</f>
        <v/>
      </c>
      <c r="BD149" s="124" t="str">
        <f>IF(BD$6="","",IF(BD$3="Maior",iferror(VLOOKUP($R147,Capa!$A:$Z,BD$5,0),0),IF(ISERROR(1/VLOOKUP($R147,Capa!$A:$Z,BD$5,0)),0,1/VLOOKUP($R147,Capa!$A:$Z,BD$5,0))))</f>
        <v/>
      </c>
      <c r="BE149" s="124" t="str">
        <f>IF(BE$6="","",IF(BE$3="Maior",iferror(VLOOKUP($R147,Capa!$A:$Z,BE$5,0),0),IF(ISERROR(1/VLOOKUP($R147,Capa!$A:$Z,BE$5,0)),0,1/VLOOKUP($R147,Capa!$A:$Z,BE$5,0))))</f>
        <v/>
      </c>
      <c r="BF149" s="124" t="str">
        <f>IF(BF$6="","",IF(BF$3="Maior",iferror(VLOOKUP($R147,Capa!$A:$Z,BF$5,0),0),IF(ISERROR(1/VLOOKUP($R147,Capa!$A:$Z,BF$5,0)),0,1/VLOOKUP($R147,Capa!$A:$Z,BF$5,0))))</f>
        <v/>
      </c>
      <c r="BG149" s="124" t="str">
        <f>IF(BG$6="","",IF(BG$3="Maior",iferror(VLOOKUP($R147,Capa!$A:$Z,BG$5,0),0),IF(ISERROR(1/VLOOKUP($R147,Capa!$A:$Z,BG$5,0)),0,1/VLOOKUP($R147,Capa!$A:$Z,BG$5,0))))</f>
        <v/>
      </c>
      <c r="BH149" s="124" t="str">
        <f>IF(BH$6="","",IF(BH$3="Maior",iferror(VLOOKUP($R147,Capa!$A:$Z,BH$5,0),0),IF(ISERROR(1/VLOOKUP($R147,Capa!$A:$Z,BH$5,0)),0,1/VLOOKUP($R147,Capa!$A:$Z,BH$5,0))))</f>
        <v/>
      </c>
      <c r="BI149" s="124" t="str">
        <f>IF(BI$6="","",IF(BI$3="Maior",iferror(VLOOKUP($R147,Capa!$A:$Z,BI$5,0),0),IF(ISERROR(1/VLOOKUP($R147,Capa!$A:$Z,BI$5,0)),0,1/VLOOKUP($R147,Capa!$A:$Z,BI$5,0))))</f>
        <v/>
      </c>
      <c r="BJ149" s="124" t="str">
        <f>IF(BJ$6="","",IF(BJ$3="Maior",iferror(VLOOKUP($R147,Capa!$A:$Z,BJ$5,0),0),IF(ISERROR(1/VLOOKUP($R147,Capa!$A:$Z,BJ$5,0)),0,1/VLOOKUP($R147,Capa!$A:$Z,BJ$5,0))))</f>
        <v/>
      </c>
      <c r="BK149" s="124" t="str">
        <f>IF(BK$6="","",IF(BK$3="Maior",iferror(VLOOKUP($R147,Capa!$A:$Z,BK$5,0),0),IF(ISERROR(1/VLOOKUP($R147,Capa!$A:$Z,BK$5,0)),0,1/VLOOKUP($R147,Capa!$A:$Z,BK$5,0))))</f>
        <v/>
      </c>
      <c r="BL149" s="124" t="str">
        <f>IF(BL$6="","",IF(BL$3="Maior",iferror(VLOOKUP($R147,Capa!$A:$Z,BL$5,0),0),IF(ISERROR(1/VLOOKUP($R147,Capa!$A:$Z,BL$5,0)),0,1/VLOOKUP($R147,Capa!$A:$Z,BL$5,0))))</f>
        <v/>
      </c>
      <c r="BM149" s="124" t="str">
        <f>IF(BM$6="","",IF(BM$3="Maior",iferror(VLOOKUP($R147,Capa!$A:$Z,BM$5,0),0),IF(ISERROR(1/VLOOKUP($R147,Capa!$A:$Z,BM$5,0)),0,1/VLOOKUP($R147,Capa!$A:$Z,BM$5,0))))</f>
        <v/>
      </c>
      <c r="BN149" s="124" t="str">
        <f>IF(BN$6="","",IF(BN$3="Maior",iferror(VLOOKUP($R147,Capa!$A:$Z,BN$5,0),0),IF(ISERROR(1/VLOOKUP($R147,Capa!$A:$Z,BN$5,0)),0,1/VLOOKUP($R147,Capa!$A:$Z,BN$5,0))))</f>
        <v/>
      </c>
      <c r="BO149" s="124" t="str">
        <f>IF(BO$6="","",IF(BO$3="Maior",iferror(VLOOKUP($R147,Capa!$A:$Z,BO$5,0),0),IF(ISERROR(1/VLOOKUP($R147,Capa!$A:$Z,BO$5,0)),0,1/VLOOKUP($R147,Capa!$A:$Z,BO$5,0))))</f>
        <v/>
      </c>
      <c r="BP149" s="124" t="str">
        <f>IF(BP$6="","",IF(BP$3="Maior",iferror(VLOOKUP($R147,Capa!$A:$Z,BP$5,0),0),IF(ISERROR(1/VLOOKUP($R147,Capa!$A:$Z,BP$5,0)),0,1/VLOOKUP($R147,Capa!$A:$Z,BP$5,0))))</f>
        <v/>
      </c>
      <c r="BQ149" s="124" t="str">
        <f>IF(BQ$6="","",IF(BQ$3="Maior",iferror(VLOOKUP($R147,Capa!$A:$Z,BQ$5,0),0),IF(ISERROR(1/VLOOKUP($R147,Capa!$A:$Z,BQ$5,0)),0,1/VLOOKUP($R147,Capa!$A:$Z,BQ$5,0))))</f>
        <v/>
      </c>
      <c r="BR149" s="125" t="str">
        <f>IF(BR$6="","",IF(BR$3="Maior",iferror(VLOOKUP($R147,Capa!$A:$Z,BR$5,0),0),IF(ISERROR(1/VLOOKUP($R147,Capa!$A:$Z,BR$5,0)),0,1/VLOOKUP($R147,Capa!$A:$Z,BR$5,0))))</f>
        <v/>
      </c>
      <c r="BS149" s="88"/>
    </row>
    <row r="150">
      <c r="G150" s="9"/>
      <c r="H150" s="7">
        <v>144.0</v>
      </c>
      <c r="I150" s="111" t="str">
        <f t="shared" si="7"/>
        <v>SNCI11</v>
      </c>
      <c r="J150" s="112" t="str">
        <f>VLOOKUP(I150,Capa!A:G,7,0)</f>
        <v>Recebíveis Imobiliários</v>
      </c>
      <c r="K150" s="113">
        <f t="shared" si="8"/>
        <v>0.9939263158</v>
      </c>
      <c r="L150" s="113">
        <f t="shared" si="9"/>
        <v>0.1516244737</v>
      </c>
      <c r="M150" s="113" t="str">
        <f t="shared" si="10"/>
        <v/>
      </c>
      <c r="N150" s="113" t="str">
        <f t="shared" si="11"/>
        <v/>
      </c>
      <c r="O150" s="114">
        <f t="shared" si="12"/>
        <v>877768.33</v>
      </c>
      <c r="P150" s="9"/>
      <c r="Q150" s="9"/>
      <c r="R150" s="115" t="s">
        <v>144</v>
      </c>
      <c r="S150" s="116">
        <f t="shared" si="13"/>
        <v>1169.005614</v>
      </c>
      <c r="T150" s="117">
        <f>MID(VLOOKUP($R150,'Dados ClubeFII'!$A:$AU,23,0),3,100)/1</f>
        <v>666843.58</v>
      </c>
      <c r="U150" s="118">
        <f t="shared" si="14"/>
        <v>55.0055</v>
      </c>
      <c r="V150" s="118">
        <f t="shared" si="15"/>
        <v>114.000114</v>
      </c>
      <c r="W150" s="118" t="str">
        <f t="shared" ref="W150:AS150" si="159">IF(AV150="","", RANK(AV150,AV$7:AV$405,0))</f>
        <v/>
      </c>
      <c r="X150" s="118" t="str">
        <f t="shared" si="159"/>
        <v/>
      </c>
      <c r="Y150" s="118" t="str">
        <f t="shared" si="159"/>
        <v/>
      </c>
      <c r="Z150" s="118" t="str">
        <f t="shared" si="159"/>
        <v/>
      </c>
      <c r="AA150" s="118" t="str">
        <f t="shared" si="159"/>
        <v/>
      </c>
      <c r="AB150" s="118" t="str">
        <f t="shared" si="159"/>
        <v/>
      </c>
      <c r="AC150" s="118" t="str">
        <f t="shared" si="159"/>
        <v/>
      </c>
      <c r="AD150" s="118" t="str">
        <f t="shared" si="159"/>
        <v/>
      </c>
      <c r="AE150" s="118" t="str">
        <f t="shared" si="159"/>
        <v/>
      </c>
      <c r="AF150" s="118" t="str">
        <f t="shared" si="159"/>
        <v/>
      </c>
      <c r="AG150" s="118" t="str">
        <f t="shared" si="159"/>
        <v/>
      </c>
      <c r="AH150" s="118" t="str">
        <f t="shared" si="159"/>
        <v/>
      </c>
      <c r="AI150" s="118" t="str">
        <f t="shared" si="159"/>
        <v/>
      </c>
      <c r="AJ150" s="118" t="str">
        <f t="shared" si="159"/>
        <v/>
      </c>
      <c r="AK150" s="118" t="str">
        <f t="shared" si="159"/>
        <v/>
      </c>
      <c r="AL150" s="118" t="str">
        <f t="shared" si="159"/>
        <v/>
      </c>
      <c r="AM150" s="118" t="str">
        <f t="shared" si="159"/>
        <v/>
      </c>
      <c r="AN150" s="118" t="str">
        <f t="shared" si="159"/>
        <v/>
      </c>
      <c r="AO150" s="118" t="str">
        <f t="shared" si="159"/>
        <v/>
      </c>
      <c r="AP150" s="118" t="str">
        <f t="shared" si="159"/>
        <v/>
      </c>
      <c r="AQ150" s="118" t="str">
        <f t="shared" si="159"/>
        <v/>
      </c>
      <c r="AR150" s="118" t="str">
        <f t="shared" si="159"/>
        <v/>
      </c>
      <c r="AS150" s="118" t="str">
        <f t="shared" si="159"/>
        <v/>
      </c>
      <c r="AT150" s="123">
        <f>IF(AT$6="","",IF(AT$3="Maior",iferror(VLOOKUP($R150,Capa!$A:$Z,AT$5,0),0),IF(ISERROR(1/VLOOKUP($R150,Capa!$A:$Z,AT$5,0)),0,1/VLOOKUP($R150,Capa!$A:$Z,AT$5,0))))</f>
        <v>1.382141182</v>
      </c>
      <c r="AU150" s="124">
        <f>IF(AU$6="","",IF(AU$3="Maior",iferror(VLOOKUP($R150,Capa!$A:$Z,AU$5,0),0),IF(ISERROR(1/VLOOKUP($R150,Capa!$A:$Z,AU$5,0)),0,1/VLOOKUP($R150,Capa!$A:$Z,AU$5,0))))</f>
        <v>0.1021720632</v>
      </c>
      <c r="AV150" s="124" t="str">
        <f>IF(AV$6="","",IF(AV$3="Maior",iferror(VLOOKUP($R148,Capa!$A:$Z,AV$5,0),0),IF(ISERROR(1/VLOOKUP($R148,Capa!$A:$Z,AV$5,0)),0,1/VLOOKUP($R148,Capa!$A:$Z,AV$5,0))))</f>
        <v/>
      </c>
      <c r="AW150" s="124" t="str">
        <f>IF(AW$6="","",IF(AW$3="Maior",iferror(VLOOKUP($R148,Capa!$A:$Z,AW$5,0),0),IF(ISERROR(1/VLOOKUP($R148,Capa!$A:$Z,AW$5,0)),0,1/VLOOKUP($R148,Capa!$A:$Z,AW$5,0))))</f>
        <v/>
      </c>
      <c r="AX150" s="124" t="str">
        <f>IF(AX$6="","",IF(AX$3="Maior",iferror(VLOOKUP($R148,Capa!$A:$Z,AX$5,0),0),IF(ISERROR(1/VLOOKUP($R148,Capa!$A:$Z,AX$5,0)),0,1/VLOOKUP($R148,Capa!$A:$Z,AX$5,0))))</f>
        <v/>
      </c>
      <c r="AY150" s="124" t="str">
        <f>IF(AY$6="","",IF(AY$3="Maior",iferror(VLOOKUP($R148,Capa!$A:$Z,AY$5,0),0),IF(ISERROR(1/VLOOKUP($R148,Capa!$A:$Z,AY$5,0)),0,1/VLOOKUP($R148,Capa!$A:$Z,AY$5,0))))</f>
        <v/>
      </c>
      <c r="AZ150" s="124" t="str">
        <f>IF(AZ$6="","",IF(AZ$3="Maior",iferror(VLOOKUP($R148,Capa!$A:$Z,AZ$5,0),0),IF(ISERROR(1/VLOOKUP($R148,Capa!$A:$Z,AZ$5,0)),0,1/VLOOKUP($R148,Capa!$A:$Z,AZ$5,0))))</f>
        <v/>
      </c>
      <c r="BA150" s="124" t="str">
        <f>IF(BA$6="","",IF(BA$3="Maior",iferror(VLOOKUP($R148,Capa!$A:$Z,BA$5,0),0),IF(ISERROR(1/VLOOKUP($R148,Capa!$A:$Z,BA$5,0)),0,1/VLOOKUP($R148,Capa!$A:$Z,BA$5,0))))</f>
        <v/>
      </c>
      <c r="BB150" s="124" t="str">
        <f>IF(BB$6="","",IF(BB$3="Maior",iferror(VLOOKUP($R148,Capa!$A:$Z,BB$5,0),0),IF(ISERROR(1/VLOOKUP($R148,Capa!$A:$Z,BB$5,0)),0,1/VLOOKUP($R148,Capa!$A:$Z,BB$5,0))))</f>
        <v/>
      </c>
      <c r="BC150" s="124" t="str">
        <f>IF(BC$6="","",IF(BC$3="Maior",iferror(VLOOKUP($R148,Capa!$A:$Z,BC$5,0),0),IF(ISERROR(1/VLOOKUP($R148,Capa!$A:$Z,BC$5,0)),0,1/VLOOKUP($R148,Capa!$A:$Z,BC$5,0))))</f>
        <v/>
      </c>
      <c r="BD150" s="124" t="str">
        <f>IF(BD$6="","",IF(BD$3="Maior",iferror(VLOOKUP($R148,Capa!$A:$Z,BD$5,0),0),IF(ISERROR(1/VLOOKUP($R148,Capa!$A:$Z,BD$5,0)),0,1/VLOOKUP($R148,Capa!$A:$Z,BD$5,0))))</f>
        <v/>
      </c>
      <c r="BE150" s="124" t="str">
        <f>IF(BE$6="","",IF(BE$3="Maior",iferror(VLOOKUP($R148,Capa!$A:$Z,BE$5,0),0),IF(ISERROR(1/VLOOKUP($R148,Capa!$A:$Z,BE$5,0)),0,1/VLOOKUP($R148,Capa!$A:$Z,BE$5,0))))</f>
        <v/>
      </c>
      <c r="BF150" s="124" t="str">
        <f>IF(BF$6="","",IF(BF$3="Maior",iferror(VLOOKUP($R148,Capa!$A:$Z,BF$5,0),0),IF(ISERROR(1/VLOOKUP($R148,Capa!$A:$Z,BF$5,0)),0,1/VLOOKUP($R148,Capa!$A:$Z,BF$5,0))))</f>
        <v/>
      </c>
      <c r="BG150" s="124" t="str">
        <f>IF(BG$6="","",IF(BG$3="Maior",iferror(VLOOKUP($R148,Capa!$A:$Z,BG$5,0),0),IF(ISERROR(1/VLOOKUP($R148,Capa!$A:$Z,BG$5,0)),0,1/VLOOKUP($R148,Capa!$A:$Z,BG$5,0))))</f>
        <v/>
      </c>
      <c r="BH150" s="124" t="str">
        <f>IF(BH$6="","",IF(BH$3="Maior",iferror(VLOOKUP($R148,Capa!$A:$Z,BH$5,0),0),IF(ISERROR(1/VLOOKUP($R148,Capa!$A:$Z,BH$5,0)),0,1/VLOOKUP($R148,Capa!$A:$Z,BH$5,0))))</f>
        <v/>
      </c>
      <c r="BI150" s="124" t="str">
        <f>IF(BI$6="","",IF(BI$3="Maior",iferror(VLOOKUP($R148,Capa!$A:$Z,BI$5,0),0),IF(ISERROR(1/VLOOKUP($R148,Capa!$A:$Z,BI$5,0)),0,1/VLOOKUP($R148,Capa!$A:$Z,BI$5,0))))</f>
        <v/>
      </c>
      <c r="BJ150" s="124" t="str">
        <f>IF(BJ$6="","",IF(BJ$3="Maior",iferror(VLOOKUP($R148,Capa!$A:$Z,BJ$5,0),0),IF(ISERROR(1/VLOOKUP($R148,Capa!$A:$Z,BJ$5,0)),0,1/VLOOKUP($R148,Capa!$A:$Z,BJ$5,0))))</f>
        <v/>
      </c>
      <c r="BK150" s="124" t="str">
        <f>IF(BK$6="","",IF(BK$3="Maior",iferror(VLOOKUP($R148,Capa!$A:$Z,BK$5,0),0),IF(ISERROR(1/VLOOKUP($R148,Capa!$A:$Z,BK$5,0)),0,1/VLOOKUP($R148,Capa!$A:$Z,BK$5,0))))</f>
        <v/>
      </c>
      <c r="BL150" s="124" t="str">
        <f>IF(BL$6="","",IF(BL$3="Maior",iferror(VLOOKUP($R148,Capa!$A:$Z,BL$5,0),0),IF(ISERROR(1/VLOOKUP($R148,Capa!$A:$Z,BL$5,0)),0,1/VLOOKUP($R148,Capa!$A:$Z,BL$5,0))))</f>
        <v/>
      </c>
      <c r="BM150" s="124" t="str">
        <f>IF(BM$6="","",IF(BM$3="Maior",iferror(VLOOKUP($R148,Capa!$A:$Z,BM$5,0),0),IF(ISERROR(1/VLOOKUP($R148,Capa!$A:$Z,BM$5,0)),0,1/VLOOKUP($R148,Capa!$A:$Z,BM$5,0))))</f>
        <v/>
      </c>
      <c r="BN150" s="124" t="str">
        <f>IF(BN$6="","",IF(BN$3="Maior",iferror(VLOOKUP($R148,Capa!$A:$Z,BN$5,0),0),IF(ISERROR(1/VLOOKUP($R148,Capa!$A:$Z,BN$5,0)),0,1/VLOOKUP($R148,Capa!$A:$Z,BN$5,0))))</f>
        <v/>
      </c>
      <c r="BO150" s="124" t="str">
        <f>IF(BO$6="","",IF(BO$3="Maior",iferror(VLOOKUP($R148,Capa!$A:$Z,BO$5,0),0),IF(ISERROR(1/VLOOKUP($R148,Capa!$A:$Z,BO$5,0)),0,1/VLOOKUP($R148,Capa!$A:$Z,BO$5,0))))</f>
        <v/>
      </c>
      <c r="BP150" s="124" t="str">
        <f>IF(BP$6="","",IF(BP$3="Maior",iferror(VLOOKUP($R148,Capa!$A:$Z,BP$5,0),0),IF(ISERROR(1/VLOOKUP($R148,Capa!$A:$Z,BP$5,0)),0,1/VLOOKUP($R148,Capa!$A:$Z,BP$5,0))))</f>
        <v/>
      </c>
      <c r="BQ150" s="124" t="str">
        <f>IF(BQ$6="","",IF(BQ$3="Maior",iferror(VLOOKUP($R148,Capa!$A:$Z,BQ$5,0),0),IF(ISERROR(1/VLOOKUP($R148,Capa!$A:$Z,BQ$5,0)),0,1/VLOOKUP($R148,Capa!$A:$Z,BQ$5,0))))</f>
        <v/>
      </c>
      <c r="BR150" s="125" t="str">
        <f>IF(BR$6="","",IF(BR$3="Maior",iferror(VLOOKUP($R148,Capa!$A:$Z,BR$5,0),0),IF(ISERROR(1/VLOOKUP($R148,Capa!$A:$Z,BR$5,0)),0,1/VLOOKUP($R148,Capa!$A:$Z,BR$5,0))))</f>
        <v/>
      </c>
      <c r="BS150" s="88"/>
    </row>
    <row r="151">
      <c r="G151" s="9"/>
      <c r="H151" s="7">
        <v>145.0</v>
      </c>
      <c r="I151" s="111" t="str">
        <f t="shared" si="7"/>
        <v>OULG11</v>
      </c>
      <c r="J151" s="112" t="str">
        <f>VLOOKUP(I151,Capa!A:G,7,0)</f>
        <v>Logisticos</v>
      </c>
      <c r="K151" s="113">
        <f t="shared" si="8"/>
        <v>0.5463340122</v>
      </c>
      <c r="L151" s="113">
        <f t="shared" si="9"/>
        <v>0.0370188391</v>
      </c>
      <c r="M151" s="113" t="str">
        <f t="shared" si="10"/>
        <v/>
      </c>
      <c r="N151" s="113" t="str">
        <f t="shared" si="11"/>
        <v/>
      </c>
      <c r="O151" s="114">
        <f t="shared" si="12"/>
        <v>70828.65</v>
      </c>
      <c r="P151" s="9"/>
      <c r="Q151" s="9"/>
      <c r="R151" s="115" t="s">
        <v>182</v>
      </c>
      <c r="S151" s="116">
        <f t="shared" si="13"/>
        <v>1189.013851</v>
      </c>
      <c r="T151" s="117">
        <f>MID(VLOOKUP($R151,'Dados ClubeFII'!$A:$AU,23,0),3,100)/1</f>
        <v>832448.31</v>
      </c>
      <c r="U151" s="118">
        <f t="shared" si="14"/>
        <v>138.0138</v>
      </c>
      <c r="V151" s="118">
        <f t="shared" si="15"/>
        <v>51.000051</v>
      </c>
      <c r="W151" s="118" t="str">
        <f t="shared" ref="W151:AS151" si="160">IF(AV151="","", RANK(AV151,AV$7:AV$405,0))</f>
        <v/>
      </c>
      <c r="X151" s="118" t="str">
        <f t="shared" si="160"/>
        <v/>
      </c>
      <c r="Y151" s="118" t="str">
        <f t="shared" si="160"/>
        <v/>
      </c>
      <c r="Z151" s="118" t="str">
        <f t="shared" si="160"/>
        <v/>
      </c>
      <c r="AA151" s="118" t="str">
        <f t="shared" si="160"/>
        <v/>
      </c>
      <c r="AB151" s="118" t="str">
        <f t="shared" si="160"/>
        <v/>
      </c>
      <c r="AC151" s="118" t="str">
        <f t="shared" si="160"/>
        <v/>
      </c>
      <c r="AD151" s="118" t="str">
        <f t="shared" si="160"/>
        <v/>
      </c>
      <c r="AE151" s="118" t="str">
        <f t="shared" si="160"/>
        <v/>
      </c>
      <c r="AF151" s="118" t="str">
        <f t="shared" si="160"/>
        <v/>
      </c>
      <c r="AG151" s="118" t="str">
        <f t="shared" si="160"/>
        <v/>
      </c>
      <c r="AH151" s="118" t="str">
        <f t="shared" si="160"/>
        <v/>
      </c>
      <c r="AI151" s="118" t="str">
        <f t="shared" si="160"/>
        <v/>
      </c>
      <c r="AJ151" s="118" t="str">
        <f t="shared" si="160"/>
        <v/>
      </c>
      <c r="AK151" s="118" t="str">
        <f t="shared" si="160"/>
        <v/>
      </c>
      <c r="AL151" s="118" t="str">
        <f t="shared" si="160"/>
        <v/>
      </c>
      <c r="AM151" s="118" t="str">
        <f t="shared" si="160"/>
        <v/>
      </c>
      <c r="AN151" s="118" t="str">
        <f t="shared" si="160"/>
        <v/>
      </c>
      <c r="AO151" s="118" t="str">
        <f t="shared" si="160"/>
        <v/>
      </c>
      <c r="AP151" s="118" t="str">
        <f t="shared" si="160"/>
        <v/>
      </c>
      <c r="AQ151" s="118" t="str">
        <f t="shared" si="160"/>
        <v/>
      </c>
      <c r="AR151" s="118" t="str">
        <f t="shared" si="160"/>
        <v/>
      </c>
      <c r="AS151" s="118" t="str">
        <f t="shared" si="160"/>
        <v/>
      </c>
      <c r="AT151" s="123">
        <f>IF(AT$6="","",IF(AT$3="Maior",iferror(VLOOKUP($R151,Capa!$A:$Z,AT$5,0),0),IF(ISERROR(1/VLOOKUP($R151,Capa!$A:$Z,AT$5,0)),0,1/VLOOKUP($R151,Capa!$A:$Z,AT$5,0))))</f>
        <v>1.103828907</v>
      </c>
      <c r="AU151" s="124">
        <f>IF(AU$6="","",IF(AU$3="Maior",iferror(VLOOKUP($R151,Capa!$A:$Z,AU$5,0),0),IF(ISERROR(1/VLOOKUP($R151,Capa!$A:$Z,AU$5,0)),0,1/VLOOKUP($R151,Capa!$A:$Z,AU$5,0))))</f>
        <v>0.1355919643</v>
      </c>
      <c r="AV151" s="124" t="str">
        <f>IF(AV$6="","",IF(AV$3="Maior",iferror(VLOOKUP($R149,Capa!$A:$Z,AV$5,0),0),IF(ISERROR(1/VLOOKUP($R149,Capa!$A:$Z,AV$5,0)),0,1/VLOOKUP($R149,Capa!$A:$Z,AV$5,0))))</f>
        <v/>
      </c>
      <c r="AW151" s="124" t="str">
        <f>IF(AW$6="","",IF(AW$3="Maior",iferror(VLOOKUP($R149,Capa!$A:$Z,AW$5,0),0),IF(ISERROR(1/VLOOKUP($R149,Capa!$A:$Z,AW$5,0)),0,1/VLOOKUP($R149,Capa!$A:$Z,AW$5,0))))</f>
        <v/>
      </c>
      <c r="AX151" s="124" t="str">
        <f>IF(AX$6="","",IF(AX$3="Maior",iferror(VLOOKUP($R149,Capa!$A:$Z,AX$5,0),0),IF(ISERROR(1/VLOOKUP($R149,Capa!$A:$Z,AX$5,0)),0,1/VLOOKUP($R149,Capa!$A:$Z,AX$5,0))))</f>
        <v/>
      </c>
      <c r="AY151" s="124" t="str">
        <f>IF(AY$6="","",IF(AY$3="Maior",iferror(VLOOKUP($R149,Capa!$A:$Z,AY$5,0),0),IF(ISERROR(1/VLOOKUP($R149,Capa!$A:$Z,AY$5,0)),0,1/VLOOKUP($R149,Capa!$A:$Z,AY$5,0))))</f>
        <v/>
      </c>
      <c r="AZ151" s="124" t="str">
        <f>IF(AZ$6="","",IF(AZ$3="Maior",iferror(VLOOKUP($R149,Capa!$A:$Z,AZ$5,0),0),IF(ISERROR(1/VLOOKUP($R149,Capa!$A:$Z,AZ$5,0)),0,1/VLOOKUP($R149,Capa!$A:$Z,AZ$5,0))))</f>
        <v/>
      </c>
      <c r="BA151" s="124" t="str">
        <f>IF(BA$6="","",IF(BA$3="Maior",iferror(VLOOKUP($R149,Capa!$A:$Z,BA$5,0),0),IF(ISERROR(1/VLOOKUP($R149,Capa!$A:$Z,BA$5,0)),0,1/VLOOKUP($R149,Capa!$A:$Z,BA$5,0))))</f>
        <v/>
      </c>
      <c r="BB151" s="124" t="str">
        <f>IF(BB$6="","",IF(BB$3="Maior",iferror(VLOOKUP($R149,Capa!$A:$Z,BB$5,0),0),IF(ISERROR(1/VLOOKUP($R149,Capa!$A:$Z,BB$5,0)),0,1/VLOOKUP($R149,Capa!$A:$Z,BB$5,0))))</f>
        <v/>
      </c>
      <c r="BC151" s="124" t="str">
        <f>IF(BC$6="","",IF(BC$3="Maior",iferror(VLOOKUP($R149,Capa!$A:$Z,BC$5,0),0),IF(ISERROR(1/VLOOKUP($R149,Capa!$A:$Z,BC$5,0)),0,1/VLOOKUP($R149,Capa!$A:$Z,BC$5,0))))</f>
        <v/>
      </c>
      <c r="BD151" s="124" t="str">
        <f>IF(BD$6="","",IF(BD$3="Maior",iferror(VLOOKUP($R149,Capa!$A:$Z,BD$5,0),0),IF(ISERROR(1/VLOOKUP($R149,Capa!$A:$Z,BD$5,0)),0,1/VLOOKUP($R149,Capa!$A:$Z,BD$5,0))))</f>
        <v/>
      </c>
      <c r="BE151" s="124" t="str">
        <f>IF(BE$6="","",IF(BE$3="Maior",iferror(VLOOKUP($R149,Capa!$A:$Z,BE$5,0),0),IF(ISERROR(1/VLOOKUP($R149,Capa!$A:$Z,BE$5,0)),0,1/VLOOKUP($R149,Capa!$A:$Z,BE$5,0))))</f>
        <v/>
      </c>
      <c r="BF151" s="124" t="str">
        <f>IF(BF$6="","",IF(BF$3="Maior",iferror(VLOOKUP($R149,Capa!$A:$Z,BF$5,0),0),IF(ISERROR(1/VLOOKUP($R149,Capa!$A:$Z,BF$5,0)),0,1/VLOOKUP($R149,Capa!$A:$Z,BF$5,0))))</f>
        <v/>
      </c>
      <c r="BG151" s="124" t="str">
        <f>IF(BG$6="","",IF(BG$3="Maior",iferror(VLOOKUP($R149,Capa!$A:$Z,BG$5,0),0),IF(ISERROR(1/VLOOKUP($R149,Capa!$A:$Z,BG$5,0)),0,1/VLOOKUP($R149,Capa!$A:$Z,BG$5,0))))</f>
        <v/>
      </c>
      <c r="BH151" s="124" t="str">
        <f>IF(BH$6="","",IF(BH$3="Maior",iferror(VLOOKUP($R149,Capa!$A:$Z,BH$5,0),0),IF(ISERROR(1/VLOOKUP($R149,Capa!$A:$Z,BH$5,0)),0,1/VLOOKUP($R149,Capa!$A:$Z,BH$5,0))))</f>
        <v/>
      </c>
      <c r="BI151" s="124" t="str">
        <f>IF(BI$6="","",IF(BI$3="Maior",iferror(VLOOKUP($R149,Capa!$A:$Z,BI$5,0),0),IF(ISERROR(1/VLOOKUP($R149,Capa!$A:$Z,BI$5,0)),0,1/VLOOKUP($R149,Capa!$A:$Z,BI$5,0))))</f>
        <v/>
      </c>
      <c r="BJ151" s="124" t="str">
        <f>IF(BJ$6="","",IF(BJ$3="Maior",iferror(VLOOKUP($R149,Capa!$A:$Z,BJ$5,0),0),IF(ISERROR(1/VLOOKUP($R149,Capa!$A:$Z,BJ$5,0)),0,1/VLOOKUP($R149,Capa!$A:$Z,BJ$5,0))))</f>
        <v/>
      </c>
      <c r="BK151" s="124" t="str">
        <f>IF(BK$6="","",IF(BK$3="Maior",iferror(VLOOKUP($R149,Capa!$A:$Z,BK$5,0),0),IF(ISERROR(1/VLOOKUP($R149,Capa!$A:$Z,BK$5,0)),0,1/VLOOKUP($R149,Capa!$A:$Z,BK$5,0))))</f>
        <v/>
      </c>
      <c r="BL151" s="124" t="str">
        <f>IF(BL$6="","",IF(BL$3="Maior",iferror(VLOOKUP($R149,Capa!$A:$Z,BL$5,0),0),IF(ISERROR(1/VLOOKUP($R149,Capa!$A:$Z,BL$5,0)),0,1/VLOOKUP($R149,Capa!$A:$Z,BL$5,0))))</f>
        <v/>
      </c>
      <c r="BM151" s="124" t="str">
        <f>IF(BM$6="","",IF(BM$3="Maior",iferror(VLOOKUP($R149,Capa!$A:$Z,BM$5,0),0),IF(ISERROR(1/VLOOKUP($R149,Capa!$A:$Z,BM$5,0)),0,1/VLOOKUP($R149,Capa!$A:$Z,BM$5,0))))</f>
        <v/>
      </c>
      <c r="BN151" s="124" t="str">
        <f>IF(BN$6="","",IF(BN$3="Maior",iferror(VLOOKUP($R149,Capa!$A:$Z,BN$5,0),0),IF(ISERROR(1/VLOOKUP($R149,Capa!$A:$Z,BN$5,0)),0,1/VLOOKUP($R149,Capa!$A:$Z,BN$5,0))))</f>
        <v/>
      </c>
      <c r="BO151" s="124" t="str">
        <f>IF(BO$6="","",IF(BO$3="Maior",iferror(VLOOKUP($R149,Capa!$A:$Z,BO$5,0),0),IF(ISERROR(1/VLOOKUP($R149,Capa!$A:$Z,BO$5,0)),0,1/VLOOKUP($R149,Capa!$A:$Z,BO$5,0))))</f>
        <v/>
      </c>
      <c r="BP151" s="124" t="str">
        <f>IF(BP$6="","",IF(BP$3="Maior",iferror(VLOOKUP($R149,Capa!$A:$Z,BP$5,0),0),IF(ISERROR(1/VLOOKUP($R149,Capa!$A:$Z,BP$5,0)),0,1/VLOOKUP($R149,Capa!$A:$Z,BP$5,0))))</f>
        <v/>
      </c>
      <c r="BQ151" s="124" t="str">
        <f>IF(BQ$6="","",IF(BQ$3="Maior",iferror(VLOOKUP($R149,Capa!$A:$Z,BQ$5,0),0),IF(ISERROR(1/VLOOKUP($R149,Capa!$A:$Z,BQ$5,0)),0,1/VLOOKUP($R149,Capa!$A:$Z,BQ$5,0))))</f>
        <v/>
      </c>
      <c r="BR151" s="125" t="str">
        <f>IF(BR$6="","",IF(BR$3="Maior",iferror(VLOOKUP($R149,Capa!$A:$Z,BR$5,0),0),IF(ISERROR(1/VLOOKUP($R149,Capa!$A:$Z,BR$5,0)),0,1/VLOOKUP($R149,Capa!$A:$Z,BR$5,0))))</f>
        <v/>
      </c>
      <c r="BS151" s="88"/>
    </row>
    <row r="152">
      <c r="G152" s="9"/>
      <c r="H152" s="7">
        <v>146.0</v>
      </c>
      <c r="I152" s="129" t="str">
        <f t="shared" si="7"/>
        <v>WTSP11B</v>
      </c>
      <c r="J152" s="112" t="str">
        <f>VLOOKUP(I152,Capa!A:G,7,0)</f>
        <v>Lajes Comerciais</v>
      </c>
      <c r="K152" s="113">
        <f t="shared" si="8"/>
        <v>0.5798103792</v>
      </c>
      <c r="L152" s="113">
        <f t="shared" si="9"/>
        <v>0.06264780439</v>
      </c>
      <c r="M152" s="113" t="str">
        <f t="shared" si="10"/>
        <v/>
      </c>
      <c r="N152" s="113" t="str">
        <f t="shared" si="11"/>
        <v/>
      </c>
      <c r="O152" s="114">
        <f t="shared" si="12"/>
        <v>84342.16</v>
      </c>
      <c r="P152" s="9"/>
      <c r="Q152" s="9"/>
      <c r="R152" s="115" t="s">
        <v>130</v>
      </c>
      <c r="S152" s="116">
        <f t="shared" si="13"/>
        <v>84.003549</v>
      </c>
      <c r="T152" s="117">
        <f>MID(VLOOKUP($R152,'Dados ClubeFII'!$A:$AU,23,0),3,100)/1</f>
        <v>1385200.12</v>
      </c>
      <c r="U152" s="118">
        <f t="shared" si="14"/>
        <v>35.0035</v>
      </c>
      <c r="V152" s="118">
        <f t="shared" si="15"/>
        <v>49.000049</v>
      </c>
      <c r="W152" s="118" t="str">
        <f t="shared" ref="W152:AS152" si="161">IF(AV152="","", RANK(AV152,AV$7:AV$405,0))</f>
        <v/>
      </c>
      <c r="X152" s="118" t="str">
        <f t="shared" si="161"/>
        <v/>
      </c>
      <c r="Y152" s="118" t="str">
        <f t="shared" si="161"/>
        <v/>
      </c>
      <c r="Z152" s="118" t="str">
        <f t="shared" si="161"/>
        <v/>
      </c>
      <c r="AA152" s="118" t="str">
        <f t="shared" si="161"/>
        <v/>
      </c>
      <c r="AB152" s="118" t="str">
        <f t="shared" si="161"/>
        <v/>
      </c>
      <c r="AC152" s="118" t="str">
        <f t="shared" si="161"/>
        <v/>
      </c>
      <c r="AD152" s="118" t="str">
        <f t="shared" si="161"/>
        <v/>
      </c>
      <c r="AE152" s="118" t="str">
        <f t="shared" si="161"/>
        <v/>
      </c>
      <c r="AF152" s="118" t="str">
        <f t="shared" si="161"/>
        <v/>
      </c>
      <c r="AG152" s="118" t="str">
        <f t="shared" si="161"/>
        <v/>
      </c>
      <c r="AH152" s="118" t="str">
        <f t="shared" si="161"/>
        <v/>
      </c>
      <c r="AI152" s="118" t="str">
        <f t="shared" si="161"/>
        <v/>
      </c>
      <c r="AJ152" s="118" t="str">
        <f t="shared" si="161"/>
        <v/>
      </c>
      <c r="AK152" s="118" t="str">
        <f t="shared" si="161"/>
        <v/>
      </c>
      <c r="AL152" s="118" t="str">
        <f t="shared" si="161"/>
        <v/>
      </c>
      <c r="AM152" s="118" t="str">
        <f t="shared" si="161"/>
        <v/>
      </c>
      <c r="AN152" s="118" t="str">
        <f t="shared" si="161"/>
        <v/>
      </c>
      <c r="AO152" s="118" t="str">
        <f t="shared" si="161"/>
        <v/>
      </c>
      <c r="AP152" s="118" t="str">
        <f t="shared" si="161"/>
        <v/>
      </c>
      <c r="AQ152" s="118" t="str">
        <f t="shared" si="161"/>
        <v/>
      </c>
      <c r="AR152" s="118" t="str">
        <f t="shared" si="161"/>
        <v/>
      </c>
      <c r="AS152" s="118" t="str">
        <f t="shared" si="161"/>
        <v/>
      </c>
      <c r="AT152" s="123">
        <f>IF(AT$6="","",IF(AT$3="Maior",iferror(VLOOKUP($R152,Capa!$A:$Z,AT$5,0),0),IF(ISERROR(1/VLOOKUP($R152,Capa!$A:$Z,AT$5,0)),0,1/VLOOKUP($R152,Capa!$A:$Z,AT$5,0))))</f>
        <v>1.574408652</v>
      </c>
      <c r="AU152" s="124">
        <f>IF(AU$6="","",IF(AU$3="Maior",iferror(VLOOKUP($R152,Capa!$A:$Z,AU$5,0),0),IF(ISERROR(1/VLOOKUP($R152,Capa!$A:$Z,AU$5,0)),0,1/VLOOKUP($R152,Capa!$A:$Z,AU$5,0))))</f>
        <v>0.1394226311</v>
      </c>
      <c r="AV152" s="124" t="str">
        <f>IF(AV$6="","",IF(AV$3="Maior",iferror(VLOOKUP($R150,Capa!$A:$Z,AV$5,0),0),IF(ISERROR(1/VLOOKUP($R150,Capa!$A:$Z,AV$5,0)),0,1/VLOOKUP($R150,Capa!$A:$Z,AV$5,0))))</f>
        <v/>
      </c>
      <c r="AW152" s="124" t="str">
        <f>IF(AW$6="","",IF(AW$3="Maior",iferror(VLOOKUP($R150,Capa!$A:$Z,AW$5,0),0),IF(ISERROR(1/VLOOKUP($R150,Capa!$A:$Z,AW$5,0)),0,1/VLOOKUP($R150,Capa!$A:$Z,AW$5,0))))</f>
        <v/>
      </c>
      <c r="AX152" s="124" t="str">
        <f>IF(AX$6="","",IF(AX$3="Maior",iferror(VLOOKUP($R150,Capa!$A:$Z,AX$5,0),0),IF(ISERROR(1/VLOOKUP($R150,Capa!$A:$Z,AX$5,0)),0,1/VLOOKUP($R150,Capa!$A:$Z,AX$5,0))))</f>
        <v/>
      </c>
      <c r="AY152" s="124" t="str">
        <f>IF(AY$6="","",IF(AY$3="Maior",iferror(VLOOKUP($R150,Capa!$A:$Z,AY$5,0),0),IF(ISERROR(1/VLOOKUP($R150,Capa!$A:$Z,AY$5,0)),0,1/VLOOKUP($R150,Capa!$A:$Z,AY$5,0))))</f>
        <v/>
      </c>
      <c r="AZ152" s="124" t="str">
        <f>IF(AZ$6="","",IF(AZ$3="Maior",iferror(VLOOKUP($R150,Capa!$A:$Z,AZ$5,0),0),IF(ISERROR(1/VLOOKUP($R150,Capa!$A:$Z,AZ$5,0)),0,1/VLOOKUP($R150,Capa!$A:$Z,AZ$5,0))))</f>
        <v/>
      </c>
      <c r="BA152" s="124" t="str">
        <f>IF(BA$6="","",IF(BA$3="Maior",iferror(VLOOKUP($R150,Capa!$A:$Z,BA$5,0),0),IF(ISERROR(1/VLOOKUP($R150,Capa!$A:$Z,BA$5,0)),0,1/VLOOKUP($R150,Capa!$A:$Z,BA$5,0))))</f>
        <v/>
      </c>
      <c r="BB152" s="124" t="str">
        <f>IF(BB$6="","",IF(BB$3="Maior",iferror(VLOOKUP($R150,Capa!$A:$Z,BB$5,0),0),IF(ISERROR(1/VLOOKUP($R150,Capa!$A:$Z,BB$5,0)),0,1/VLOOKUP($R150,Capa!$A:$Z,BB$5,0))))</f>
        <v/>
      </c>
      <c r="BC152" s="124" t="str">
        <f>IF(BC$6="","",IF(BC$3="Maior",iferror(VLOOKUP($R150,Capa!$A:$Z,BC$5,0),0),IF(ISERROR(1/VLOOKUP($R150,Capa!$A:$Z,BC$5,0)),0,1/VLOOKUP($R150,Capa!$A:$Z,BC$5,0))))</f>
        <v/>
      </c>
      <c r="BD152" s="124" t="str">
        <f>IF(BD$6="","",IF(BD$3="Maior",iferror(VLOOKUP($R150,Capa!$A:$Z,BD$5,0),0),IF(ISERROR(1/VLOOKUP($R150,Capa!$A:$Z,BD$5,0)),0,1/VLOOKUP($R150,Capa!$A:$Z,BD$5,0))))</f>
        <v/>
      </c>
      <c r="BE152" s="124" t="str">
        <f>IF(BE$6="","",IF(BE$3="Maior",iferror(VLOOKUP($R150,Capa!$A:$Z,BE$5,0),0),IF(ISERROR(1/VLOOKUP($R150,Capa!$A:$Z,BE$5,0)),0,1/VLOOKUP($R150,Capa!$A:$Z,BE$5,0))))</f>
        <v/>
      </c>
      <c r="BF152" s="124" t="str">
        <f>IF(BF$6="","",IF(BF$3="Maior",iferror(VLOOKUP($R150,Capa!$A:$Z,BF$5,0),0),IF(ISERROR(1/VLOOKUP($R150,Capa!$A:$Z,BF$5,0)),0,1/VLOOKUP($R150,Capa!$A:$Z,BF$5,0))))</f>
        <v/>
      </c>
      <c r="BG152" s="124" t="str">
        <f>IF(BG$6="","",IF(BG$3="Maior",iferror(VLOOKUP($R150,Capa!$A:$Z,BG$5,0),0),IF(ISERROR(1/VLOOKUP($R150,Capa!$A:$Z,BG$5,0)),0,1/VLOOKUP($R150,Capa!$A:$Z,BG$5,0))))</f>
        <v/>
      </c>
      <c r="BH152" s="124" t="str">
        <f>IF(BH$6="","",IF(BH$3="Maior",iferror(VLOOKUP($R150,Capa!$A:$Z,BH$5,0),0),IF(ISERROR(1/VLOOKUP($R150,Capa!$A:$Z,BH$5,0)),0,1/VLOOKUP($R150,Capa!$A:$Z,BH$5,0))))</f>
        <v/>
      </c>
      <c r="BI152" s="124" t="str">
        <f>IF(BI$6="","",IF(BI$3="Maior",iferror(VLOOKUP($R150,Capa!$A:$Z,BI$5,0),0),IF(ISERROR(1/VLOOKUP($R150,Capa!$A:$Z,BI$5,0)),0,1/VLOOKUP($R150,Capa!$A:$Z,BI$5,0))))</f>
        <v/>
      </c>
      <c r="BJ152" s="124" t="str">
        <f>IF(BJ$6="","",IF(BJ$3="Maior",iferror(VLOOKUP($R150,Capa!$A:$Z,BJ$5,0),0),IF(ISERROR(1/VLOOKUP($R150,Capa!$A:$Z,BJ$5,0)),0,1/VLOOKUP($R150,Capa!$A:$Z,BJ$5,0))))</f>
        <v/>
      </c>
      <c r="BK152" s="124" t="str">
        <f>IF(BK$6="","",IF(BK$3="Maior",iferror(VLOOKUP($R150,Capa!$A:$Z,BK$5,0),0),IF(ISERROR(1/VLOOKUP($R150,Capa!$A:$Z,BK$5,0)),0,1/VLOOKUP($R150,Capa!$A:$Z,BK$5,0))))</f>
        <v/>
      </c>
      <c r="BL152" s="124" t="str">
        <f>IF(BL$6="","",IF(BL$3="Maior",iferror(VLOOKUP($R150,Capa!$A:$Z,BL$5,0),0),IF(ISERROR(1/VLOOKUP($R150,Capa!$A:$Z,BL$5,0)),0,1/VLOOKUP($R150,Capa!$A:$Z,BL$5,0))))</f>
        <v/>
      </c>
      <c r="BM152" s="124" t="str">
        <f>IF(BM$6="","",IF(BM$3="Maior",iferror(VLOOKUP($R150,Capa!$A:$Z,BM$5,0),0),IF(ISERROR(1/VLOOKUP($R150,Capa!$A:$Z,BM$5,0)),0,1/VLOOKUP($R150,Capa!$A:$Z,BM$5,0))))</f>
        <v/>
      </c>
      <c r="BN152" s="124" t="str">
        <f>IF(BN$6="","",IF(BN$3="Maior",iferror(VLOOKUP($R150,Capa!$A:$Z,BN$5,0),0),IF(ISERROR(1/VLOOKUP($R150,Capa!$A:$Z,BN$5,0)),0,1/VLOOKUP($R150,Capa!$A:$Z,BN$5,0))))</f>
        <v/>
      </c>
      <c r="BO152" s="124" t="str">
        <f>IF(BO$6="","",IF(BO$3="Maior",iferror(VLOOKUP($R150,Capa!$A:$Z,BO$5,0),0),IF(ISERROR(1/VLOOKUP($R150,Capa!$A:$Z,BO$5,0)),0,1/VLOOKUP($R150,Capa!$A:$Z,BO$5,0))))</f>
        <v/>
      </c>
      <c r="BP152" s="124" t="str">
        <f>IF(BP$6="","",IF(BP$3="Maior",iferror(VLOOKUP($R150,Capa!$A:$Z,BP$5,0),0),IF(ISERROR(1/VLOOKUP($R150,Capa!$A:$Z,BP$5,0)),0,1/VLOOKUP($R150,Capa!$A:$Z,BP$5,0))))</f>
        <v/>
      </c>
      <c r="BQ152" s="124" t="str">
        <f>IF(BQ$6="","",IF(BQ$3="Maior",iferror(VLOOKUP($R150,Capa!$A:$Z,BQ$5,0),0),IF(ISERROR(1/VLOOKUP($R150,Capa!$A:$Z,BQ$5,0)),0,1/VLOOKUP($R150,Capa!$A:$Z,BQ$5,0))))</f>
        <v/>
      </c>
      <c r="BR152" s="125" t="str">
        <f>IF(BR$6="","",IF(BR$3="Maior",iferror(VLOOKUP($R150,Capa!$A:$Z,BR$5,0),0),IF(ISERROR(1/VLOOKUP($R150,Capa!$A:$Z,BR$5,0)),0,1/VLOOKUP($R150,Capa!$A:$Z,BR$5,0))))</f>
        <v/>
      </c>
      <c r="BS152" s="88"/>
    </row>
    <row r="153">
      <c r="G153" s="9"/>
      <c r="H153" s="7">
        <v>147.0</v>
      </c>
      <c r="I153" s="111" t="str">
        <f t="shared" si="7"/>
        <v>BCIA11</v>
      </c>
      <c r="J153" s="112" t="str">
        <f>VLOOKUP(I153,Capa!A:G,7,0)</f>
        <v>Fundo de Fundos</v>
      </c>
      <c r="K153" s="113">
        <f t="shared" si="8"/>
        <v>0.8177053927</v>
      </c>
      <c r="L153" s="113">
        <f t="shared" si="9"/>
        <v>0.1045494752</v>
      </c>
      <c r="M153" s="113" t="str">
        <f t="shared" si="10"/>
        <v/>
      </c>
      <c r="N153" s="113" t="str">
        <f t="shared" si="11"/>
        <v/>
      </c>
      <c r="O153" s="114">
        <f t="shared" si="12"/>
        <v>281723.26</v>
      </c>
      <c r="P153" s="9"/>
      <c r="Q153" s="9"/>
      <c r="R153" s="115" t="s">
        <v>186</v>
      </c>
      <c r="S153" s="116">
        <f t="shared" si="13"/>
        <v>1297.018612</v>
      </c>
      <c r="T153" s="117">
        <f>MID(VLOOKUP($R153,'Dados ClubeFII'!$A:$AU,23,0),3,100)/1</f>
        <v>725.98</v>
      </c>
      <c r="U153" s="118">
        <f t="shared" si="14"/>
        <v>185.0185</v>
      </c>
      <c r="V153" s="118">
        <f t="shared" si="15"/>
        <v>112.000112</v>
      </c>
      <c r="W153" s="118" t="str">
        <f t="shared" ref="W153:AS153" si="162">IF(AV153="","", RANK(AV153,AV$7:AV$405,0))</f>
        <v/>
      </c>
      <c r="X153" s="118" t="str">
        <f t="shared" si="162"/>
        <v/>
      </c>
      <c r="Y153" s="118" t="str">
        <f t="shared" si="162"/>
        <v/>
      </c>
      <c r="Z153" s="118" t="str">
        <f t="shared" si="162"/>
        <v/>
      </c>
      <c r="AA153" s="118" t="str">
        <f t="shared" si="162"/>
        <v/>
      </c>
      <c r="AB153" s="118" t="str">
        <f t="shared" si="162"/>
        <v/>
      </c>
      <c r="AC153" s="118" t="str">
        <f t="shared" si="162"/>
        <v/>
      </c>
      <c r="AD153" s="118" t="str">
        <f t="shared" si="162"/>
        <v/>
      </c>
      <c r="AE153" s="118" t="str">
        <f t="shared" si="162"/>
        <v/>
      </c>
      <c r="AF153" s="118" t="str">
        <f t="shared" si="162"/>
        <v/>
      </c>
      <c r="AG153" s="118" t="str">
        <f t="shared" si="162"/>
        <v/>
      </c>
      <c r="AH153" s="118" t="str">
        <f t="shared" si="162"/>
        <v/>
      </c>
      <c r="AI153" s="118" t="str">
        <f t="shared" si="162"/>
        <v/>
      </c>
      <c r="AJ153" s="118" t="str">
        <f t="shared" si="162"/>
        <v/>
      </c>
      <c r="AK153" s="118" t="str">
        <f t="shared" si="162"/>
        <v/>
      </c>
      <c r="AL153" s="118" t="str">
        <f t="shared" si="162"/>
        <v/>
      </c>
      <c r="AM153" s="118" t="str">
        <f t="shared" si="162"/>
        <v/>
      </c>
      <c r="AN153" s="118" t="str">
        <f t="shared" si="162"/>
        <v/>
      </c>
      <c r="AO153" s="118" t="str">
        <f t="shared" si="162"/>
        <v/>
      </c>
      <c r="AP153" s="118" t="str">
        <f t="shared" si="162"/>
        <v/>
      </c>
      <c r="AQ153" s="118" t="str">
        <f t="shared" si="162"/>
        <v/>
      </c>
      <c r="AR153" s="118" t="str">
        <f t="shared" si="162"/>
        <v/>
      </c>
      <c r="AS153" s="118" t="str">
        <f t="shared" si="162"/>
        <v/>
      </c>
      <c r="AT153" s="123">
        <f>IF(AT$6="","",IF(AT$3="Maior",iferror(VLOOKUP($R153,Capa!$A:$Z,AT$5,0),0),IF(ISERROR(1/VLOOKUP($R153,Capa!$A:$Z,AT$5,0)),0,1/VLOOKUP($R153,Capa!$A:$Z,AT$5,0))))</f>
        <v>0.8749168203</v>
      </c>
      <c r="AU153" s="124">
        <f>IF(AU$6="","",IF(AU$3="Maior",iferror(VLOOKUP($R153,Capa!$A:$Z,AU$5,0),0),IF(ISERROR(1/VLOOKUP($R153,Capa!$A:$Z,AU$5,0)),0,1/VLOOKUP($R153,Capa!$A:$Z,AU$5,0))))</f>
        <v>0.1038560267</v>
      </c>
      <c r="AV153" s="124" t="str">
        <f>IF(AV$6="","",IF(AV$3="Maior",iferror(VLOOKUP($R151,Capa!$A:$Z,AV$5,0),0),IF(ISERROR(1/VLOOKUP($R151,Capa!$A:$Z,AV$5,0)),0,1/VLOOKUP($R151,Capa!$A:$Z,AV$5,0))))</f>
        <v/>
      </c>
      <c r="AW153" s="124" t="str">
        <f>IF(AW$6="","",IF(AW$3="Maior",iferror(VLOOKUP($R151,Capa!$A:$Z,AW$5,0),0),IF(ISERROR(1/VLOOKUP($R151,Capa!$A:$Z,AW$5,0)),0,1/VLOOKUP($R151,Capa!$A:$Z,AW$5,0))))</f>
        <v/>
      </c>
      <c r="AX153" s="124" t="str">
        <f>IF(AX$6="","",IF(AX$3="Maior",iferror(VLOOKUP($R151,Capa!$A:$Z,AX$5,0),0),IF(ISERROR(1/VLOOKUP($R151,Capa!$A:$Z,AX$5,0)),0,1/VLOOKUP($R151,Capa!$A:$Z,AX$5,0))))</f>
        <v/>
      </c>
      <c r="AY153" s="124" t="str">
        <f>IF(AY$6="","",IF(AY$3="Maior",iferror(VLOOKUP($R151,Capa!$A:$Z,AY$5,0),0),IF(ISERROR(1/VLOOKUP($R151,Capa!$A:$Z,AY$5,0)),0,1/VLOOKUP($R151,Capa!$A:$Z,AY$5,0))))</f>
        <v/>
      </c>
      <c r="AZ153" s="124" t="str">
        <f>IF(AZ$6="","",IF(AZ$3="Maior",iferror(VLOOKUP($R151,Capa!$A:$Z,AZ$5,0),0),IF(ISERROR(1/VLOOKUP($R151,Capa!$A:$Z,AZ$5,0)),0,1/VLOOKUP($R151,Capa!$A:$Z,AZ$5,0))))</f>
        <v/>
      </c>
      <c r="BA153" s="124" t="str">
        <f>IF(BA$6="","",IF(BA$3="Maior",iferror(VLOOKUP($R151,Capa!$A:$Z,BA$5,0),0),IF(ISERROR(1/VLOOKUP($R151,Capa!$A:$Z,BA$5,0)),0,1/VLOOKUP($R151,Capa!$A:$Z,BA$5,0))))</f>
        <v/>
      </c>
      <c r="BB153" s="124" t="str">
        <f>IF(BB$6="","",IF(BB$3="Maior",iferror(VLOOKUP($R151,Capa!$A:$Z,BB$5,0),0),IF(ISERROR(1/VLOOKUP($R151,Capa!$A:$Z,BB$5,0)),0,1/VLOOKUP($R151,Capa!$A:$Z,BB$5,0))))</f>
        <v/>
      </c>
      <c r="BC153" s="124" t="str">
        <f>IF(BC$6="","",IF(BC$3="Maior",iferror(VLOOKUP($R151,Capa!$A:$Z,BC$5,0),0),IF(ISERROR(1/VLOOKUP($R151,Capa!$A:$Z,BC$5,0)),0,1/VLOOKUP($R151,Capa!$A:$Z,BC$5,0))))</f>
        <v/>
      </c>
      <c r="BD153" s="124" t="str">
        <f>IF(BD$6="","",IF(BD$3="Maior",iferror(VLOOKUP($R151,Capa!$A:$Z,BD$5,0),0),IF(ISERROR(1/VLOOKUP($R151,Capa!$A:$Z,BD$5,0)),0,1/VLOOKUP($R151,Capa!$A:$Z,BD$5,0))))</f>
        <v/>
      </c>
      <c r="BE153" s="124" t="str">
        <f>IF(BE$6="","",IF(BE$3="Maior",iferror(VLOOKUP($R151,Capa!$A:$Z,BE$5,0),0),IF(ISERROR(1/VLOOKUP($R151,Capa!$A:$Z,BE$5,0)),0,1/VLOOKUP($R151,Capa!$A:$Z,BE$5,0))))</f>
        <v/>
      </c>
      <c r="BF153" s="124" t="str">
        <f>IF(BF$6="","",IF(BF$3="Maior",iferror(VLOOKUP($R151,Capa!$A:$Z,BF$5,0),0),IF(ISERROR(1/VLOOKUP($R151,Capa!$A:$Z,BF$5,0)),0,1/VLOOKUP($R151,Capa!$A:$Z,BF$5,0))))</f>
        <v/>
      </c>
      <c r="BG153" s="124" t="str">
        <f>IF(BG$6="","",IF(BG$3="Maior",iferror(VLOOKUP($R151,Capa!$A:$Z,BG$5,0),0),IF(ISERROR(1/VLOOKUP($R151,Capa!$A:$Z,BG$5,0)),0,1/VLOOKUP($R151,Capa!$A:$Z,BG$5,0))))</f>
        <v/>
      </c>
      <c r="BH153" s="124" t="str">
        <f>IF(BH$6="","",IF(BH$3="Maior",iferror(VLOOKUP($R151,Capa!$A:$Z,BH$5,0),0),IF(ISERROR(1/VLOOKUP($R151,Capa!$A:$Z,BH$5,0)),0,1/VLOOKUP($R151,Capa!$A:$Z,BH$5,0))))</f>
        <v/>
      </c>
      <c r="BI153" s="124" t="str">
        <f>IF(BI$6="","",IF(BI$3="Maior",iferror(VLOOKUP($R151,Capa!$A:$Z,BI$5,0),0),IF(ISERROR(1/VLOOKUP($R151,Capa!$A:$Z,BI$5,0)),0,1/VLOOKUP($R151,Capa!$A:$Z,BI$5,0))))</f>
        <v/>
      </c>
      <c r="BJ153" s="124" t="str">
        <f>IF(BJ$6="","",IF(BJ$3="Maior",iferror(VLOOKUP($R151,Capa!$A:$Z,BJ$5,0),0),IF(ISERROR(1/VLOOKUP($R151,Capa!$A:$Z,BJ$5,0)),0,1/VLOOKUP($R151,Capa!$A:$Z,BJ$5,0))))</f>
        <v/>
      </c>
      <c r="BK153" s="124" t="str">
        <f>IF(BK$6="","",IF(BK$3="Maior",iferror(VLOOKUP($R151,Capa!$A:$Z,BK$5,0),0),IF(ISERROR(1/VLOOKUP($R151,Capa!$A:$Z,BK$5,0)),0,1/VLOOKUP($R151,Capa!$A:$Z,BK$5,0))))</f>
        <v/>
      </c>
      <c r="BL153" s="124" t="str">
        <f>IF(BL$6="","",IF(BL$3="Maior",iferror(VLOOKUP($R151,Capa!$A:$Z,BL$5,0),0),IF(ISERROR(1/VLOOKUP($R151,Capa!$A:$Z,BL$5,0)),0,1/VLOOKUP($R151,Capa!$A:$Z,BL$5,0))))</f>
        <v/>
      </c>
      <c r="BM153" s="124" t="str">
        <f>IF(BM$6="","",IF(BM$3="Maior",iferror(VLOOKUP($R151,Capa!$A:$Z,BM$5,0),0),IF(ISERROR(1/VLOOKUP($R151,Capa!$A:$Z,BM$5,0)),0,1/VLOOKUP($R151,Capa!$A:$Z,BM$5,0))))</f>
        <v/>
      </c>
      <c r="BN153" s="124" t="str">
        <f>IF(BN$6="","",IF(BN$3="Maior",iferror(VLOOKUP($R151,Capa!$A:$Z,BN$5,0),0),IF(ISERROR(1/VLOOKUP($R151,Capa!$A:$Z,BN$5,0)),0,1/VLOOKUP($R151,Capa!$A:$Z,BN$5,0))))</f>
        <v/>
      </c>
      <c r="BO153" s="124" t="str">
        <f>IF(BO$6="","",IF(BO$3="Maior",iferror(VLOOKUP($R151,Capa!$A:$Z,BO$5,0),0),IF(ISERROR(1/VLOOKUP($R151,Capa!$A:$Z,BO$5,0)),0,1/VLOOKUP($R151,Capa!$A:$Z,BO$5,0))))</f>
        <v/>
      </c>
      <c r="BP153" s="124" t="str">
        <f>IF(BP$6="","",IF(BP$3="Maior",iferror(VLOOKUP($R151,Capa!$A:$Z,BP$5,0),0),IF(ISERROR(1/VLOOKUP($R151,Capa!$A:$Z,BP$5,0)),0,1/VLOOKUP($R151,Capa!$A:$Z,BP$5,0))))</f>
        <v/>
      </c>
      <c r="BQ153" s="124" t="str">
        <f>IF(BQ$6="","",IF(BQ$3="Maior",iferror(VLOOKUP($R151,Capa!$A:$Z,BQ$5,0),0),IF(ISERROR(1/VLOOKUP($R151,Capa!$A:$Z,BQ$5,0)),0,1/VLOOKUP($R151,Capa!$A:$Z,BQ$5,0))))</f>
        <v/>
      </c>
      <c r="BR153" s="125" t="str">
        <f>IF(BR$6="","",IF(BR$3="Maior",iferror(VLOOKUP($R151,Capa!$A:$Z,BR$5,0),0),IF(ISERROR(1/VLOOKUP($R151,Capa!$A:$Z,BR$5,0)),0,1/VLOOKUP($R151,Capa!$A:$Z,BR$5,0))))</f>
        <v/>
      </c>
      <c r="BS153" s="88"/>
    </row>
    <row r="154">
      <c r="G154" s="9"/>
      <c r="H154" s="7">
        <v>148.0</v>
      </c>
      <c r="I154" s="111" t="str">
        <f t="shared" si="7"/>
        <v>RBVO11</v>
      </c>
      <c r="J154" s="112" t="str">
        <f>VLOOKUP(I154,Capa!A:G,7,0)</f>
        <v>Recebíveis Imobiliários</v>
      </c>
      <c r="K154" s="113">
        <f t="shared" si="8"/>
        <v>0.5463975155</v>
      </c>
      <c r="L154" s="113">
        <f t="shared" si="9"/>
        <v>0.03345486542</v>
      </c>
      <c r="M154" s="113" t="str">
        <f t="shared" si="10"/>
        <v/>
      </c>
      <c r="N154" s="113" t="str">
        <f t="shared" si="11"/>
        <v/>
      </c>
      <c r="O154" s="114">
        <f t="shared" si="12"/>
        <v>3125.78</v>
      </c>
      <c r="P154" s="9"/>
      <c r="Q154" s="9"/>
      <c r="R154" s="127" t="s">
        <v>185</v>
      </c>
      <c r="S154" s="116">
        <f t="shared" si="13"/>
        <v>1194.002966</v>
      </c>
      <c r="T154" s="117">
        <f>MID(VLOOKUP($R154,'Dados ClubeFII'!$A:$AU,23,0),3,100)/1</f>
        <v>84342.16</v>
      </c>
      <c r="U154" s="118">
        <f t="shared" si="14"/>
        <v>28.0028</v>
      </c>
      <c r="V154" s="118">
        <f t="shared" si="15"/>
        <v>166.000166</v>
      </c>
      <c r="W154" s="118" t="str">
        <f t="shared" ref="W154:AS154" si="163">IF(AV154="","", RANK(AV154,AV$7:AV$405,0))</f>
        <v/>
      </c>
      <c r="X154" s="118" t="str">
        <f t="shared" si="163"/>
        <v/>
      </c>
      <c r="Y154" s="118" t="str">
        <f t="shared" si="163"/>
        <v/>
      </c>
      <c r="Z154" s="118" t="str">
        <f t="shared" si="163"/>
        <v/>
      </c>
      <c r="AA154" s="118" t="str">
        <f t="shared" si="163"/>
        <v/>
      </c>
      <c r="AB154" s="118" t="str">
        <f t="shared" si="163"/>
        <v/>
      </c>
      <c r="AC154" s="118" t="str">
        <f t="shared" si="163"/>
        <v/>
      </c>
      <c r="AD154" s="118" t="str">
        <f t="shared" si="163"/>
        <v/>
      </c>
      <c r="AE154" s="118" t="str">
        <f t="shared" si="163"/>
        <v/>
      </c>
      <c r="AF154" s="118" t="str">
        <f t="shared" si="163"/>
        <v/>
      </c>
      <c r="AG154" s="118" t="str">
        <f t="shared" si="163"/>
        <v/>
      </c>
      <c r="AH154" s="118" t="str">
        <f t="shared" si="163"/>
        <v/>
      </c>
      <c r="AI154" s="118" t="str">
        <f t="shared" si="163"/>
        <v/>
      </c>
      <c r="AJ154" s="118" t="str">
        <f t="shared" si="163"/>
        <v/>
      </c>
      <c r="AK154" s="118" t="str">
        <f t="shared" si="163"/>
        <v/>
      </c>
      <c r="AL154" s="118" t="str">
        <f t="shared" si="163"/>
        <v/>
      </c>
      <c r="AM154" s="118" t="str">
        <f t="shared" si="163"/>
        <v/>
      </c>
      <c r="AN154" s="118" t="str">
        <f t="shared" si="163"/>
        <v/>
      </c>
      <c r="AO154" s="118" t="str">
        <f t="shared" si="163"/>
        <v/>
      </c>
      <c r="AP154" s="118" t="str">
        <f t="shared" si="163"/>
        <v/>
      </c>
      <c r="AQ154" s="118" t="str">
        <f t="shared" si="163"/>
        <v/>
      </c>
      <c r="AR154" s="118" t="str">
        <f t="shared" si="163"/>
        <v/>
      </c>
      <c r="AS154" s="118" t="str">
        <f t="shared" si="163"/>
        <v/>
      </c>
      <c r="AT154" s="123">
        <f>IF(AT$6="","",IF(AT$3="Maior",iferror(VLOOKUP($R154,Capa!$A:$Z,AT$5,0),0),IF(ISERROR(1/VLOOKUP($R154,Capa!$A:$Z,AT$5,0)),0,1/VLOOKUP($R154,Capa!$A:$Z,AT$5,0))))</f>
        <v>1.724701792</v>
      </c>
      <c r="AU154" s="124">
        <f>IF(AU$6="","",IF(AU$3="Maior",iferror(VLOOKUP($R154,Capa!$A:$Z,AU$5,0),0),IF(ISERROR(1/VLOOKUP($R154,Capa!$A:$Z,AU$5,0)),0,1/VLOOKUP($R154,Capa!$A:$Z,AU$5,0))))</f>
        <v>0.06264780439</v>
      </c>
      <c r="AV154" s="124" t="str">
        <f>IF(AV$6="","",IF(AV$3="Maior",iferror(VLOOKUP($R152,Capa!$A:$Z,AV$5,0),0),IF(ISERROR(1/VLOOKUP($R152,Capa!$A:$Z,AV$5,0)),0,1/VLOOKUP($R152,Capa!$A:$Z,AV$5,0))))</f>
        <v/>
      </c>
      <c r="AW154" s="124" t="str">
        <f>IF(AW$6="","",IF(AW$3="Maior",iferror(VLOOKUP($R152,Capa!$A:$Z,AW$5,0),0),IF(ISERROR(1/VLOOKUP($R152,Capa!$A:$Z,AW$5,0)),0,1/VLOOKUP($R152,Capa!$A:$Z,AW$5,0))))</f>
        <v/>
      </c>
      <c r="AX154" s="124" t="str">
        <f>IF(AX$6="","",IF(AX$3="Maior",iferror(VLOOKUP($R152,Capa!$A:$Z,AX$5,0),0),IF(ISERROR(1/VLOOKUP($R152,Capa!$A:$Z,AX$5,0)),0,1/VLOOKUP($R152,Capa!$A:$Z,AX$5,0))))</f>
        <v/>
      </c>
      <c r="AY154" s="124" t="str">
        <f>IF(AY$6="","",IF(AY$3="Maior",iferror(VLOOKUP($R152,Capa!$A:$Z,AY$5,0),0),IF(ISERROR(1/VLOOKUP($R152,Capa!$A:$Z,AY$5,0)),0,1/VLOOKUP($R152,Capa!$A:$Z,AY$5,0))))</f>
        <v/>
      </c>
      <c r="AZ154" s="124" t="str">
        <f>IF(AZ$6="","",IF(AZ$3="Maior",iferror(VLOOKUP($R152,Capa!$A:$Z,AZ$5,0),0),IF(ISERROR(1/VLOOKUP($R152,Capa!$A:$Z,AZ$5,0)),0,1/VLOOKUP($R152,Capa!$A:$Z,AZ$5,0))))</f>
        <v/>
      </c>
      <c r="BA154" s="124" t="str">
        <f>IF(BA$6="","",IF(BA$3="Maior",iferror(VLOOKUP($R152,Capa!$A:$Z,BA$5,0),0),IF(ISERROR(1/VLOOKUP($R152,Capa!$A:$Z,BA$5,0)),0,1/VLOOKUP($R152,Capa!$A:$Z,BA$5,0))))</f>
        <v/>
      </c>
      <c r="BB154" s="124" t="str">
        <f>IF(BB$6="","",IF(BB$3="Maior",iferror(VLOOKUP($R152,Capa!$A:$Z,BB$5,0),0),IF(ISERROR(1/VLOOKUP($R152,Capa!$A:$Z,BB$5,0)),0,1/VLOOKUP($R152,Capa!$A:$Z,BB$5,0))))</f>
        <v/>
      </c>
      <c r="BC154" s="124" t="str">
        <f>IF(BC$6="","",IF(BC$3="Maior",iferror(VLOOKUP($R152,Capa!$A:$Z,BC$5,0),0),IF(ISERROR(1/VLOOKUP($R152,Capa!$A:$Z,BC$5,0)),0,1/VLOOKUP($R152,Capa!$A:$Z,BC$5,0))))</f>
        <v/>
      </c>
      <c r="BD154" s="124" t="str">
        <f>IF(BD$6="","",IF(BD$3="Maior",iferror(VLOOKUP($R152,Capa!$A:$Z,BD$5,0),0),IF(ISERROR(1/VLOOKUP($R152,Capa!$A:$Z,BD$5,0)),0,1/VLOOKUP($R152,Capa!$A:$Z,BD$5,0))))</f>
        <v/>
      </c>
      <c r="BE154" s="124" t="str">
        <f>IF(BE$6="","",IF(BE$3="Maior",iferror(VLOOKUP($R152,Capa!$A:$Z,BE$5,0),0),IF(ISERROR(1/VLOOKUP($R152,Capa!$A:$Z,BE$5,0)),0,1/VLOOKUP($R152,Capa!$A:$Z,BE$5,0))))</f>
        <v/>
      </c>
      <c r="BF154" s="124" t="str">
        <f>IF(BF$6="","",IF(BF$3="Maior",iferror(VLOOKUP($R152,Capa!$A:$Z,BF$5,0),0),IF(ISERROR(1/VLOOKUP($R152,Capa!$A:$Z,BF$5,0)),0,1/VLOOKUP($R152,Capa!$A:$Z,BF$5,0))))</f>
        <v/>
      </c>
      <c r="BG154" s="124" t="str">
        <f>IF(BG$6="","",IF(BG$3="Maior",iferror(VLOOKUP($R152,Capa!$A:$Z,BG$5,0),0),IF(ISERROR(1/VLOOKUP($R152,Capa!$A:$Z,BG$5,0)),0,1/VLOOKUP($R152,Capa!$A:$Z,BG$5,0))))</f>
        <v/>
      </c>
      <c r="BH154" s="124" t="str">
        <f>IF(BH$6="","",IF(BH$3="Maior",iferror(VLOOKUP($R152,Capa!$A:$Z,BH$5,0),0),IF(ISERROR(1/VLOOKUP($R152,Capa!$A:$Z,BH$5,0)),0,1/VLOOKUP($R152,Capa!$A:$Z,BH$5,0))))</f>
        <v/>
      </c>
      <c r="BI154" s="124" t="str">
        <f>IF(BI$6="","",IF(BI$3="Maior",iferror(VLOOKUP($R152,Capa!$A:$Z,BI$5,0),0),IF(ISERROR(1/VLOOKUP($R152,Capa!$A:$Z,BI$5,0)),0,1/VLOOKUP($R152,Capa!$A:$Z,BI$5,0))))</f>
        <v/>
      </c>
      <c r="BJ154" s="124" t="str">
        <f>IF(BJ$6="","",IF(BJ$3="Maior",iferror(VLOOKUP($R152,Capa!$A:$Z,BJ$5,0),0),IF(ISERROR(1/VLOOKUP($R152,Capa!$A:$Z,BJ$5,0)),0,1/VLOOKUP($R152,Capa!$A:$Z,BJ$5,0))))</f>
        <v/>
      </c>
      <c r="BK154" s="124" t="str">
        <f>IF(BK$6="","",IF(BK$3="Maior",iferror(VLOOKUP($R152,Capa!$A:$Z,BK$5,0),0),IF(ISERROR(1/VLOOKUP($R152,Capa!$A:$Z,BK$5,0)),0,1/VLOOKUP($R152,Capa!$A:$Z,BK$5,0))))</f>
        <v/>
      </c>
      <c r="BL154" s="124" t="str">
        <f>IF(BL$6="","",IF(BL$3="Maior",iferror(VLOOKUP($R152,Capa!$A:$Z,BL$5,0),0),IF(ISERROR(1/VLOOKUP($R152,Capa!$A:$Z,BL$5,0)),0,1/VLOOKUP($R152,Capa!$A:$Z,BL$5,0))))</f>
        <v/>
      </c>
      <c r="BM154" s="124" t="str">
        <f>IF(BM$6="","",IF(BM$3="Maior",iferror(VLOOKUP($R152,Capa!$A:$Z,BM$5,0),0),IF(ISERROR(1/VLOOKUP($R152,Capa!$A:$Z,BM$5,0)),0,1/VLOOKUP($R152,Capa!$A:$Z,BM$5,0))))</f>
        <v/>
      </c>
      <c r="BN154" s="124" t="str">
        <f>IF(BN$6="","",IF(BN$3="Maior",iferror(VLOOKUP($R152,Capa!$A:$Z,BN$5,0),0),IF(ISERROR(1/VLOOKUP($R152,Capa!$A:$Z,BN$5,0)),0,1/VLOOKUP($R152,Capa!$A:$Z,BN$5,0))))</f>
        <v/>
      </c>
      <c r="BO154" s="124" t="str">
        <f>IF(BO$6="","",IF(BO$3="Maior",iferror(VLOOKUP($R152,Capa!$A:$Z,BO$5,0),0),IF(ISERROR(1/VLOOKUP($R152,Capa!$A:$Z,BO$5,0)),0,1/VLOOKUP($R152,Capa!$A:$Z,BO$5,0))))</f>
        <v/>
      </c>
      <c r="BP154" s="124" t="str">
        <f>IF(BP$6="","",IF(BP$3="Maior",iferror(VLOOKUP($R152,Capa!$A:$Z,BP$5,0),0),IF(ISERROR(1/VLOOKUP($R152,Capa!$A:$Z,BP$5,0)),0,1/VLOOKUP($R152,Capa!$A:$Z,BP$5,0))))</f>
        <v/>
      </c>
      <c r="BQ154" s="124" t="str">
        <f>IF(BQ$6="","",IF(BQ$3="Maior",iferror(VLOOKUP($R152,Capa!$A:$Z,BQ$5,0),0),IF(ISERROR(1/VLOOKUP($R152,Capa!$A:$Z,BQ$5,0)),0,1/VLOOKUP($R152,Capa!$A:$Z,BQ$5,0))))</f>
        <v/>
      </c>
      <c r="BR154" s="125" t="str">
        <f>IF(BR$6="","",IF(BR$3="Maior",iferror(VLOOKUP($R152,Capa!$A:$Z,BR$5,0),0),IF(ISERROR(1/VLOOKUP($R152,Capa!$A:$Z,BR$5,0)),0,1/VLOOKUP($R152,Capa!$A:$Z,BR$5,0))))</f>
        <v/>
      </c>
      <c r="BS154" s="88"/>
    </row>
    <row r="155">
      <c r="G155" s="9"/>
      <c r="H155" s="7">
        <v>149.0</v>
      </c>
      <c r="I155" s="111" t="str">
        <f t="shared" si="7"/>
        <v>AFHI11</v>
      </c>
      <c r="J155" s="112" t="str">
        <f>VLOOKUP(I155,Capa!A:G,7,0)</f>
        <v>Recebíveis Imobiliários</v>
      </c>
      <c r="K155" s="113">
        <f t="shared" si="8"/>
        <v>0.9917364128</v>
      </c>
      <c r="L155" s="113">
        <f t="shared" si="9"/>
        <v>0.1489588092</v>
      </c>
      <c r="M155" s="141"/>
      <c r="N155" s="141"/>
      <c r="O155" s="9"/>
      <c r="P155" s="9"/>
      <c r="Q155" s="9"/>
      <c r="R155" s="127" t="s">
        <v>177</v>
      </c>
      <c r="S155" s="116">
        <f t="shared" si="13"/>
        <v>1281.012953</v>
      </c>
      <c r="T155" s="117">
        <f>MID(VLOOKUP($R155,'Dados ClubeFII'!$A:$AU,23,0),3,100)/1</f>
        <v>25533.99</v>
      </c>
      <c r="U155" s="118">
        <f t="shared" si="14"/>
        <v>128.0128</v>
      </c>
      <c r="V155" s="118">
        <f t="shared" si="15"/>
        <v>153.000153</v>
      </c>
      <c r="W155" s="118" t="str">
        <f t="shared" ref="W155:AS155" si="164">IF(AV155="","", RANK(AV155,AV$7:AV$405,0))</f>
        <v/>
      </c>
      <c r="X155" s="118" t="str">
        <f t="shared" si="164"/>
        <v/>
      </c>
      <c r="Y155" s="118" t="str">
        <f t="shared" si="164"/>
        <v/>
      </c>
      <c r="Z155" s="118" t="str">
        <f t="shared" si="164"/>
        <v/>
      </c>
      <c r="AA155" s="118" t="str">
        <f t="shared" si="164"/>
        <v/>
      </c>
      <c r="AB155" s="118" t="str">
        <f t="shared" si="164"/>
        <v/>
      </c>
      <c r="AC155" s="118" t="str">
        <f t="shared" si="164"/>
        <v/>
      </c>
      <c r="AD155" s="118" t="str">
        <f t="shared" si="164"/>
        <v/>
      </c>
      <c r="AE155" s="118" t="str">
        <f t="shared" si="164"/>
        <v/>
      </c>
      <c r="AF155" s="118" t="str">
        <f t="shared" si="164"/>
        <v/>
      </c>
      <c r="AG155" s="118" t="str">
        <f t="shared" si="164"/>
        <v/>
      </c>
      <c r="AH155" s="118" t="str">
        <f t="shared" si="164"/>
        <v/>
      </c>
      <c r="AI155" s="118" t="str">
        <f t="shared" si="164"/>
        <v/>
      </c>
      <c r="AJ155" s="118" t="str">
        <f t="shared" si="164"/>
        <v/>
      </c>
      <c r="AK155" s="118" t="str">
        <f t="shared" si="164"/>
        <v/>
      </c>
      <c r="AL155" s="118" t="str">
        <f t="shared" si="164"/>
        <v/>
      </c>
      <c r="AM155" s="118" t="str">
        <f t="shared" si="164"/>
        <v/>
      </c>
      <c r="AN155" s="118" t="str">
        <f t="shared" si="164"/>
        <v/>
      </c>
      <c r="AO155" s="118" t="str">
        <f t="shared" si="164"/>
        <v/>
      </c>
      <c r="AP155" s="118" t="str">
        <f t="shared" si="164"/>
        <v/>
      </c>
      <c r="AQ155" s="118" t="str">
        <f t="shared" si="164"/>
        <v/>
      </c>
      <c r="AR155" s="118" t="str">
        <f t="shared" si="164"/>
        <v/>
      </c>
      <c r="AS155" s="118" t="str">
        <f t="shared" si="164"/>
        <v/>
      </c>
      <c r="AT155" s="123">
        <f>IF(AT$6="","",IF(AT$3="Maior",iferror(VLOOKUP($R155,Capa!$A:$Z,AT$5,0),0),IF(ISERROR(1/VLOOKUP($R155,Capa!$A:$Z,AT$5,0)),0,1/VLOOKUP($R155,Capa!$A:$Z,AT$5,0))))</f>
        <v>1.130942092</v>
      </c>
      <c r="AU155" s="124">
        <f>IF(AU$6="","",IF(AU$3="Maior",iferror(VLOOKUP($R155,Capa!$A:$Z,AU$5,0),0),IF(ISERROR(1/VLOOKUP($R155,Capa!$A:$Z,AU$5,0)),0,1/VLOOKUP($R155,Capa!$A:$Z,AU$5,0))))</f>
        <v>0.08027512419</v>
      </c>
      <c r="AV155" s="124" t="str">
        <f>IF(AV$6="","",IF(AV$3="Maior",iferror(VLOOKUP($R153,Capa!$A:$Z,AV$5,0),0),IF(ISERROR(1/VLOOKUP($R153,Capa!$A:$Z,AV$5,0)),0,1/VLOOKUP($R153,Capa!$A:$Z,AV$5,0))))</f>
        <v/>
      </c>
      <c r="AW155" s="124" t="str">
        <f>IF(AW$6="","",IF(AW$3="Maior",iferror(VLOOKUP($R153,Capa!$A:$Z,AW$5,0),0),IF(ISERROR(1/VLOOKUP($R153,Capa!$A:$Z,AW$5,0)),0,1/VLOOKUP($R153,Capa!$A:$Z,AW$5,0))))</f>
        <v/>
      </c>
      <c r="AX155" s="124" t="str">
        <f>IF(AX$6="","",IF(AX$3="Maior",iferror(VLOOKUP($R153,Capa!$A:$Z,AX$5,0),0),IF(ISERROR(1/VLOOKUP($R153,Capa!$A:$Z,AX$5,0)),0,1/VLOOKUP($R153,Capa!$A:$Z,AX$5,0))))</f>
        <v/>
      </c>
      <c r="AY155" s="124" t="str">
        <f>IF(AY$6="","",IF(AY$3="Maior",iferror(VLOOKUP($R153,Capa!$A:$Z,AY$5,0),0),IF(ISERROR(1/VLOOKUP($R153,Capa!$A:$Z,AY$5,0)),0,1/VLOOKUP($R153,Capa!$A:$Z,AY$5,0))))</f>
        <v/>
      </c>
      <c r="AZ155" s="124" t="str">
        <f>IF(AZ$6="","",IF(AZ$3="Maior",iferror(VLOOKUP($R153,Capa!$A:$Z,AZ$5,0),0),IF(ISERROR(1/VLOOKUP($R153,Capa!$A:$Z,AZ$5,0)),0,1/VLOOKUP($R153,Capa!$A:$Z,AZ$5,0))))</f>
        <v/>
      </c>
      <c r="BA155" s="124" t="str">
        <f>IF(BA$6="","",IF(BA$3="Maior",iferror(VLOOKUP($R153,Capa!$A:$Z,BA$5,0),0),IF(ISERROR(1/VLOOKUP($R153,Capa!$A:$Z,BA$5,0)),0,1/VLOOKUP($R153,Capa!$A:$Z,BA$5,0))))</f>
        <v/>
      </c>
      <c r="BB155" s="124" t="str">
        <f>IF(BB$6="","",IF(BB$3="Maior",iferror(VLOOKUP($R153,Capa!$A:$Z,BB$5,0),0),IF(ISERROR(1/VLOOKUP($R153,Capa!$A:$Z,BB$5,0)),0,1/VLOOKUP($R153,Capa!$A:$Z,BB$5,0))))</f>
        <v/>
      </c>
      <c r="BC155" s="124" t="str">
        <f>IF(BC$6="","",IF(BC$3="Maior",iferror(VLOOKUP($R153,Capa!$A:$Z,BC$5,0),0),IF(ISERROR(1/VLOOKUP($R153,Capa!$A:$Z,BC$5,0)),0,1/VLOOKUP($R153,Capa!$A:$Z,BC$5,0))))</f>
        <v/>
      </c>
      <c r="BD155" s="124" t="str">
        <f>IF(BD$6="","",IF(BD$3="Maior",iferror(VLOOKUP($R153,Capa!$A:$Z,BD$5,0),0),IF(ISERROR(1/VLOOKUP($R153,Capa!$A:$Z,BD$5,0)),0,1/VLOOKUP($R153,Capa!$A:$Z,BD$5,0))))</f>
        <v/>
      </c>
      <c r="BE155" s="124" t="str">
        <f>IF(BE$6="","",IF(BE$3="Maior",iferror(VLOOKUP($R153,Capa!$A:$Z,BE$5,0),0),IF(ISERROR(1/VLOOKUP($R153,Capa!$A:$Z,BE$5,0)),0,1/VLOOKUP($R153,Capa!$A:$Z,BE$5,0))))</f>
        <v/>
      </c>
      <c r="BF155" s="124" t="str">
        <f>IF(BF$6="","",IF(BF$3="Maior",iferror(VLOOKUP($R153,Capa!$A:$Z,BF$5,0),0),IF(ISERROR(1/VLOOKUP($R153,Capa!$A:$Z,BF$5,0)),0,1/VLOOKUP($R153,Capa!$A:$Z,BF$5,0))))</f>
        <v/>
      </c>
      <c r="BG155" s="124" t="str">
        <f>IF(BG$6="","",IF(BG$3="Maior",iferror(VLOOKUP($R153,Capa!$A:$Z,BG$5,0),0),IF(ISERROR(1/VLOOKUP($R153,Capa!$A:$Z,BG$5,0)),0,1/VLOOKUP($R153,Capa!$A:$Z,BG$5,0))))</f>
        <v/>
      </c>
      <c r="BH155" s="124" t="str">
        <f>IF(BH$6="","",IF(BH$3="Maior",iferror(VLOOKUP($R153,Capa!$A:$Z,BH$5,0),0),IF(ISERROR(1/VLOOKUP($R153,Capa!$A:$Z,BH$5,0)),0,1/VLOOKUP($R153,Capa!$A:$Z,BH$5,0))))</f>
        <v/>
      </c>
      <c r="BI155" s="124" t="str">
        <f>IF(BI$6="","",IF(BI$3="Maior",iferror(VLOOKUP($R153,Capa!$A:$Z,BI$5,0),0),IF(ISERROR(1/VLOOKUP($R153,Capa!$A:$Z,BI$5,0)),0,1/VLOOKUP($R153,Capa!$A:$Z,BI$5,0))))</f>
        <v/>
      </c>
      <c r="BJ155" s="124" t="str">
        <f>IF(BJ$6="","",IF(BJ$3="Maior",iferror(VLOOKUP($R153,Capa!$A:$Z,BJ$5,0),0),IF(ISERROR(1/VLOOKUP($R153,Capa!$A:$Z,BJ$5,0)),0,1/VLOOKUP($R153,Capa!$A:$Z,BJ$5,0))))</f>
        <v/>
      </c>
      <c r="BK155" s="124" t="str">
        <f>IF(BK$6="","",IF(BK$3="Maior",iferror(VLOOKUP($R153,Capa!$A:$Z,BK$5,0),0),IF(ISERROR(1/VLOOKUP($R153,Capa!$A:$Z,BK$5,0)),0,1/VLOOKUP($R153,Capa!$A:$Z,BK$5,0))))</f>
        <v/>
      </c>
      <c r="BL155" s="124" t="str">
        <f>IF(BL$6="","",IF(BL$3="Maior",iferror(VLOOKUP($R153,Capa!$A:$Z,BL$5,0),0),IF(ISERROR(1/VLOOKUP($R153,Capa!$A:$Z,BL$5,0)),0,1/VLOOKUP($R153,Capa!$A:$Z,BL$5,0))))</f>
        <v/>
      </c>
      <c r="BM155" s="124" t="str">
        <f>IF(BM$6="","",IF(BM$3="Maior",iferror(VLOOKUP($R153,Capa!$A:$Z,BM$5,0),0),IF(ISERROR(1/VLOOKUP($R153,Capa!$A:$Z,BM$5,0)),0,1/VLOOKUP($R153,Capa!$A:$Z,BM$5,0))))</f>
        <v/>
      </c>
      <c r="BN155" s="124" t="str">
        <f>IF(BN$6="","",IF(BN$3="Maior",iferror(VLOOKUP($R153,Capa!$A:$Z,BN$5,0),0),IF(ISERROR(1/VLOOKUP($R153,Capa!$A:$Z,BN$5,0)),0,1/VLOOKUP($R153,Capa!$A:$Z,BN$5,0))))</f>
        <v/>
      </c>
      <c r="BO155" s="124" t="str">
        <f>IF(BO$6="","",IF(BO$3="Maior",iferror(VLOOKUP($R153,Capa!$A:$Z,BO$5,0),0),IF(ISERROR(1/VLOOKUP($R153,Capa!$A:$Z,BO$5,0)),0,1/VLOOKUP($R153,Capa!$A:$Z,BO$5,0))))</f>
        <v/>
      </c>
      <c r="BP155" s="124" t="str">
        <f>IF(BP$6="","",IF(BP$3="Maior",iferror(VLOOKUP($R153,Capa!$A:$Z,BP$5,0),0),IF(ISERROR(1/VLOOKUP($R153,Capa!$A:$Z,BP$5,0)),0,1/VLOOKUP($R153,Capa!$A:$Z,BP$5,0))))</f>
        <v/>
      </c>
      <c r="BQ155" s="124" t="str">
        <f>IF(BQ$6="","",IF(BQ$3="Maior",iferror(VLOOKUP($R153,Capa!$A:$Z,BQ$5,0),0),IF(ISERROR(1/VLOOKUP($R153,Capa!$A:$Z,BQ$5,0)),0,1/VLOOKUP($R153,Capa!$A:$Z,BQ$5,0))))</f>
        <v/>
      </c>
      <c r="BR155" s="125" t="str">
        <f>IF(BR$6="","",IF(BR$3="Maior",iferror(VLOOKUP($R153,Capa!$A:$Z,BR$5,0),0),IF(ISERROR(1/VLOOKUP($R153,Capa!$A:$Z,BR$5,0)),0,1/VLOOKUP($R153,Capa!$A:$Z,BR$5,0))))</f>
        <v/>
      </c>
      <c r="BS155" s="88"/>
    </row>
    <row r="156">
      <c r="G156" s="9"/>
      <c r="H156" s="7">
        <v>150.0</v>
      </c>
      <c r="I156" s="111" t="str">
        <f t="shared" si="7"/>
        <v>PRSV11</v>
      </c>
      <c r="J156" s="112" t="str">
        <f>VLOOKUP(I156,Capa!A:G,7,0)</f>
        <v>Lajes Comerciais</v>
      </c>
      <c r="K156" s="113">
        <f t="shared" si="8"/>
        <v>0.5683540467</v>
      </c>
      <c r="L156" s="113">
        <f t="shared" si="9"/>
        <v>0</v>
      </c>
      <c r="M156" s="141"/>
      <c r="N156" s="141"/>
      <c r="O156" s="9"/>
      <c r="P156" s="9"/>
      <c r="Q156" s="9"/>
      <c r="R156" s="115" t="s">
        <v>188</v>
      </c>
      <c r="S156" s="116">
        <f t="shared" si="13"/>
        <v>1123.003687</v>
      </c>
      <c r="T156" s="117">
        <f>MID(VLOOKUP($R156,'Dados ClubeFII'!$A:$AU,23,0),3,100)/1</f>
        <v>39458.79</v>
      </c>
      <c r="U156" s="118">
        <f t="shared" si="14"/>
        <v>36.0036</v>
      </c>
      <c r="V156" s="118">
        <f t="shared" si="15"/>
        <v>87.000087</v>
      </c>
      <c r="W156" s="118" t="str">
        <f t="shared" ref="W156:AS156" si="165">IF(AV156="","", RANK(AV156,AV$7:AV$405,0))</f>
        <v/>
      </c>
      <c r="X156" s="118" t="str">
        <f t="shared" si="165"/>
        <v/>
      </c>
      <c r="Y156" s="118" t="str">
        <f t="shared" si="165"/>
        <v/>
      </c>
      <c r="Z156" s="118" t="str">
        <f t="shared" si="165"/>
        <v/>
      </c>
      <c r="AA156" s="118" t="str">
        <f t="shared" si="165"/>
        <v/>
      </c>
      <c r="AB156" s="118" t="str">
        <f t="shared" si="165"/>
        <v/>
      </c>
      <c r="AC156" s="118" t="str">
        <f t="shared" si="165"/>
        <v/>
      </c>
      <c r="AD156" s="118" t="str">
        <f t="shared" si="165"/>
        <v/>
      </c>
      <c r="AE156" s="118" t="str">
        <f t="shared" si="165"/>
        <v/>
      </c>
      <c r="AF156" s="118" t="str">
        <f t="shared" si="165"/>
        <v/>
      </c>
      <c r="AG156" s="118" t="str">
        <f t="shared" si="165"/>
        <v/>
      </c>
      <c r="AH156" s="118" t="str">
        <f t="shared" si="165"/>
        <v/>
      </c>
      <c r="AI156" s="118" t="str">
        <f t="shared" si="165"/>
        <v/>
      </c>
      <c r="AJ156" s="118" t="str">
        <f t="shared" si="165"/>
        <v/>
      </c>
      <c r="AK156" s="118" t="str">
        <f t="shared" si="165"/>
        <v/>
      </c>
      <c r="AL156" s="118" t="str">
        <f t="shared" si="165"/>
        <v/>
      </c>
      <c r="AM156" s="118" t="str">
        <f t="shared" si="165"/>
        <v/>
      </c>
      <c r="AN156" s="118" t="str">
        <f t="shared" si="165"/>
        <v/>
      </c>
      <c r="AO156" s="118" t="str">
        <f t="shared" si="165"/>
        <v/>
      </c>
      <c r="AP156" s="118" t="str">
        <f t="shared" si="165"/>
        <v/>
      </c>
      <c r="AQ156" s="118" t="str">
        <f t="shared" si="165"/>
        <v/>
      </c>
      <c r="AR156" s="118" t="str">
        <f t="shared" si="165"/>
        <v/>
      </c>
      <c r="AS156" s="118" t="str">
        <f t="shared" si="165"/>
        <v/>
      </c>
      <c r="AT156" s="123">
        <f>IF(AT$6="","",IF(AT$3="Maior",iferror(VLOOKUP($R156,Capa!$A:$Z,AT$5,0),0),IF(ISERROR(1/VLOOKUP($R156,Capa!$A:$Z,AT$5,0)),0,1/VLOOKUP($R156,Capa!$A:$Z,AT$5,0))))</f>
        <v>1.554663009</v>
      </c>
      <c r="AU156" s="124">
        <f>IF(AU$6="","",IF(AU$3="Maior",iferror(VLOOKUP($R156,Capa!$A:$Z,AU$5,0),0),IF(ISERROR(1/VLOOKUP($R156,Capa!$A:$Z,AU$5,0)),0,1/VLOOKUP($R156,Capa!$A:$Z,AU$5,0))))</f>
        <v>0.1139716446</v>
      </c>
      <c r="AV156" s="124" t="str">
        <f>IF(AV$6="","",IF(AV$3="Maior",iferror(VLOOKUP($R154,Capa!$A:$Z,AV$5,0),0),IF(ISERROR(1/VLOOKUP($R154,Capa!$A:$Z,AV$5,0)),0,1/VLOOKUP($R154,Capa!$A:$Z,AV$5,0))))</f>
        <v/>
      </c>
      <c r="AW156" s="124" t="str">
        <f>IF(AW$6="","",IF(AW$3="Maior",iferror(VLOOKUP($R154,Capa!$A:$Z,AW$5,0),0),IF(ISERROR(1/VLOOKUP($R154,Capa!$A:$Z,AW$5,0)),0,1/VLOOKUP($R154,Capa!$A:$Z,AW$5,0))))</f>
        <v/>
      </c>
      <c r="AX156" s="124" t="str">
        <f>IF(AX$6="","",IF(AX$3="Maior",iferror(VLOOKUP($R154,Capa!$A:$Z,AX$5,0),0),IF(ISERROR(1/VLOOKUP($R154,Capa!$A:$Z,AX$5,0)),0,1/VLOOKUP($R154,Capa!$A:$Z,AX$5,0))))</f>
        <v/>
      </c>
      <c r="AY156" s="124" t="str">
        <f>IF(AY$6="","",IF(AY$3="Maior",iferror(VLOOKUP($R154,Capa!$A:$Z,AY$5,0),0),IF(ISERROR(1/VLOOKUP($R154,Capa!$A:$Z,AY$5,0)),0,1/VLOOKUP($R154,Capa!$A:$Z,AY$5,0))))</f>
        <v/>
      </c>
      <c r="AZ156" s="124" t="str">
        <f>IF(AZ$6="","",IF(AZ$3="Maior",iferror(VLOOKUP($R154,Capa!$A:$Z,AZ$5,0),0),IF(ISERROR(1/VLOOKUP($R154,Capa!$A:$Z,AZ$5,0)),0,1/VLOOKUP($R154,Capa!$A:$Z,AZ$5,0))))</f>
        <v/>
      </c>
      <c r="BA156" s="124" t="str">
        <f>IF(BA$6="","",IF(BA$3="Maior",iferror(VLOOKUP($R154,Capa!$A:$Z,BA$5,0),0),IF(ISERROR(1/VLOOKUP($R154,Capa!$A:$Z,BA$5,0)),0,1/VLOOKUP($R154,Capa!$A:$Z,BA$5,0))))</f>
        <v/>
      </c>
      <c r="BB156" s="124" t="str">
        <f>IF(BB$6="","",IF(BB$3="Maior",iferror(VLOOKUP($R154,Capa!$A:$Z,BB$5,0),0),IF(ISERROR(1/VLOOKUP($R154,Capa!$A:$Z,BB$5,0)),0,1/VLOOKUP($R154,Capa!$A:$Z,BB$5,0))))</f>
        <v/>
      </c>
      <c r="BC156" s="124" t="str">
        <f>IF(BC$6="","",IF(BC$3="Maior",iferror(VLOOKUP($R154,Capa!$A:$Z,BC$5,0),0),IF(ISERROR(1/VLOOKUP($R154,Capa!$A:$Z,BC$5,0)),0,1/VLOOKUP($R154,Capa!$A:$Z,BC$5,0))))</f>
        <v/>
      </c>
      <c r="BD156" s="124" t="str">
        <f>IF(BD$6="","",IF(BD$3="Maior",iferror(VLOOKUP($R154,Capa!$A:$Z,BD$5,0),0),IF(ISERROR(1/VLOOKUP($R154,Capa!$A:$Z,BD$5,0)),0,1/VLOOKUP($R154,Capa!$A:$Z,BD$5,0))))</f>
        <v/>
      </c>
      <c r="BE156" s="124" t="str">
        <f>IF(BE$6="","",IF(BE$3="Maior",iferror(VLOOKUP($R154,Capa!$A:$Z,BE$5,0),0),IF(ISERROR(1/VLOOKUP($R154,Capa!$A:$Z,BE$5,0)),0,1/VLOOKUP($R154,Capa!$A:$Z,BE$5,0))))</f>
        <v/>
      </c>
      <c r="BF156" s="124" t="str">
        <f>IF(BF$6="","",IF(BF$3="Maior",iferror(VLOOKUP($R154,Capa!$A:$Z,BF$5,0),0),IF(ISERROR(1/VLOOKUP($R154,Capa!$A:$Z,BF$5,0)),0,1/VLOOKUP($R154,Capa!$A:$Z,BF$5,0))))</f>
        <v/>
      </c>
      <c r="BG156" s="124" t="str">
        <f>IF(BG$6="","",IF(BG$3="Maior",iferror(VLOOKUP($R154,Capa!$A:$Z,BG$5,0),0),IF(ISERROR(1/VLOOKUP($R154,Capa!$A:$Z,BG$5,0)),0,1/VLOOKUP($R154,Capa!$A:$Z,BG$5,0))))</f>
        <v/>
      </c>
      <c r="BH156" s="124" t="str">
        <f>IF(BH$6="","",IF(BH$3="Maior",iferror(VLOOKUP($R154,Capa!$A:$Z,BH$5,0),0),IF(ISERROR(1/VLOOKUP($R154,Capa!$A:$Z,BH$5,0)),0,1/VLOOKUP($R154,Capa!$A:$Z,BH$5,0))))</f>
        <v/>
      </c>
      <c r="BI156" s="124" t="str">
        <f>IF(BI$6="","",IF(BI$3="Maior",iferror(VLOOKUP($R154,Capa!$A:$Z,BI$5,0),0),IF(ISERROR(1/VLOOKUP($R154,Capa!$A:$Z,BI$5,0)),0,1/VLOOKUP($R154,Capa!$A:$Z,BI$5,0))))</f>
        <v/>
      </c>
      <c r="BJ156" s="124" t="str">
        <f>IF(BJ$6="","",IF(BJ$3="Maior",iferror(VLOOKUP($R154,Capa!$A:$Z,BJ$5,0),0),IF(ISERROR(1/VLOOKUP($R154,Capa!$A:$Z,BJ$5,0)),0,1/VLOOKUP($R154,Capa!$A:$Z,BJ$5,0))))</f>
        <v/>
      </c>
      <c r="BK156" s="124" t="str">
        <f>IF(BK$6="","",IF(BK$3="Maior",iferror(VLOOKUP($R154,Capa!$A:$Z,BK$5,0),0),IF(ISERROR(1/VLOOKUP($R154,Capa!$A:$Z,BK$5,0)),0,1/VLOOKUP($R154,Capa!$A:$Z,BK$5,0))))</f>
        <v/>
      </c>
      <c r="BL156" s="124" t="str">
        <f>IF(BL$6="","",IF(BL$3="Maior",iferror(VLOOKUP($R154,Capa!$A:$Z,BL$5,0),0),IF(ISERROR(1/VLOOKUP($R154,Capa!$A:$Z,BL$5,0)),0,1/VLOOKUP($R154,Capa!$A:$Z,BL$5,0))))</f>
        <v/>
      </c>
      <c r="BM156" s="124" t="str">
        <f>IF(BM$6="","",IF(BM$3="Maior",iferror(VLOOKUP($R154,Capa!$A:$Z,BM$5,0),0),IF(ISERROR(1/VLOOKUP($R154,Capa!$A:$Z,BM$5,0)),0,1/VLOOKUP($R154,Capa!$A:$Z,BM$5,0))))</f>
        <v/>
      </c>
      <c r="BN156" s="124" t="str">
        <f>IF(BN$6="","",IF(BN$3="Maior",iferror(VLOOKUP($R154,Capa!$A:$Z,BN$5,0),0),IF(ISERROR(1/VLOOKUP($R154,Capa!$A:$Z,BN$5,0)),0,1/VLOOKUP($R154,Capa!$A:$Z,BN$5,0))))</f>
        <v/>
      </c>
      <c r="BO156" s="124" t="str">
        <f>IF(BO$6="","",IF(BO$3="Maior",iferror(VLOOKUP($R154,Capa!$A:$Z,BO$5,0),0),IF(ISERROR(1/VLOOKUP($R154,Capa!$A:$Z,BO$5,0)),0,1/VLOOKUP($R154,Capa!$A:$Z,BO$5,0))))</f>
        <v/>
      </c>
      <c r="BP156" s="124" t="str">
        <f>IF(BP$6="","",IF(BP$3="Maior",iferror(VLOOKUP($R154,Capa!$A:$Z,BP$5,0),0),IF(ISERROR(1/VLOOKUP($R154,Capa!$A:$Z,BP$5,0)),0,1/VLOOKUP($R154,Capa!$A:$Z,BP$5,0))))</f>
        <v/>
      </c>
      <c r="BQ156" s="124" t="str">
        <f>IF(BQ$6="","",IF(BQ$3="Maior",iferror(VLOOKUP($R154,Capa!$A:$Z,BQ$5,0),0),IF(ISERROR(1/VLOOKUP($R154,Capa!$A:$Z,BQ$5,0)),0,1/VLOOKUP($R154,Capa!$A:$Z,BQ$5,0))))</f>
        <v/>
      </c>
      <c r="BR156" s="125" t="str">
        <f>IF(BR$6="","",IF(BR$3="Maior",iferror(VLOOKUP($R154,Capa!$A:$Z,BR$5,0),0),IF(ISERROR(1/VLOOKUP($R154,Capa!$A:$Z,BR$5,0)),0,1/VLOOKUP($R154,Capa!$A:$Z,BR$5,0))))</f>
        <v/>
      </c>
      <c r="BS156" s="88"/>
    </row>
    <row r="157">
      <c r="G157" s="9"/>
      <c r="H157" s="7">
        <v>151.0</v>
      </c>
      <c r="I157" s="111" t="str">
        <f t="shared" si="7"/>
        <v>BRIM11</v>
      </c>
      <c r="J157" s="112" t="str">
        <f>VLOOKUP(I157,Capa!A:G,7,0)</f>
        <v>Incorporação Residencial</v>
      </c>
      <c r="K157" s="113">
        <f t="shared" si="8"/>
        <v>0.94</v>
      </c>
      <c r="L157" s="113">
        <f t="shared" si="9"/>
        <v>0.1324</v>
      </c>
      <c r="M157" s="141"/>
      <c r="N157" s="141"/>
      <c r="O157" s="9"/>
      <c r="P157" s="9"/>
      <c r="Q157" s="9"/>
      <c r="R157" s="115" t="s">
        <v>189</v>
      </c>
      <c r="S157" s="116">
        <f t="shared" si="13"/>
        <v>1196.002374</v>
      </c>
      <c r="T157" s="117">
        <f>MID(VLOOKUP($R157,'Dados ClubeFII'!$A:$AU,23,0),3,100)/1</f>
        <v>3125.78</v>
      </c>
      <c r="U157" s="118">
        <f t="shared" si="14"/>
        <v>22.0022</v>
      </c>
      <c r="V157" s="118">
        <f t="shared" si="15"/>
        <v>174.000174</v>
      </c>
      <c r="W157" s="118" t="str">
        <f t="shared" ref="W157:AS157" si="166">IF(AV157="","", RANK(AV157,AV$7:AV$405,0))</f>
        <v/>
      </c>
      <c r="X157" s="118" t="str">
        <f t="shared" si="166"/>
        <v/>
      </c>
      <c r="Y157" s="118" t="str">
        <f t="shared" si="166"/>
        <v/>
      </c>
      <c r="Z157" s="118" t="str">
        <f t="shared" si="166"/>
        <v/>
      </c>
      <c r="AA157" s="118" t="str">
        <f t="shared" si="166"/>
        <v/>
      </c>
      <c r="AB157" s="118" t="str">
        <f t="shared" si="166"/>
        <v/>
      </c>
      <c r="AC157" s="118" t="str">
        <f t="shared" si="166"/>
        <v/>
      </c>
      <c r="AD157" s="118" t="str">
        <f t="shared" si="166"/>
        <v/>
      </c>
      <c r="AE157" s="118" t="str">
        <f t="shared" si="166"/>
        <v/>
      </c>
      <c r="AF157" s="118" t="str">
        <f t="shared" si="166"/>
        <v/>
      </c>
      <c r="AG157" s="118" t="str">
        <f t="shared" si="166"/>
        <v/>
      </c>
      <c r="AH157" s="118" t="str">
        <f t="shared" si="166"/>
        <v/>
      </c>
      <c r="AI157" s="118" t="str">
        <f t="shared" si="166"/>
        <v/>
      </c>
      <c r="AJ157" s="118" t="str">
        <f t="shared" si="166"/>
        <v/>
      </c>
      <c r="AK157" s="118" t="str">
        <f t="shared" si="166"/>
        <v/>
      </c>
      <c r="AL157" s="118" t="str">
        <f t="shared" si="166"/>
        <v/>
      </c>
      <c r="AM157" s="118" t="str">
        <f t="shared" si="166"/>
        <v/>
      </c>
      <c r="AN157" s="118" t="str">
        <f t="shared" si="166"/>
        <v/>
      </c>
      <c r="AO157" s="118" t="str">
        <f t="shared" si="166"/>
        <v/>
      </c>
      <c r="AP157" s="118" t="str">
        <f t="shared" si="166"/>
        <v/>
      </c>
      <c r="AQ157" s="118" t="str">
        <f t="shared" si="166"/>
        <v/>
      </c>
      <c r="AR157" s="118" t="str">
        <f t="shared" si="166"/>
        <v/>
      </c>
      <c r="AS157" s="118" t="str">
        <f t="shared" si="166"/>
        <v/>
      </c>
      <c r="AT157" s="123">
        <f>IF(AT$6="","",IF(AT$3="Maior",iferror(VLOOKUP($R157,Capa!$A:$Z,AT$5,0),0),IF(ISERROR(1/VLOOKUP($R157,Capa!$A:$Z,AT$5,0)),0,1/VLOOKUP($R157,Capa!$A:$Z,AT$5,0))))</f>
        <v>1.830169376</v>
      </c>
      <c r="AU157" s="124">
        <f>IF(AU$6="","",IF(AU$3="Maior",iferror(VLOOKUP($R157,Capa!$A:$Z,AU$5,0),0),IF(ISERROR(1/VLOOKUP($R157,Capa!$A:$Z,AU$5,0)),0,1/VLOOKUP($R157,Capa!$A:$Z,AU$5,0))))</f>
        <v>0.03345486542</v>
      </c>
      <c r="AV157" s="124" t="str">
        <f>IF(AV$6="","",IF(AV$3="Maior",iferror(VLOOKUP($R155,Capa!$A:$Z,AV$5,0),0),IF(ISERROR(1/VLOOKUP($R155,Capa!$A:$Z,AV$5,0)),0,1/VLOOKUP($R155,Capa!$A:$Z,AV$5,0))))</f>
        <v/>
      </c>
      <c r="AW157" s="124" t="str">
        <f>IF(AW$6="","",IF(AW$3="Maior",iferror(VLOOKUP($R155,Capa!$A:$Z,AW$5,0),0),IF(ISERROR(1/VLOOKUP($R155,Capa!$A:$Z,AW$5,0)),0,1/VLOOKUP($R155,Capa!$A:$Z,AW$5,0))))</f>
        <v/>
      </c>
      <c r="AX157" s="124" t="str">
        <f>IF(AX$6="","",IF(AX$3="Maior",iferror(VLOOKUP($R155,Capa!$A:$Z,AX$5,0),0),IF(ISERROR(1/VLOOKUP($R155,Capa!$A:$Z,AX$5,0)),0,1/VLOOKUP($R155,Capa!$A:$Z,AX$5,0))))</f>
        <v/>
      </c>
      <c r="AY157" s="124" t="str">
        <f>IF(AY$6="","",IF(AY$3="Maior",iferror(VLOOKUP($R155,Capa!$A:$Z,AY$5,0),0),IF(ISERROR(1/VLOOKUP($R155,Capa!$A:$Z,AY$5,0)),0,1/VLOOKUP($R155,Capa!$A:$Z,AY$5,0))))</f>
        <v/>
      </c>
      <c r="AZ157" s="124" t="str">
        <f>IF(AZ$6="","",IF(AZ$3="Maior",iferror(VLOOKUP($R155,Capa!$A:$Z,AZ$5,0),0),IF(ISERROR(1/VLOOKUP($R155,Capa!$A:$Z,AZ$5,0)),0,1/VLOOKUP($R155,Capa!$A:$Z,AZ$5,0))))</f>
        <v/>
      </c>
      <c r="BA157" s="124" t="str">
        <f>IF(BA$6="","",IF(BA$3="Maior",iferror(VLOOKUP($R155,Capa!$A:$Z,BA$5,0),0),IF(ISERROR(1/VLOOKUP($R155,Capa!$A:$Z,BA$5,0)),0,1/VLOOKUP($R155,Capa!$A:$Z,BA$5,0))))</f>
        <v/>
      </c>
      <c r="BB157" s="124" t="str">
        <f>IF(BB$6="","",IF(BB$3="Maior",iferror(VLOOKUP($R155,Capa!$A:$Z,BB$5,0),0),IF(ISERROR(1/VLOOKUP($R155,Capa!$A:$Z,BB$5,0)),0,1/VLOOKUP($R155,Capa!$A:$Z,BB$5,0))))</f>
        <v/>
      </c>
      <c r="BC157" s="124" t="str">
        <f>IF(BC$6="","",IF(BC$3="Maior",iferror(VLOOKUP($R155,Capa!$A:$Z,BC$5,0),0),IF(ISERROR(1/VLOOKUP($R155,Capa!$A:$Z,BC$5,0)),0,1/VLOOKUP($R155,Capa!$A:$Z,BC$5,0))))</f>
        <v/>
      </c>
      <c r="BD157" s="124" t="str">
        <f>IF(BD$6="","",IF(BD$3="Maior",iferror(VLOOKUP($R155,Capa!$A:$Z,BD$5,0),0),IF(ISERROR(1/VLOOKUP($R155,Capa!$A:$Z,BD$5,0)),0,1/VLOOKUP($R155,Capa!$A:$Z,BD$5,0))))</f>
        <v/>
      </c>
      <c r="BE157" s="124" t="str">
        <f>IF(BE$6="","",IF(BE$3="Maior",iferror(VLOOKUP($R155,Capa!$A:$Z,BE$5,0),0),IF(ISERROR(1/VLOOKUP($R155,Capa!$A:$Z,BE$5,0)),0,1/VLOOKUP($R155,Capa!$A:$Z,BE$5,0))))</f>
        <v/>
      </c>
      <c r="BF157" s="124" t="str">
        <f>IF(BF$6="","",IF(BF$3="Maior",iferror(VLOOKUP($R155,Capa!$A:$Z,BF$5,0),0),IF(ISERROR(1/VLOOKUP($R155,Capa!$A:$Z,BF$5,0)),0,1/VLOOKUP($R155,Capa!$A:$Z,BF$5,0))))</f>
        <v/>
      </c>
      <c r="BG157" s="124" t="str">
        <f>IF(BG$6="","",IF(BG$3="Maior",iferror(VLOOKUP($R155,Capa!$A:$Z,BG$5,0),0),IF(ISERROR(1/VLOOKUP($R155,Capa!$A:$Z,BG$5,0)),0,1/VLOOKUP($R155,Capa!$A:$Z,BG$5,0))))</f>
        <v/>
      </c>
      <c r="BH157" s="124" t="str">
        <f>IF(BH$6="","",IF(BH$3="Maior",iferror(VLOOKUP($R155,Capa!$A:$Z,BH$5,0),0),IF(ISERROR(1/VLOOKUP($R155,Capa!$A:$Z,BH$5,0)),0,1/VLOOKUP($R155,Capa!$A:$Z,BH$5,0))))</f>
        <v/>
      </c>
      <c r="BI157" s="124" t="str">
        <f>IF(BI$6="","",IF(BI$3="Maior",iferror(VLOOKUP($R155,Capa!$A:$Z,BI$5,0),0),IF(ISERROR(1/VLOOKUP($R155,Capa!$A:$Z,BI$5,0)),0,1/VLOOKUP($R155,Capa!$A:$Z,BI$5,0))))</f>
        <v/>
      </c>
      <c r="BJ157" s="124" t="str">
        <f>IF(BJ$6="","",IF(BJ$3="Maior",iferror(VLOOKUP($R155,Capa!$A:$Z,BJ$5,0),0),IF(ISERROR(1/VLOOKUP($R155,Capa!$A:$Z,BJ$5,0)),0,1/VLOOKUP($R155,Capa!$A:$Z,BJ$5,0))))</f>
        <v/>
      </c>
      <c r="BK157" s="124" t="str">
        <f>IF(BK$6="","",IF(BK$3="Maior",iferror(VLOOKUP($R155,Capa!$A:$Z,BK$5,0),0),IF(ISERROR(1/VLOOKUP($R155,Capa!$A:$Z,BK$5,0)),0,1/VLOOKUP($R155,Capa!$A:$Z,BK$5,0))))</f>
        <v/>
      </c>
      <c r="BL157" s="124" t="str">
        <f>IF(BL$6="","",IF(BL$3="Maior",iferror(VLOOKUP($R155,Capa!$A:$Z,BL$5,0),0),IF(ISERROR(1/VLOOKUP($R155,Capa!$A:$Z,BL$5,0)),0,1/VLOOKUP($R155,Capa!$A:$Z,BL$5,0))))</f>
        <v/>
      </c>
      <c r="BM157" s="124" t="str">
        <f>IF(BM$6="","",IF(BM$3="Maior",iferror(VLOOKUP($R155,Capa!$A:$Z,BM$5,0),0),IF(ISERROR(1/VLOOKUP($R155,Capa!$A:$Z,BM$5,0)),0,1/VLOOKUP($R155,Capa!$A:$Z,BM$5,0))))</f>
        <v/>
      </c>
      <c r="BN157" s="124" t="str">
        <f>IF(BN$6="","",IF(BN$3="Maior",iferror(VLOOKUP($R155,Capa!$A:$Z,BN$5,0),0),IF(ISERROR(1/VLOOKUP($R155,Capa!$A:$Z,BN$5,0)),0,1/VLOOKUP($R155,Capa!$A:$Z,BN$5,0))))</f>
        <v/>
      </c>
      <c r="BO157" s="124" t="str">
        <f>IF(BO$6="","",IF(BO$3="Maior",iferror(VLOOKUP($R155,Capa!$A:$Z,BO$5,0),0),IF(ISERROR(1/VLOOKUP($R155,Capa!$A:$Z,BO$5,0)),0,1/VLOOKUP($R155,Capa!$A:$Z,BO$5,0))))</f>
        <v/>
      </c>
      <c r="BP157" s="124" t="str">
        <f>IF(BP$6="","",IF(BP$3="Maior",iferror(VLOOKUP($R155,Capa!$A:$Z,BP$5,0),0),IF(ISERROR(1/VLOOKUP($R155,Capa!$A:$Z,BP$5,0)),0,1/VLOOKUP($R155,Capa!$A:$Z,BP$5,0))))</f>
        <v/>
      </c>
      <c r="BQ157" s="124" t="str">
        <f>IF(BQ$6="","",IF(BQ$3="Maior",iferror(VLOOKUP($R155,Capa!$A:$Z,BQ$5,0),0),IF(ISERROR(1/VLOOKUP($R155,Capa!$A:$Z,BQ$5,0)),0,1/VLOOKUP($R155,Capa!$A:$Z,BQ$5,0))))</f>
        <v/>
      </c>
      <c r="BR157" s="125" t="str">
        <f>IF(BR$6="","",IF(BR$3="Maior",iferror(VLOOKUP($R155,Capa!$A:$Z,BR$5,0),0),IF(ISERROR(1/VLOOKUP($R155,Capa!$A:$Z,BR$5,0)),0,1/VLOOKUP($R155,Capa!$A:$Z,BR$5,0))))</f>
        <v/>
      </c>
      <c r="BS157" s="88"/>
    </row>
    <row r="158">
      <c r="G158" s="9"/>
      <c r="H158" s="7">
        <v>152.0</v>
      </c>
      <c r="I158" s="111" t="str">
        <f t="shared" si="7"/>
        <v>VTLT11</v>
      </c>
      <c r="J158" s="112" t="str">
        <f>VLOOKUP(I158,Capa!A:G,7,0)</f>
        <v>Logisticos</v>
      </c>
      <c r="K158" s="113">
        <f t="shared" si="8"/>
        <v>0.8689887385</v>
      </c>
      <c r="L158" s="113">
        <f t="shared" si="9"/>
        <v>0.1114873052</v>
      </c>
      <c r="M158" s="141"/>
      <c r="N158" s="141"/>
      <c r="O158" s="9"/>
      <c r="P158" s="9"/>
      <c r="Q158" s="9"/>
      <c r="R158" s="115" t="s">
        <v>245</v>
      </c>
      <c r="S158" s="116">
        <f t="shared" si="13"/>
        <v>1367.018781</v>
      </c>
      <c r="T158" s="117">
        <f>MID(VLOOKUP($R158,'Dados ClubeFII'!$A:$AU,23,0),3,100)/1</f>
        <v>0</v>
      </c>
      <c r="U158" s="118">
        <f t="shared" si="14"/>
        <v>186.0186</v>
      </c>
      <c r="V158" s="118">
        <f t="shared" si="15"/>
        <v>181.000181</v>
      </c>
      <c r="W158" s="118" t="str">
        <f t="shared" ref="W158:AS158" si="167">IF(AV158="","", RANK(AV158,AV$7:AV$405,0))</f>
        <v/>
      </c>
      <c r="X158" s="118" t="str">
        <f t="shared" si="167"/>
        <v/>
      </c>
      <c r="Y158" s="118" t="str">
        <f t="shared" si="167"/>
        <v/>
      </c>
      <c r="Z158" s="118" t="str">
        <f t="shared" si="167"/>
        <v/>
      </c>
      <c r="AA158" s="118" t="str">
        <f t="shared" si="167"/>
        <v/>
      </c>
      <c r="AB158" s="118" t="str">
        <f t="shared" si="167"/>
        <v/>
      </c>
      <c r="AC158" s="118" t="str">
        <f t="shared" si="167"/>
        <v/>
      </c>
      <c r="AD158" s="118" t="str">
        <f t="shared" si="167"/>
        <v/>
      </c>
      <c r="AE158" s="118" t="str">
        <f t="shared" si="167"/>
        <v/>
      </c>
      <c r="AF158" s="118" t="str">
        <f t="shared" si="167"/>
        <v/>
      </c>
      <c r="AG158" s="118" t="str">
        <f t="shared" si="167"/>
        <v/>
      </c>
      <c r="AH158" s="118" t="str">
        <f t="shared" si="167"/>
        <v/>
      </c>
      <c r="AI158" s="118" t="str">
        <f t="shared" si="167"/>
        <v/>
      </c>
      <c r="AJ158" s="118" t="str">
        <f t="shared" si="167"/>
        <v/>
      </c>
      <c r="AK158" s="118" t="str">
        <f t="shared" si="167"/>
        <v/>
      </c>
      <c r="AL158" s="118" t="str">
        <f t="shared" si="167"/>
        <v/>
      </c>
      <c r="AM158" s="118" t="str">
        <f t="shared" si="167"/>
        <v/>
      </c>
      <c r="AN158" s="118" t="str">
        <f t="shared" si="167"/>
        <v/>
      </c>
      <c r="AO158" s="118" t="str">
        <f t="shared" si="167"/>
        <v/>
      </c>
      <c r="AP158" s="118" t="str">
        <f t="shared" si="167"/>
        <v/>
      </c>
      <c r="AQ158" s="118" t="str">
        <f t="shared" si="167"/>
        <v/>
      </c>
      <c r="AR158" s="118" t="str">
        <f t="shared" si="167"/>
        <v/>
      </c>
      <c r="AS158" s="118" t="str">
        <f t="shared" si="167"/>
        <v/>
      </c>
      <c r="AT158" s="123">
        <f>IF(AT$6="","",IF(AT$3="Maior",iferror(VLOOKUP($R158,Capa!$A:$Z,AT$5,0),0),IF(ISERROR(1/VLOOKUP($R158,Capa!$A:$Z,AT$5,0)),0,1/VLOOKUP($R158,Capa!$A:$Z,AT$5,0))))</f>
        <v>0</v>
      </c>
      <c r="AU158" s="124">
        <f>IF(AU$6="","",IF(AU$3="Maior",iferror(VLOOKUP($R158,Capa!$A:$Z,AU$5,0),0),IF(ISERROR(1/VLOOKUP($R158,Capa!$A:$Z,AU$5,0)),0,1/VLOOKUP($R158,Capa!$A:$Z,AU$5,0))))</f>
        <v>0</v>
      </c>
      <c r="AV158" s="124" t="str">
        <f>IF(AV$6="","",IF(AV$3="Maior",iferror(VLOOKUP($R156,Capa!$A:$Z,AV$5,0),0),IF(ISERROR(1/VLOOKUP($R156,Capa!$A:$Z,AV$5,0)),0,1/VLOOKUP($R156,Capa!$A:$Z,AV$5,0))))</f>
        <v/>
      </c>
      <c r="AW158" s="124" t="str">
        <f>IF(AW$6="","",IF(AW$3="Maior",iferror(VLOOKUP($R156,Capa!$A:$Z,AW$5,0),0),IF(ISERROR(1/VLOOKUP($R156,Capa!$A:$Z,AW$5,0)),0,1/VLOOKUP($R156,Capa!$A:$Z,AW$5,0))))</f>
        <v/>
      </c>
      <c r="AX158" s="124" t="str">
        <f>IF(AX$6="","",IF(AX$3="Maior",iferror(VLOOKUP($R156,Capa!$A:$Z,AX$5,0),0),IF(ISERROR(1/VLOOKUP($R156,Capa!$A:$Z,AX$5,0)),0,1/VLOOKUP($R156,Capa!$A:$Z,AX$5,0))))</f>
        <v/>
      </c>
      <c r="AY158" s="124" t="str">
        <f>IF(AY$6="","",IF(AY$3="Maior",iferror(VLOOKUP($R156,Capa!$A:$Z,AY$5,0),0),IF(ISERROR(1/VLOOKUP($R156,Capa!$A:$Z,AY$5,0)),0,1/VLOOKUP($R156,Capa!$A:$Z,AY$5,0))))</f>
        <v/>
      </c>
      <c r="AZ158" s="124" t="str">
        <f>IF(AZ$6="","",IF(AZ$3="Maior",iferror(VLOOKUP($R156,Capa!$A:$Z,AZ$5,0),0),IF(ISERROR(1/VLOOKUP($R156,Capa!$A:$Z,AZ$5,0)),0,1/VLOOKUP($R156,Capa!$A:$Z,AZ$5,0))))</f>
        <v/>
      </c>
      <c r="BA158" s="124" t="str">
        <f>IF(BA$6="","",IF(BA$3="Maior",iferror(VLOOKUP($R156,Capa!$A:$Z,BA$5,0),0),IF(ISERROR(1/VLOOKUP($R156,Capa!$A:$Z,BA$5,0)),0,1/VLOOKUP($R156,Capa!$A:$Z,BA$5,0))))</f>
        <v/>
      </c>
      <c r="BB158" s="124" t="str">
        <f>IF(BB$6="","",IF(BB$3="Maior",iferror(VLOOKUP($R156,Capa!$A:$Z,BB$5,0),0),IF(ISERROR(1/VLOOKUP($R156,Capa!$A:$Z,BB$5,0)),0,1/VLOOKUP($R156,Capa!$A:$Z,BB$5,0))))</f>
        <v/>
      </c>
      <c r="BC158" s="124" t="str">
        <f>IF(BC$6="","",IF(BC$3="Maior",iferror(VLOOKUP($R156,Capa!$A:$Z,BC$5,0),0),IF(ISERROR(1/VLOOKUP($R156,Capa!$A:$Z,BC$5,0)),0,1/VLOOKUP($R156,Capa!$A:$Z,BC$5,0))))</f>
        <v/>
      </c>
      <c r="BD158" s="124" t="str">
        <f>IF(BD$6="","",IF(BD$3="Maior",iferror(VLOOKUP($R156,Capa!$A:$Z,BD$5,0),0),IF(ISERROR(1/VLOOKUP($R156,Capa!$A:$Z,BD$5,0)),0,1/VLOOKUP($R156,Capa!$A:$Z,BD$5,0))))</f>
        <v/>
      </c>
      <c r="BE158" s="124" t="str">
        <f>IF(BE$6="","",IF(BE$3="Maior",iferror(VLOOKUP($R156,Capa!$A:$Z,BE$5,0),0),IF(ISERROR(1/VLOOKUP($R156,Capa!$A:$Z,BE$5,0)),0,1/VLOOKUP($R156,Capa!$A:$Z,BE$5,0))))</f>
        <v/>
      </c>
      <c r="BF158" s="124" t="str">
        <f>IF(BF$6="","",IF(BF$3="Maior",iferror(VLOOKUP($R156,Capa!$A:$Z,BF$5,0),0),IF(ISERROR(1/VLOOKUP($R156,Capa!$A:$Z,BF$5,0)),0,1/VLOOKUP($R156,Capa!$A:$Z,BF$5,0))))</f>
        <v/>
      </c>
      <c r="BG158" s="124" t="str">
        <f>IF(BG$6="","",IF(BG$3="Maior",iferror(VLOOKUP($R156,Capa!$A:$Z,BG$5,0),0),IF(ISERROR(1/VLOOKUP($R156,Capa!$A:$Z,BG$5,0)),0,1/VLOOKUP($R156,Capa!$A:$Z,BG$5,0))))</f>
        <v/>
      </c>
      <c r="BH158" s="124" t="str">
        <f>IF(BH$6="","",IF(BH$3="Maior",iferror(VLOOKUP($R156,Capa!$A:$Z,BH$5,0),0),IF(ISERROR(1/VLOOKUP($R156,Capa!$A:$Z,BH$5,0)),0,1/VLOOKUP($R156,Capa!$A:$Z,BH$5,0))))</f>
        <v/>
      </c>
      <c r="BI158" s="124" t="str">
        <f>IF(BI$6="","",IF(BI$3="Maior",iferror(VLOOKUP($R156,Capa!$A:$Z,BI$5,0),0),IF(ISERROR(1/VLOOKUP($R156,Capa!$A:$Z,BI$5,0)),0,1/VLOOKUP($R156,Capa!$A:$Z,BI$5,0))))</f>
        <v/>
      </c>
      <c r="BJ158" s="124" t="str">
        <f>IF(BJ$6="","",IF(BJ$3="Maior",iferror(VLOOKUP($R156,Capa!$A:$Z,BJ$5,0),0),IF(ISERROR(1/VLOOKUP($R156,Capa!$A:$Z,BJ$5,0)),0,1/VLOOKUP($R156,Capa!$A:$Z,BJ$5,0))))</f>
        <v/>
      </c>
      <c r="BK158" s="124" t="str">
        <f>IF(BK$6="","",IF(BK$3="Maior",iferror(VLOOKUP($R156,Capa!$A:$Z,BK$5,0),0),IF(ISERROR(1/VLOOKUP($R156,Capa!$A:$Z,BK$5,0)),0,1/VLOOKUP($R156,Capa!$A:$Z,BK$5,0))))</f>
        <v/>
      </c>
      <c r="BL158" s="124" t="str">
        <f>IF(BL$6="","",IF(BL$3="Maior",iferror(VLOOKUP($R156,Capa!$A:$Z,BL$5,0),0),IF(ISERROR(1/VLOOKUP($R156,Capa!$A:$Z,BL$5,0)),0,1/VLOOKUP($R156,Capa!$A:$Z,BL$5,0))))</f>
        <v/>
      </c>
      <c r="BM158" s="124" t="str">
        <f>IF(BM$6="","",IF(BM$3="Maior",iferror(VLOOKUP($R156,Capa!$A:$Z,BM$5,0),0),IF(ISERROR(1/VLOOKUP($R156,Capa!$A:$Z,BM$5,0)),0,1/VLOOKUP($R156,Capa!$A:$Z,BM$5,0))))</f>
        <v/>
      </c>
      <c r="BN158" s="124" t="str">
        <f>IF(BN$6="","",IF(BN$3="Maior",iferror(VLOOKUP($R156,Capa!$A:$Z,BN$5,0),0),IF(ISERROR(1/VLOOKUP($R156,Capa!$A:$Z,BN$5,0)),0,1/VLOOKUP($R156,Capa!$A:$Z,BN$5,0))))</f>
        <v/>
      </c>
      <c r="BO158" s="124" t="str">
        <f>IF(BO$6="","",IF(BO$3="Maior",iferror(VLOOKUP($R156,Capa!$A:$Z,BO$5,0),0),IF(ISERROR(1/VLOOKUP($R156,Capa!$A:$Z,BO$5,0)),0,1/VLOOKUP($R156,Capa!$A:$Z,BO$5,0))))</f>
        <v/>
      </c>
      <c r="BP158" s="124" t="str">
        <f>IF(BP$6="","",IF(BP$3="Maior",iferror(VLOOKUP($R156,Capa!$A:$Z,BP$5,0),0),IF(ISERROR(1/VLOOKUP($R156,Capa!$A:$Z,BP$5,0)),0,1/VLOOKUP($R156,Capa!$A:$Z,BP$5,0))))</f>
        <v/>
      </c>
      <c r="BQ158" s="124" t="str">
        <f>IF(BQ$6="","",IF(BQ$3="Maior",iferror(VLOOKUP($R156,Capa!$A:$Z,BQ$5,0),0),IF(ISERROR(1/VLOOKUP($R156,Capa!$A:$Z,BQ$5,0)),0,1/VLOOKUP($R156,Capa!$A:$Z,BQ$5,0))))</f>
        <v/>
      </c>
      <c r="BR158" s="125" t="str">
        <f>IF(BR$6="","",IF(BR$3="Maior",iferror(VLOOKUP($R156,Capa!$A:$Z,BR$5,0),0),IF(ISERROR(1/VLOOKUP($R156,Capa!$A:$Z,BR$5,0)),0,1/VLOOKUP($R156,Capa!$A:$Z,BR$5,0))))</f>
        <v/>
      </c>
      <c r="BS158" s="88"/>
    </row>
    <row r="159">
      <c r="G159" s="9"/>
      <c r="H159" s="7">
        <v>153.0</v>
      </c>
      <c r="I159" s="129" t="str">
        <f t="shared" si="7"/>
        <v>HAAA11</v>
      </c>
      <c r="J159" s="112" t="str">
        <f>VLOOKUP(I159,Capa!A:G,7,0)</f>
        <v>Lajes Comerciais</v>
      </c>
      <c r="K159" s="113">
        <f t="shared" si="8"/>
        <v>0.7380462725</v>
      </c>
      <c r="L159" s="113">
        <f t="shared" si="9"/>
        <v>0.07168380463</v>
      </c>
      <c r="M159" s="141"/>
      <c r="N159" s="141"/>
      <c r="O159" s="9"/>
      <c r="P159" s="9"/>
      <c r="Q159" s="9"/>
      <c r="R159" s="115" t="s">
        <v>203</v>
      </c>
      <c r="S159" s="116">
        <f t="shared" si="13"/>
        <v>363.018381</v>
      </c>
      <c r="T159" s="117">
        <f>MID(VLOOKUP($R159,'Dados ClubeFII'!$A:$AU,23,0),3,100)/1</f>
        <v>2508251</v>
      </c>
      <c r="U159" s="118">
        <f t="shared" si="14"/>
        <v>182.0182</v>
      </c>
      <c r="V159" s="118">
        <f t="shared" si="15"/>
        <v>181.000181</v>
      </c>
      <c r="W159" s="118" t="str">
        <f t="shared" ref="W159:AS159" si="168">IF(AV159="","", RANK(AV159,AV$7:AV$405,0))</f>
        <v/>
      </c>
      <c r="X159" s="118" t="str">
        <f t="shared" si="168"/>
        <v/>
      </c>
      <c r="Y159" s="118" t="str">
        <f t="shared" si="168"/>
        <v/>
      </c>
      <c r="Z159" s="118" t="str">
        <f t="shared" si="168"/>
        <v/>
      </c>
      <c r="AA159" s="118" t="str">
        <f t="shared" si="168"/>
        <v/>
      </c>
      <c r="AB159" s="118" t="str">
        <f t="shared" si="168"/>
        <v/>
      </c>
      <c r="AC159" s="118" t="str">
        <f t="shared" si="168"/>
        <v/>
      </c>
      <c r="AD159" s="118" t="str">
        <f t="shared" si="168"/>
        <v/>
      </c>
      <c r="AE159" s="118" t="str">
        <f t="shared" si="168"/>
        <v/>
      </c>
      <c r="AF159" s="118" t="str">
        <f t="shared" si="168"/>
        <v/>
      </c>
      <c r="AG159" s="118" t="str">
        <f t="shared" si="168"/>
        <v/>
      </c>
      <c r="AH159" s="118" t="str">
        <f t="shared" si="168"/>
        <v/>
      </c>
      <c r="AI159" s="118" t="str">
        <f t="shared" si="168"/>
        <v/>
      </c>
      <c r="AJ159" s="118" t="str">
        <f t="shared" si="168"/>
        <v/>
      </c>
      <c r="AK159" s="118" t="str">
        <f t="shared" si="168"/>
        <v/>
      </c>
      <c r="AL159" s="118" t="str">
        <f t="shared" si="168"/>
        <v/>
      </c>
      <c r="AM159" s="118" t="str">
        <f t="shared" si="168"/>
        <v/>
      </c>
      <c r="AN159" s="118" t="str">
        <f t="shared" si="168"/>
        <v/>
      </c>
      <c r="AO159" s="118" t="str">
        <f t="shared" si="168"/>
        <v/>
      </c>
      <c r="AP159" s="118" t="str">
        <f t="shared" si="168"/>
        <v/>
      </c>
      <c r="AQ159" s="118" t="str">
        <f t="shared" si="168"/>
        <v/>
      </c>
      <c r="AR159" s="118" t="str">
        <f t="shared" si="168"/>
        <v/>
      </c>
      <c r="AS159" s="118" t="str">
        <f t="shared" si="168"/>
        <v/>
      </c>
      <c r="AT159" s="123">
        <f>IF(AT$6="","",IF(AT$3="Maior",iferror(VLOOKUP($R159,Capa!$A:$Z,AT$5,0),0),IF(ISERROR(1/VLOOKUP($R159,Capa!$A:$Z,AT$5,0)),0,1/VLOOKUP($R159,Capa!$A:$Z,AT$5,0))))</f>
        <v>0.9465533008</v>
      </c>
      <c r="AU159" s="124">
        <f>IF(AU$6="","",IF(AU$3="Maior",iferror(VLOOKUP($R159,Capa!$A:$Z,AU$5,0),0),IF(ISERROR(1/VLOOKUP($R159,Capa!$A:$Z,AU$5,0)),0,1/VLOOKUP($R159,Capa!$A:$Z,AU$5,0))))</f>
        <v>0</v>
      </c>
      <c r="AV159" s="124" t="str">
        <f>IF(AV$6="","",IF(AV$3="Maior",iferror(VLOOKUP($R157,Capa!$A:$Z,AV$5,0),0),IF(ISERROR(1/VLOOKUP($R157,Capa!$A:$Z,AV$5,0)),0,1/VLOOKUP($R157,Capa!$A:$Z,AV$5,0))))</f>
        <v/>
      </c>
      <c r="AW159" s="124" t="str">
        <f>IF(AW$6="","",IF(AW$3="Maior",iferror(VLOOKUP($R157,Capa!$A:$Z,AW$5,0),0),IF(ISERROR(1/VLOOKUP($R157,Capa!$A:$Z,AW$5,0)),0,1/VLOOKUP($R157,Capa!$A:$Z,AW$5,0))))</f>
        <v/>
      </c>
      <c r="AX159" s="124" t="str">
        <f>IF(AX$6="","",IF(AX$3="Maior",iferror(VLOOKUP($R157,Capa!$A:$Z,AX$5,0),0),IF(ISERROR(1/VLOOKUP($R157,Capa!$A:$Z,AX$5,0)),0,1/VLOOKUP($R157,Capa!$A:$Z,AX$5,0))))</f>
        <v/>
      </c>
      <c r="AY159" s="124" t="str">
        <f>IF(AY$6="","",IF(AY$3="Maior",iferror(VLOOKUP($R157,Capa!$A:$Z,AY$5,0),0),IF(ISERROR(1/VLOOKUP($R157,Capa!$A:$Z,AY$5,0)),0,1/VLOOKUP($R157,Capa!$A:$Z,AY$5,0))))</f>
        <v/>
      </c>
      <c r="AZ159" s="124" t="str">
        <f>IF(AZ$6="","",IF(AZ$3="Maior",iferror(VLOOKUP($R157,Capa!$A:$Z,AZ$5,0),0),IF(ISERROR(1/VLOOKUP($R157,Capa!$A:$Z,AZ$5,0)),0,1/VLOOKUP($R157,Capa!$A:$Z,AZ$5,0))))</f>
        <v/>
      </c>
      <c r="BA159" s="124" t="str">
        <f>IF(BA$6="","",IF(BA$3="Maior",iferror(VLOOKUP($R157,Capa!$A:$Z,BA$5,0),0),IF(ISERROR(1/VLOOKUP($R157,Capa!$A:$Z,BA$5,0)),0,1/VLOOKUP($R157,Capa!$A:$Z,BA$5,0))))</f>
        <v/>
      </c>
      <c r="BB159" s="124" t="str">
        <f>IF(BB$6="","",IF(BB$3="Maior",iferror(VLOOKUP($R157,Capa!$A:$Z,BB$5,0),0),IF(ISERROR(1/VLOOKUP($R157,Capa!$A:$Z,BB$5,0)),0,1/VLOOKUP($R157,Capa!$A:$Z,BB$5,0))))</f>
        <v/>
      </c>
      <c r="BC159" s="124" t="str">
        <f>IF(BC$6="","",IF(BC$3="Maior",iferror(VLOOKUP($R157,Capa!$A:$Z,BC$5,0),0),IF(ISERROR(1/VLOOKUP($R157,Capa!$A:$Z,BC$5,0)),0,1/VLOOKUP($R157,Capa!$A:$Z,BC$5,0))))</f>
        <v/>
      </c>
      <c r="BD159" s="124" t="str">
        <f>IF(BD$6="","",IF(BD$3="Maior",iferror(VLOOKUP($R157,Capa!$A:$Z,BD$5,0),0),IF(ISERROR(1/VLOOKUP($R157,Capa!$A:$Z,BD$5,0)),0,1/VLOOKUP($R157,Capa!$A:$Z,BD$5,0))))</f>
        <v/>
      </c>
      <c r="BE159" s="124" t="str">
        <f>IF(BE$6="","",IF(BE$3="Maior",iferror(VLOOKUP($R157,Capa!$A:$Z,BE$5,0),0),IF(ISERROR(1/VLOOKUP($R157,Capa!$A:$Z,BE$5,0)),0,1/VLOOKUP($R157,Capa!$A:$Z,BE$5,0))))</f>
        <v/>
      </c>
      <c r="BF159" s="124" t="str">
        <f>IF(BF$6="","",IF(BF$3="Maior",iferror(VLOOKUP($R157,Capa!$A:$Z,BF$5,0),0),IF(ISERROR(1/VLOOKUP($R157,Capa!$A:$Z,BF$5,0)),0,1/VLOOKUP($R157,Capa!$A:$Z,BF$5,0))))</f>
        <v/>
      </c>
      <c r="BG159" s="124" t="str">
        <f>IF(BG$6="","",IF(BG$3="Maior",iferror(VLOOKUP($R157,Capa!$A:$Z,BG$5,0),0),IF(ISERROR(1/VLOOKUP($R157,Capa!$A:$Z,BG$5,0)),0,1/VLOOKUP($R157,Capa!$A:$Z,BG$5,0))))</f>
        <v/>
      </c>
      <c r="BH159" s="124" t="str">
        <f>IF(BH$6="","",IF(BH$3="Maior",iferror(VLOOKUP($R157,Capa!$A:$Z,BH$5,0),0),IF(ISERROR(1/VLOOKUP($R157,Capa!$A:$Z,BH$5,0)),0,1/VLOOKUP($R157,Capa!$A:$Z,BH$5,0))))</f>
        <v/>
      </c>
      <c r="BI159" s="124" t="str">
        <f>IF(BI$6="","",IF(BI$3="Maior",iferror(VLOOKUP($R157,Capa!$A:$Z,BI$5,0),0),IF(ISERROR(1/VLOOKUP($R157,Capa!$A:$Z,BI$5,0)),0,1/VLOOKUP($R157,Capa!$A:$Z,BI$5,0))))</f>
        <v/>
      </c>
      <c r="BJ159" s="124" t="str">
        <f>IF(BJ$6="","",IF(BJ$3="Maior",iferror(VLOOKUP($R157,Capa!$A:$Z,BJ$5,0),0),IF(ISERROR(1/VLOOKUP($R157,Capa!$A:$Z,BJ$5,0)),0,1/VLOOKUP($R157,Capa!$A:$Z,BJ$5,0))))</f>
        <v/>
      </c>
      <c r="BK159" s="124" t="str">
        <f>IF(BK$6="","",IF(BK$3="Maior",iferror(VLOOKUP($R157,Capa!$A:$Z,BK$5,0),0),IF(ISERROR(1/VLOOKUP($R157,Capa!$A:$Z,BK$5,0)),0,1/VLOOKUP($R157,Capa!$A:$Z,BK$5,0))))</f>
        <v/>
      </c>
      <c r="BL159" s="124" t="str">
        <f>IF(BL$6="","",IF(BL$3="Maior",iferror(VLOOKUP($R157,Capa!$A:$Z,BL$5,0),0),IF(ISERROR(1/VLOOKUP($R157,Capa!$A:$Z,BL$5,0)),0,1/VLOOKUP($R157,Capa!$A:$Z,BL$5,0))))</f>
        <v/>
      </c>
      <c r="BM159" s="124" t="str">
        <f>IF(BM$6="","",IF(BM$3="Maior",iferror(VLOOKUP($R157,Capa!$A:$Z,BM$5,0),0),IF(ISERROR(1/VLOOKUP($R157,Capa!$A:$Z,BM$5,0)),0,1/VLOOKUP($R157,Capa!$A:$Z,BM$5,0))))</f>
        <v/>
      </c>
      <c r="BN159" s="124" t="str">
        <f>IF(BN$6="","",IF(BN$3="Maior",iferror(VLOOKUP($R157,Capa!$A:$Z,BN$5,0),0),IF(ISERROR(1/VLOOKUP($R157,Capa!$A:$Z,BN$5,0)),0,1/VLOOKUP($R157,Capa!$A:$Z,BN$5,0))))</f>
        <v/>
      </c>
      <c r="BO159" s="124" t="str">
        <f>IF(BO$6="","",IF(BO$3="Maior",iferror(VLOOKUP($R157,Capa!$A:$Z,BO$5,0),0),IF(ISERROR(1/VLOOKUP($R157,Capa!$A:$Z,BO$5,0)),0,1/VLOOKUP($R157,Capa!$A:$Z,BO$5,0))))</f>
        <v/>
      </c>
      <c r="BP159" s="124" t="str">
        <f>IF(BP$6="","",IF(BP$3="Maior",iferror(VLOOKUP($R157,Capa!$A:$Z,BP$5,0),0),IF(ISERROR(1/VLOOKUP($R157,Capa!$A:$Z,BP$5,0)),0,1/VLOOKUP($R157,Capa!$A:$Z,BP$5,0))))</f>
        <v/>
      </c>
      <c r="BQ159" s="124" t="str">
        <f>IF(BQ$6="","",IF(BQ$3="Maior",iferror(VLOOKUP($R157,Capa!$A:$Z,BQ$5,0),0),IF(ISERROR(1/VLOOKUP($R157,Capa!$A:$Z,BQ$5,0)),0,1/VLOOKUP($R157,Capa!$A:$Z,BQ$5,0))))</f>
        <v/>
      </c>
      <c r="BR159" s="125" t="str">
        <f>IF(BR$6="","",IF(BR$3="Maior",iferror(VLOOKUP($R157,Capa!$A:$Z,BR$5,0),0),IF(ISERROR(1/VLOOKUP($R157,Capa!$A:$Z,BR$5,0)),0,1/VLOOKUP($R157,Capa!$A:$Z,BR$5,0))))</f>
        <v/>
      </c>
      <c r="BS159" s="88"/>
    </row>
    <row r="160">
      <c r="G160" s="9"/>
      <c r="H160" s="7">
        <v>154.0</v>
      </c>
      <c r="I160" s="111" t="str">
        <f t="shared" si="7"/>
        <v>HCRI11</v>
      </c>
      <c r="J160" s="112" t="str">
        <f>VLOOKUP(I160,Capa!A:G,7,0)</f>
        <v>Hospital</v>
      </c>
      <c r="K160" s="113">
        <f t="shared" si="8"/>
        <v>0.7833715586</v>
      </c>
      <c r="L160" s="113">
        <f t="shared" si="9"/>
        <v>0.08751084912</v>
      </c>
      <c r="M160" s="141"/>
      <c r="N160" s="141"/>
      <c r="O160" s="9"/>
      <c r="P160" s="9"/>
      <c r="Q160" s="9"/>
      <c r="R160" s="127" t="s">
        <v>78</v>
      </c>
      <c r="S160" s="116">
        <f t="shared" si="13"/>
        <v>1131.012209</v>
      </c>
      <c r="T160" s="117">
        <f>MID(VLOOKUP($R160,'Dados ClubeFII'!$A:$AU,23,0),3,100)/1</f>
        <v>131680.87</v>
      </c>
      <c r="U160" s="118">
        <f t="shared" si="14"/>
        <v>122.0122</v>
      </c>
      <c r="V160" s="118">
        <f t="shared" si="15"/>
        <v>9.000009</v>
      </c>
      <c r="W160" s="118" t="str">
        <f t="shared" ref="W160:AS160" si="169">IF(AV160="","", RANK(AV160,AV$7:AV$405,0))</f>
        <v/>
      </c>
      <c r="X160" s="118" t="str">
        <f t="shared" si="169"/>
        <v/>
      </c>
      <c r="Y160" s="118" t="str">
        <f t="shared" si="169"/>
        <v/>
      </c>
      <c r="Z160" s="118" t="str">
        <f t="shared" si="169"/>
        <v/>
      </c>
      <c r="AA160" s="118" t="str">
        <f t="shared" si="169"/>
        <v/>
      </c>
      <c r="AB160" s="118" t="str">
        <f t="shared" si="169"/>
        <v/>
      </c>
      <c r="AC160" s="118" t="str">
        <f t="shared" si="169"/>
        <v/>
      </c>
      <c r="AD160" s="118" t="str">
        <f t="shared" si="169"/>
        <v/>
      </c>
      <c r="AE160" s="118" t="str">
        <f t="shared" si="169"/>
        <v/>
      </c>
      <c r="AF160" s="118" t="str">
        <f t="shared" si="169"/>
        <v/>
      </c>
      <c r="AG160" s="118" t="str">
        <f t="shared" si="169"/>
        <v/>
      </c>
      <c r="AH160" s="118" t="str">
        <f t="shared" si="169"/>
        <v/>
      </c>
      <c r="AI160" s="118" t="str">
        <f t="shared" si="169"/>
        <v/>
      </c>
      <c r="AJ160" s="118" t="str">
        <f t="shared" si="169"/>
        <v/>
      </c>
      <c r="AK160" s="118" t="str">
        <f t="shared" si="169"/>
        <v/>
      </c>
      <c r="AL160" s="118" t="str">
        <f t="shared" si="169"/>
        <v/>
      </c>
      <c r="AM160" s="118" t="str">
        <f t="shared" si="169"/>
        <v/>
      </c>
      <c r="AN160" s="118" t="str">
        <f t="shared" si="169"/>
        <v/>
      </c>
      <c r="AO160" s="118" t="str">
        <f t="shared" si="169"/>
        <v/>
      </c>
      <c r="AP160" s="118" t="str">
        <f t="shared" si="169"/>
        <v/>
      </c>
      <c r="AQ160" s="118" t="str">
        <f t="shared" si="169"/>
        <v/>
      </c>
      <c r="AR160" s="118" t="str">
        <f t="shared" si="169"/>
        <v/>
      </c>
      <c r="AS160" s="118" t="str">
        <f t="shared" si="169"/>
        <v/>
      </c>
      <c r="AT160" s="123">
        <f>IF(AT$6="","",IF(AT$3="Maior",iferror(VLOOKUP($R160,Capa!$A:$Z,AT$5,0),0),IF(ISERROR(1/VLOOKUP($R160,Capa!$A:$Z,AT$5,0)),0,1/VLOOKUP($R160,Capa!$A:$Z,AT$5,0))))</f>
        <v>1.149135667</v>
      </c>
      <c r="AU160" s="124">
        <f>IF(AU$6="","",IF(AU$3="Maior",iferror(VLOOKUP($R160,Capa!$A:$Z,AU$5,0),0),IF(ISERROR(1/VLOOKUP($R160,Capa!$A:$Z,AU$5,0)),0,1/VLOOKUP($R160,Capa!$A:$Z,AU$5,0))))</f>
        <v>0.1630893289</v>
      </c>
      <c r="AV160" s="124" t="str">
        <f>IF(AV$6="","",IF(AV$3="Maior",iferror(VLOOKUP($R158,Capa!$A:$Z,AV$5,0),0),IF(ISERROR(1/VLOOKUP($R158,Capa!$A:$Z,AV$5,0)),0,1/VLOOKUP($R158,Capa!$A:$Z,AV$5,0))))</f>
        <v/>
      </c>
      <c r="AW160" s="124" t="str">
        <f>IF(AW$6="","",IF(AW$3="Maior",iferror(VLOOKUP($R158,Capa!$A:$Z,AW$5,0),0),IF(ISERROR(1/VLOOKUP($R158,Capa!$A:$Z,AW$5,0)),0,1/VLOOKUP($R158,Capa!$A:$Z,AW$5,0))))</f>
        <v/>
      </c>
      <c r="AX160" s="124" t="str">
        <f>IF(AX$6="","",IF(AX$3="Maior",iferror(VLOOKUP($R158,Capa!$A:$Z,AX$5,0),0),IF(ISERROR(1/VLOOKUP($R158,Capa!$A:$Z,AX$5,0)),0,1/VLOOKUP($R158,Capa!$A:$Z,AX$5,0))))</f>
        <v/>
      </c>
      <c r="AY160" s="124" t="str">
        <f>IF(AY$6="","",IF(AY$3="Maior",iferror(VLOOKUP($R158,Capa!$A:$Z,AY$5,0),0),IF(ISERROR(1/VLOOKUP($R158,Capa!$A:$Z,AY$5,0)),0,1/VLOOKUP($R158,Capa!$A:$Z,AY$5,0))))</f>
        <v/>
      </c>
      <c r="AZ160" s="124" t="str">
        <f>IF(AZ$6="","",IF(AZ$3="Maior",iferror(VLOOKUP($R158,Capa!$A:$Z,AZ$5,0),0),IF(ISERROR(1/VLOOKUP($R158,Capa!$A:$Z,AZ$5,0)),0,1/VLOOKUP($R158,Capa!$A:$Z,AZ$5,0))))</f>
        <v/>
      </c>
      <c r="BA160" s="124" t="str">
        <f>IF(BA$6="","",IF(BA$3="Maior",iferror(VLOOKUP($R158,Capa!$A:$Z,BA$5,0),0),IF(ISERROR(1/VLOOKUP($R158,Capa!$A:$Z,BA$5,0)),0,1/VLOOKUP($R158,Capa!$A:$Z,BA$5,0))))</f>
        <v/>
      </c>
      <c r="BB160" s="124" t="str">
        <f>IF(BB$6="","",IF(BB$3="Maior",iferror(VLOOKUP($R158,Capa!$A:$Z,BB$5,0),0),IF(ISERROR(1/VLOOKUP($R158,Capa!$A:$Z,BB$5,0)),0,1/VLOOKUP($R158,Capa!$A:$Z,BB$5,0))))</f>
        <v/>
      </c>
      <c r="BC160" s="124" t="str">
        <f>IF(BC$6="","",IF(BC$3="Maior",iferror(VLOOKUP($R158,Capa!$A:$Z,BC$5,0),0),IF(ISERROR(1/VLOOKUP($R158,Capa!$A:$Z,BC$5,0)),0,1/VLOOKUP($R158,Capa!$A:$Z,BC$5,0))))</f>
        <v/>
      </c>
      <c r="BD160" s="124" t="str">
        <f>IF(BD$6="","",IF(BD$3="Maior",iferror(VLOOKUP($R158,Capa!$A:$Z,BD$5,0),0),IF(ISERROR(1/VLOOKUP($R158,Capa!$A:$Z,BD$5,0)),0,1/VLOOKUP($R158,Capa!$A:$Z,BD$5,0))))</f>
        <v/>
      </c>
      <c r="BE160" s="124" t="str">
        <f>IF(BE$6="","",IF(BE$3="Maior",iferror(VLOOKUP($R158,Capa!$A:$Z,BE$5,0),0),IF(ISERROR(1/VLOOKUP($R158,Capa!$A:$Z,BE$5,0)),0,1/VLOOKUP($R158,Capa!$A:$Z,BE$5,0))))</f>
        <v/>
      </c>
      <c r="BF160" s="124" t="str">
        <f>IF(BF$6="","",IF(BF$3="Maior",iferror(VLOOKUP($R158,Capa!$A:$Z,BF$5,0),0),IF(ISERROR(1/VLOOKUP($R158,Capa!$A:$Z,BF$5,0)),0,1/VLOOKUP($R158,Capa!$A:$Z,BF$5,0))))</f>
        <v/>
      </c>
      <c r="BG160" s="124" t="str">
        <f>IF(BG$6="","",IF(BG$3="Maior",iferror(VLOOKUP($R158,Capa!$A:$Z,BG$5,0),0),IF(ISERROR(1/VLOOKUP($R158,Capa!$A:$Z,BG$5,0)),0,1/VLOOKUP($R158,Capa!$A:$Z,BG$5,0))))</f>
        <v/>
      </c>
      <c r="BH160" s="124" t="str">
        <f>IF(BH$6="","",IF(BH$3="Maior",iferror(VLOOKUP($R158,Capa!$A:$Z,BH$5,0),0),IF(ISERROR(1/VLOOKUP($R158,Capa!$A:$Z,BH$5,0)),0,1/VLOOKUP($R158,Capa!$A:$Z,BH$5,0))))</f>
        <v/>
      </c>
      <c r="BI160" s="124" t="str">
        <f>IF(BI$6="","",IF(BI$3="Maior",iferror(VLOOKUP($R158,Capa!$A:$Z,BI$5,0),0),IF(ISERROR(1/VLOOKUP($R158,Capa!$A:$Z,BI$5,0)),0,1/VLOOKUP($R158,Capa!$A:$Z,BI$5,0))))</f>
        <v/>
      </c>
      <c r="BJ160" s="124" t="str">
        <f>IF(BJ$6="","",IF(BJ$3="Maior",iferror(VLOOKUP($R158,Capa!$A:$Z,BJ$5,0),0),IF(ISERROR(1/VLOOKUP($R158,Capa!$A:$Z,BJ$5,0)),0,1/VLOOKUP($R158,Capa!$A:$Z,BJ$5,0))))</f>
        <v/>
      </c>
      <c r="BK160" s="124" t="str">
        <f>IF(BK$6="","",IF(BK$3="Maior",iferror(VLOOKUP($R158,Capa!$A:$Z,BK$5,0),0),IF(ISERROR(1/VLOOKUP($R158,Capa!$A:$Z,BK$5,0)),0,1/VLOOKUP($R158,Capa!$A:$Z,BK$5,0))))</f>
        <v/>
      </c>
      <c r="BL160" s="124" t="str">
        <f>IF(BL$6="","",IF(BL$3="Maior",iferror(VLOOKUP($R158,Capa!$A:$Z,BL$5,0),0),IF(ISERROR(1/VLOOKUP($R158,Capa!$A:$Z,BL$5,0)),0,1/VLOOKUP($R158,Capa!$A:$Z,BL$5,0))))</f>
        <v/>
      </c>
      <c r="BM160" s="124" t="str">
        <f>IF(BM$6="","",IF(BM$3="Maior",iferror(VLOOKUP($R158,Capa!$A:$Z,BM$5,0),0),IF(ISERROR(1/VLOOKUP($R158,Capa!$A:$Z,BM$5,0)),0,1/VLOOKUP($R158,Capa!$A:$Z,BM$5,0))))</f>
        <v/>
      </c>
      <c r="BN160" s="124" t="str">
        <f>IF(BN$6="","",IF(BN$3="Maior",iferror(VLOOKUP($R158,Capa!$A:$Z,BN$5,0),0),IF(ISERROR(1/VLOOKUP($R158,Capa!$A:$Z,BN$5,0)),0,1/VLOOKUP($R158,Capa!$A:$Z,BN$5,0))))</f>
        <v/>
      </c>
      <c r="BO160" s="124" t="str">
        <f>IF(BO$6="","",IF(BO$3="Maior",iferror(VLOOKUP($R158,Capa!$A:$Z,BO$5,0),0),IF(ISERROR(1/VLOOKUP($R158,Capa!$A:$Z,BO$5,0)),0,1/VLOOKUP($R158,Capa!$A:$Z,BO$5,0))))</f>
        <v/>
      </c>
      <c r="BP160" s="124" t="str">
        <f>IF(BP$6="","",IF(BP$3="Maior",iferror(VLOOKUP($R158,Capa!$A:$Z,BP$5,0),0),IF(ISERROR(1/VLOOKUP($R158,Capa!$A:$Z,BP$5,0)),0,1/VLOOKUP($R158,Capa!$A:$Z,BP$5,0))))</f>
        <v/>
      </c>
      <c r="BQ160" s="124" t="str">
        <f>IF(BQ$6="","",IF(BQ$3="Maior",iferror(VLOOKUP($R158,Capa!$A:$Z,BQ$5,0),0),IF(ISERROR(1/VLOOKUP($R158,Capa!$A:$Z,BQ$5,0)),0,1/VLOOKUP($R158,Capa!$A:$Z,BQ$5,0))))</f>
        <v/>
      </c>
      <c r="BR160" s="125" t="str">
        <f>IF(BR$6="","",IF(BR$3="Maior",iferror(VLOOKUP($R158,Capa!$A:$Z,BR$5,0),0),IF(ISERROR(1/VLOOKUP($R158,Capa!$A:$Z,BR$5,0)),0,1/VLOOKUP($R158,Capa!$A:$Z,BR$5,0))))</f>
        <v/>
      </c>
      <c r="BS160" s="88"/>
    </row>
    <row r="161">
      <c r="G161" s="9"/>
      <c r="H161" s="7">
        <v>155.0</v>
      </c>
      <c r="I161" s="129" t="str">
        <f t="shared" si="7"/>
        <v>FLMA11</v>
      </c>
      <c r="J161" s="112" t="str">
        <f>VLOOKUP(I161,Capa!A:G,7,0)</f>
        <v>Lajes Comerciais</v>
      </c>
      <c r="K161" s="113">
        <f t="shared" si="8"/>
        <v>0.760885425</v>
      </c>
      <c r="L161" s="113">
        <f t="shared" si="9"/>
        <v>0.08057581552</v>
      </c>
      <c r="M161" s="141"/>
      <c r="N161" s="141"/>
      <c r="O161" s="9"/>
      <c r="P161" s="9"/>
      <c r="Q161" s="9"/>
      <c r="R161" s="127" t="s">
        <v>126</v>
      </c>
      <c r="S161" s="116">
        <f t="shared" si="13"/>
        <v>1215.005759</v>
      </c>
      <c r="T161" s="117">
        <f>MID(VLOOKUP($R161,'Dados ClubeFII'!$A:$AU,23,0),3,100)/1</f>
        <v>2022.11</v>
      </c>
      <c r="U161" s="118">
        <f t="shared" si="14"/>
        <v>56.0056</v>
      </c>
      <c r="V161" s="118">
        <f t="shared" si="15"/>
        <v>159.000159</v>
      </c>
      <c r="W161" s="118" t="str">
        <f t="shared" ref="W161:AS161" si="170">IF(AV161="","", RANK(AV161,AV$7:AV$405,0))</f>
        <v/>
      </c>
      <c r="X161" s="118" t="str">
        <f t="shared" si="170"/>
        <v/>
      </c>
      <c r="Y161" s="118" t="str">
        <f t="shared" si="170"/>
        <v/>
      </c>
      <c r="Z161" s="118" t="str">
        <f t="shared" si="170"/>
        <v/>
      </c>
      <c r="AA161" s="118" t="str">
        <f t="shared" si="170"/>
        <v/>
      </c>
      <c r="AB161" s="118" t="str">
        <f t="shared" si="170"/>
        <v/>
      </c>
      <c r="AC161" s="118" t="str">
        <f t="shared" si="170"/>
        <v/>
      </c>
      <c r="AD161" s="118" t="str">
        <f t="shared" si="170"/>
        <v/>
      </c>
      <c r="AE161" s="118" t="str">
        <f t="shared" si="170"/>
        <v/>
      </c>
      <c r="AF161" s="118" t="str">
        <f t="shared" si="170"/>
        <v/>
      </c>
      <c r="AG161" s="118" t="str">
        <f t="shared" si="170"/>
        <v/>
      </c>
      <c r="AH161" s="118" t="str">
        <f t="shared" si="170"/>
        <v/>
      </c>
      <c r="AI161" s="118" t="str">
        <f t="shared" si="170"/>
        <v/>
      </c>
      <c r="AJ161" s="118" t="str">
        <f t="shared" si="170"/>
        <v/>
      </c>
      <c r="AK161" s="118" t="str">
        <f t="shared" si="170"/>
        <v/>
      </c>
      <c r="AL161" s="118" t="str">
        <f t="shared" si="170"/>
        <v/>
      </c>
      <c r="AM161" s="118" t="str">
        <f t="shared" si="170"/>
        <v/>
      </c>
      <c r="AN161" s="118" t="str">
        <f t="shared" si="170"/>
        <v/>
      </c>
      <c r="AO161" s="118" t="str">
        <f t="shared" si="170"/>
        <v/>
      </c>
      <c r="AP161" s="118" t="str">
        <f t="shared" si="170"/>
        <v/>
      </c>
      <c r="AQ161" s="118" t="str">
        <f t="shared" si="170"/>
        <v/>
      </c>
      <c r="AR161" s="118" t="str">
        <f t="shared" si="170"/>
        <v/>
      </c>
      <c r="AS161" s="118" t="str">
        <f t="shared" si="170"/>
        <v/>
      </c>
      <c r="AT161" s="123">
        <f>IF(AT$6="","",IF(AT$3="Maior",iferror(VLOOKUP($R161,Capa!$A:$Z,AT$5,0),0),IF(ISERROR(1/VLOOKUP($R161,Capa!$A:$Z,AT$5,0)),0,1/VLOOKUP($R161,Capa!$A:$Z,AT$5,0))))</f>
        <v>1.354928596</v>
      </c>
      <c r="AU161" s="124">
        <f>IF(AU$6="","",IF(AU$3="Maior",iferror(VLOOKUP($R161,Capa!$A:$Z,AU$5,0),0),IF(ISERROR(1/VLOOKUP($R161,Capa!$A:$Z,AU$5,0)),0,1/VLOOKUP($R161,Capa!$A:$Z,AU$5,0))))</f>
        <v>0.07168380463</v>
      </c>
      <c r="AV161" s="124" t="str">
        <f>IF(AV$6="","",IF(AV$3="Maior",iferror(VLOOKUP($R159,Capa!$A:$Z,AV$5,0),0),IF(ISERROR(1/VLOOKUP($R159,Capa!$A:$Z,AV$5,0)),0,1/VLOOKUP($R159,Capa!$A:$Z,AV$5,0))))</f>
        <v/>
      </c>
      <c r="AW161" s="124" t="str">
        <f>IF(AW$6="","",IF(AW$3="Maior",iferror(VLOOKUP($R159,Capa!$A:$Z,AW$5,0),0),IF(ISERROR(1/VLOOKUP($R159,Capa!$A:$Z,AW$5,0)),0,1/VLOOKUP($R159,Capa!$A:$Z,AW$5,0))))</f>
        <v/>
      </c>
      <c r="AX161" s="124" t="str">
        <f>IF(AX$6="","",IF(AX$3="Maior",iferror(VLOOKUP($R159,Capa!$A:$Z,AX$5,0),0),IF(ISERROR(1/VLOOKUP($R159,Capa!$A:$Z,AX$5,0)),0,1/VLOOKUP($R159,Capa!$A:$Z,AX$5,0))))</f>
        <v/>
      </c>
      <c r="AY161" s="124" t="str">
        <f>IF(AY$6="","",IF(AY$3="Maior",iferror(VLOOKUP($R159,Capa!$A:$Z,AY$5,0),0),IF(ISERROR(1/VLOOKUP($R159,Capa!$A:$Z,AY$5,0)),0,1/VLOOKUP($R159,Capa!$A:$Z,AY$5,0))))</f>
        <v/>
      </c>
      <c r="AZ161" s="124" t="str">
        <f>IF(AZ$6="","",IF(AZ$3="Maior",iferror(VLOOKUP($R159,Capa!$A:$Z,AZ$5,0),0),IF(ISERROR(1/VLOOKUP($R159,Capa!$A:$Z,AZ$5,0)),0,1/VLOOKUP($R159,Capa!$A:$Z,AZ$5,0))))</f>
        <v/>
      </c>
      <c r="BA161" s="124" t="str">
        <f>IF(BA$6="","",IF(BA$3="Maior",iferror(VLOOKUP($R159,Capa!$A:$Z,BA$5,0),0),IF(ISERROR(1/VLOOKUP($R159,Capa!$A:$Z,BA$5,0)),0,1/VLOOKUP($R159,Capa!$A:$Z,BA$5,0))))</f>
        <v/>
      </c>
      <c r="BB161" s="124" t="str">
        <f>IF(BB$6="","",IF(BB$3="Maior",iferror(VLOOKUP($R159,Capa!$A:$Z,BB$5,0),0),IF(ISERROR(1/VLOOKUP($R159,Capa!$A:$Z,BB$5,0)),0,1/VLOOKUP($R159,Capa!$A:$Z,BB$5,0))))</f>
        <v/>
      </c>
      <c r="BC161" s="124" t="str">
        <f>IF(BC$6="","",IF(BC$3="Maior",iferror(VLOOKUP($R159,Capa!$A:$Z,BC$5,0),0),IF(ISERROR(1/VLOOKUP($R159,Capa!$A:$Z,BC$5,0)),0,1/VLOOKUP($R159,Capa!$A:$Z,BC$5,0))))</f>
        <v/>
      </c>
      <c r="BD161" s="124" t="str">
        <f>IF(BD$6="","",IF(BD$3="Maior",iferror(VLOOKUP($R159,Capa!$A:$Z,BD$5,0),0),IF(ISERROR(1/VLOOKUP($R159,Capa!$A:$Z,BD$5,0)),0,1/VLOOKUP($R159,Capa!$A:$Z,BD$5,0))))</f>
        <v/>
      </c>
      <c r="BE161" s="124" t="str">
        <f>IF(BE$6="","",IF(BE$3="Maior",iferror(VLOOKUP($R159,Capa!$A:$Z,BE$5,0),0),IF(ISERROR(1/VLOOKUP($R159,Capa!$A:$Z,BE$5,0)),0,1/VLOOKUP($R159,Capa!$A:$Z,BE$5,0))))</f>
        <v/>
      </c>
      <c r="BF161" s="124" t="str">
        <f>IF(BF$6="","",IF(BF$3="Maior",iferror(VLOOKUP($R159,Capa!$A:$Z,BF$5,0),0),IF(ISERROR(1/VLOOKUP($R159,Capa!$A:$Z,BF$5,0)),0,1/VLOOKUP($R159,Capa!$A:$Z,BF$5,0))))</f>
        <v/>
      </c>
      <c r="BG161" s="124" t="str">
        <f>IF(BG$6="","",IF(BG$3="Maior",iferror(VLOOKUP($R159,Capa!$A:$Z,BG$5,0),0),IF(ISERROR(1/VLOOKUP($R159,Capa!$A:$Z,BG$5,0)),0,1/VLOOKUP($R159,Capa!$A:$Z,BG$5,0))))</f>
        <v/>
      </c>
      <c r="BH161" s="124" t="str">
        <f>IF(BH$6="","",IF(BH$3="Maior",iferror(VLOOKUP($R159,Capa!$A:$Z,BH$5,0),0),IF(ISERROR(1/VLOOKUP($R159,Capa!$A:$Z,BH$5,0)),0,1/VLOOKUP($R159,Capa!$A:$Z,BH$5,0))))</f>
        <v/>
      </c>
      <c r="BI161" s="124" t="str">
        <f>IF(BI$6="","",IF(BI$3="Maior",iferror(VLOOKUP($R159,Capa!$A:$Z,BI$5,0),0),IF(ISERROR(1/VLOOKUP($R159,Capa!$A:$Z,BI$5,0)),0,1/VLOOKUP($R159,Capa!$A:$Z,BI$5,0))))</f>
        <v/>
      </c>
      <c r="BJ161" s="124" t="str">
        <f>IF(BJ$6="","",IF(BJ$3="Maior",iferror(VLOOKUP($R159,Capa!$A:$Z,BJ$5,0),0),IF(ISERROR(1/VLOOKUP($R159,Capa!$A:$Z,BJ$5,0)),0,1/VLOOKUP($R159,Capa!$A:$Z,BJ$5,0))))</f>
        <v/>
      </c>
      <c r="BK161" s="124" t="str">
        <f>IF(BK$6="","",IF(BK$3="Maior",iferror(VLOOKUP($R159,Capa!$A:$Z,BK$5,0),0),IF(ISERROR(1/VLOOKUP($R159,Capa!$A:$Z,BK$5,0)),0,1/VLOOKUP($R159,Capa!$A:$Z,BK$5,0))))</f>
        <v/>
      </c>
      <c r="BL161" s="124" t="str">
        <f>IF(BL$6="","",IF(BL$3="Maior",iferror(VLOOKUP($R159,Capa!$A:$Z,BL$5,0),0),IF(ISERROR(1/VLOOKUP($R159,Capa!$A:$Z,BL$5,0)),0,1/VLOOKUP($R159,Capa!$A:$Z,BL$5,0))))</f>
        <v/>
      </c>
      <c r="BM161" s="124" t="str">
        <f>IF(BM$6="","",IF(BM$3="Maior",iferror(VLOOKUP($R159,Capa!$A:$Z,BM$5,0),0),IF(ISERROR(1/VLOOKUP($R159,Capa!$A:$Z,BM$5,0)),0,1/VLOOKUP($R159,Capa!$A:$Z,BM$5,0))))</f>
        <v/>
      </c>
      <c r="BN161" s="124" t="str">
        <f>IF(BN$6="","",IF(BN$3="Maior",iferror(VLOOKUP($R159,Capa!$A:$Z,BN$5,0),0),IF(ISERROR(1/VLOOKUP($R159,Capa!$A:$Z,BN$5,0)),0,1/VLOOKUP($R159,Capa!$A:$Z,BN$5,0))))</f>
        <v/>
      </c>
      <c r="BO161" s="124" t="str">
        <f>IF(BO$6="","",IF(BO$3="Maior",iferror(VLOOKUP($R159,Capa!$A:$Z,BO$5,0),0),IF(ISERROR(1/VLOOKUP($R159,Capa!$A:$Z,BO$5,0)),0,1/VLOOKUP($R159,Capa!$A:$Z,BO$5,0))))</f>
        <v/>
      </c>
      <c r="BP161" s="124" t="str">
        <f>IF(BP$6="","",IF(BP$3="Maior",iferror(VLOOKUP($R159,Capa!$A:$Z,BP$5,0),0),IF(ISERROR(1/VLOOKUP($R159,Capa!$A:$Z,BP$5,0)),0,1/VLOOKUP($R159,Capa!$A:$Z,BP$5,0))))</f>
        <v/>
      </c>
      <c r="BQ161" s="124" t="str">
        <f>IF(BQ$6="","",IF(BQ$3="Maior",iferror(VLOOKUP($R159,Capa!$A:$Z,BQ$5,0),0),IF(ISERROR(1/VLOOKUP($R159,Capa!$A:$Z,BQ$5,0)),0,1/VLOOKUP($R159,Capa!$A:$Z,BQ$5,0))))</f>
        <v/>
      </c>
      <c r="BR161" s="125" t="str">
        <f>IF(BR$6="","",IF(BR$3="Maior",iferror(VLOOKUP($R159,Capa!$A:$Z,BR$5,0),0),IF(ISERROR(1/VLOOKUP($R159,Capa!$A:$Z,BR$5,0)),0,1/VLOOKUP($R159,Capa!$A:$Z,BR$5,0))))</f>
        <v/>
      </c>
      <c r="BS161" s="88"/>
    </row>
    <row r="162">
      <c r="G162" s="9"/>
      <c r="H162" s="7">
        <v>156.0</v>
      </c>
      <c r="I162" s="111" t="str">
        <f t="shared" si="7"/>
        <v>HBRH11</v>
      </c>
      <c r="J162" s="112" t="str">
        <f>VLOOKUP(I162,Capa!A:G,7,0)</f>
        <v>Lajes Comerciais</v>
      </c>
      <c r="K162" s="113">
        <f t="shared" si="8"/>
        <v>0.8232914768</v>
      </c>
      <c r="L162" s="113">
        <f t="shared" si="9"/>
        <v>0.09107661962</v>
      </c>
      <c r="M162" s="141"/>
      <c r="N162" s="141"/>
      <c r="O162" s="9"/>
      <c r="P162" s="9"/>
      <c r="Q162" s="9"/>
      <c r="R162" s="115" t="s">
        <v>196</v>
      </c>
      <c r="S162" s="116">
        <f t="shared" si="13"/>
        <v>1176.000869</v>
      </c>
      <c r="T162" s="117">
        <f>MID(VLOOKUP($R162,'Dados ClubeFII'!$A:$AU,23,0),3,100)/1</f>
        <v>2693.01</v>
      </c>
      <c r="U162" s="118">
        <f t="shared" si="14"/>
        <v>7.0007</v>
      </c>
      <c r="V162" s="118">
        <f t="shared" si="15"/>
        <v>169.000169</v>
      </c>
      <c r="W162" s="118" t="str">
        <f t="shared" ref="W162:AS162" si="171">IF(AV162="","", RANK(AV162,AV$7:AV$405,0))</f>
        <v/>
      </c>
      <c r="X162" s="118" t="str">
        <f t="shared" si="171"/>
        <v/>
      </c>
      <c r="Y162" s="118" t="str">
        <f t="shared" si="171"/>
        <v/>
      </c>
      <c r="Z162" s="118" t="str">
        <f t="shared" si="171"/>
        <v/>
      </c>
      <c r="AA162" s="118" t="str">
        <f t="shared" si="171"/>
        <v/>
      </c>
      <c r="AB162" s="118" t="str">
        <f t="shared" si="171"/>
        <v/>
      </c>
      <c r="AC162" s="118" t="str">
        <f t="shared" si="171"/>
        <v/>
      </c>
      <c r="AD162" s="118" t="str">
        <f t="shared" si="171"/>
        <v/>
      </c>
      <c r="AE162" s="118" t="str">
        <f t="shared" si="171"/>
        <v/>
      </c>
      <c r="AF162" s="118" t="str">
        <f t="shared" si="171"/>
        <v/>
      </c>
      <c r="AG162" s="118" t="str">
        <f t="shared" si="171"/>
        <v/>
      </c>
      <c r="AH162" s="118" t="str">
        <f t="shared" si="171"/>
        <v/>
      </c>
      <c r="AI162" s="118" t="str">
        <f t="shared" si="171"/>
        <v/>
      </c>
      <c r="AJ162" s="118" t="str">
        <f t="shared" si="171"/>
        <v/>
      </c>
      <c r="AK162" s="118" t="str">
        <f t="shared" si="171"/>
        <v/>
      </c>
      <c r="AL162" s="118" t="str">
        <f t="shared" si="171"/>
        <v/>
      </c>
      <c r="AM162" s="118" t="str">
        <f t="shared" si="171"/>
        <v/>
      </c>
      <c r="AN162" s="118" t="str">
        <f t="shared" si="171"/>
        <v/>
      </c>
      <c r="AO162" s="118" t="str">
        <f t="shared" si="171"/>
        <v/>
      </c>
      <c r="AP162" s="118" t="str">
        <f t="shared" si="171"/>
        <v/>
      </c>
      <c r="AQ162" s="118" t="str">
        <f t="shared" si="171"/>
        <v/>
      </c>
      <c r="AR162" s="118" t="str">
        <f t="shared" si="171"/>
        <v/>
      </c>
      <c r="AS162" s="118" t="str">
        <f t="shared" si="171"/>
        <v/>
      </c>
      <c r="AT162" s="123">
        <f>IF(AT$6="","",IF(AT$3="Maior",iferror(VLOOKUP($R162,Capa!$A:$Z,AT$5,0),0),IF(ISERROR(1/VLOOKUP($R162,Capa!$A:$Z,AT$5,0)),0,1/VLOOKUP($R162,Capa!$A:$Z,AT$5,0))))</f>
        <v>2.811515969</v>
      </c>
      <c r="AU162" s="124">
        <f>IF(AU$6="","",IF(AU$3="Maior",iferror(VLOOKUP($R162,Capa!$A:$Z,AU$5,0),0),IF(ISERROR(1/VLOOKUP($R162,Capa!$A:$Z,AU$5,0)),0,1/VLOOKUP($R162,Capa!$A:$Z,AU$5,0))))</f>
        <v>0.0545376</v>
      </c>
      <c r="AV162" s="124" t="str">
        <f>IF(AV$6="","",IF(AV$3="Maior",iferror(VLOOKUP($R160,Capa!$A:$Z,AV$5,0),0),IF(ISERROR(1/VLOOKUP($R160,Capa!$A:$Z,AV$5,0)),0,1/VLOOKUP($R160,Capa!$A:$Z,AV$5,0))))</f>
        <v/>
      </c>
      <c r="AW162" s="124" t="str">
        <f>IF(AW$6="","",IF(AW$3="Maior",iferror(VLOOKUP($R160,Capa!$A:$Z,AW$5,0),0),IF(ISERROR(1/VLOOKUP($R160,Capa!$A:$Z,AW$5,0)),0,1/VLOOKUP($R160,Capa!$A:$Z,AW$5,0))))</f>
        <v/>
      </c>
      <c r="AX162" s="124" t="str">
        <f>IF(AX$6="","",IF(AX$3="Maior",iferror(VLOOKUP($R160,Capa!$A:$Z,AX$5,0),0),IF(ISERROR(1/VLOOKUP($R160,Capa!$A:$Z,AX$5,0)),0,1/VLOOKUP($R160,Capa!$A:$Z,AX$5,0))))</f>
        <v/>
      </c>
      <c r="AY162" s="124" t="str">
        <f>IF(AY$6="","",IF(AY$3="Maior",iferror(VLOOKUP($R160,Capa!$A:$Z,AY$5,0),0),IF(ISERROR(1/VLOOKUP($R160,Capa!$A:$Z,AY$5,0)),0,1/VLOOKUP($R160,Capa!$A:$Z,AY$5,0))))</f>
        <v/>
      </c>
      <c r="AZ162" s="124" t="str">
        <f>IF(AZ$6="","",IF(AZ$3="Maior",iferror(VLOOKUP($R160,Capa!$A:$Z,AZ$5,0),0),IF(ISERROR(1/VLOOKUP($R160,Capa!$A:$Z,AZ$5,0)),0,1/VLOOKUP($R160,Capa!$A:$Z,AZ$5,0))))</f>
        <v/>
      </c>
      <c r="BA162" s="124" t="str">
        <f>IF(BA$6="","",IF(BA$3="Maior",iferror(VLOOKUP($R160,Capa!$A:$Z,BA$5,0),0),IF(ISERROR(1/VLOOKUP($R160,Capa!$A:$Z,BA$5,0)),0,1/VLOOKUP($R160,Capa!$A:$Z,BA$5,0))))</f>
        <v/>
      </c>
      <c r="BB162" s="124" t="str">
        <f>IF(BB$6="","",IF(BB$3="Maior",iferror(VLOOKUP($R160,Capa!$A:$Z,BB$5,0),0),IF(ISERROR(1/VLOOKUP($R160,Capa!$A:$Z,BB$5,0)),0,1/VLOOKUP($R160,Capa!$A:$Z,BB$5,0))))</f>
        <v/>
      </c>
      <c r="BC162" s="124" t="str">
        <f>IF(BC$6="","",IF(BC$3="Maior",iferror(VLOOKUP($R160,Capa!$A:$Z,BC$5,0),0),IF(ISERROR(1/VLOOKUP($R160,Capa!$A:$Z,BC$5,0)),0,1/VLOOKUP($R160,Capa!$A:$Z,BC$5,0))))</f>
        <v/>
      </c>
      <c r="BD162" s="124" t="str">
        <f>IF(BD$6="","",IF(BD$3="Maior",iferror(VLOOKUP($R160,Capa!$A:$Z,BD$5,0),0),IF(ISERROR(1/VLOOKUP($R160,Capa!$A:$Z,BD$5,0)),0,1/VLOOKUP($R160,Capa!$A:$Z,BD$5,0))))</f>
        <v/>
      </c>
      <c r="BE162" s="124" t="str">
        <f>IF(BE$6="","",IF(BE$3="Maior",iferror(VLOOKUP($R160,Capa!$A:$Z,BE$5,0),0),IF(ISERROR(1/VLOOKUP($R160,Capa!$A:$Z,BE$5,0)),0,1/VLOOKUP($R160,Capa!$A:$Z,BE$5,0))))</f>
        <v/>
      </c>
      <c r="BF162" s="124" t="str">
        <f>IF(BF$6="","",IF(BF$3="Maior",iferror(VLOOKUP($R160,Capa!$A:$Z,BF$5,0),0),IF(ISERROR(1/VLOOKUP($R160,Capa!$A:$Z,BF$5,0)),0,1/VLOOKUP($R160,Capa!$A:$Z,BF$5,0))))</f>
        <v/>
      </c>
      <c r="BG162" s="124" t="str">
        <f>IF(BG$6="","",IF(BG$3="Maior",iferror(VLOOKUP($R160,Capa!$A:$Z,BG$5,0),0),IF(ISERROR(1/VLOOKUP($R160,Capa!$A:$Z,BG$5,0)),0,1/VLOOKUP($R160,Capa!$A:$Z,BG$5,0))))</f>
        <v/>
      </c>
      <c r="BH162" s="124" t="str">
        <f>IF(BH$6="","",IF(BH$3="Maior",iferror(VLOOKUP($R160,Capa!$A:$Z,BH$5,0),0),IF(ISERROR(1/VLOOKUP($R160,Capa!$A:$Z,BH$5,0)),0,1/VLOOKUP($R160,Capa!$A:$Z,BH$5,0))))</f>
        <v/>
      </c>
      <c r="BI162" s="124" t="str">
        <f>IF(BI$6="","",IF(BI$3="Maior",iferror(VLOOKUP($R160,Capa!$A:$Z,BI$5,0),0),IF(ISERROR(1/VLOOKUP($R160,Capa!$A:$Z,BI$5,0)),0,1/VLOOKUP($R160,Capa!$A:$Z,BI$5,0))))</f>
        <v/>
      </c>
      <c r="BJ162" s="124" t="str">
        <f>IF(BJ$6="","",IF(BJ$3="Maior",iferror(VLOOKUP($R160,Capa!$A:$Z,BJ$5,0),0),IF(ISERROR(1/VLOOKUP($R160,Capa!$A:$Z,BJ$5,0)),0,1/VLOOKUP($R160,Capa!$A:$Z,BJ$5,0))))</f>
        <v/>
      </c>
      <c r="BK162" s="124" t="str">
        <f>IF(BK$6="","",IF(BK$3="Maior",iferror(VLOOKUP($R160,Capa!$A:$Z,BK$5,0),0),IF(ISERROR(1/VLOOKUP($R160,Capa!$A:$Z,BK$5,0)),0,1/VLOOKUP($R160,Capa!$A:$Z,BK$5,0))))</f>
        <v/>
      </c>
      <c r="BL162" s="124" t="str">
        <f>IF(BL$6="","",IF(BL$3="Maior",iferror(VLOOKUP($R160,Capa!$A:$Z,BL$5,0),0),IF(ISERROR(1/VLOOKUP($R160,Capa!$A:$Z,BL$5,0)),0,1/VLOOKUP($R160,Capa!$A:$Z,BL$5,0))))</f>
        <v/>
      </c>
      <c r="BM162" s="124" t="str">
        <f>IF(BM$6="","",IF(BM$3="Maior",iferror(VLOOKUP($R160,Capa!$A:$Z,BM$5,0),0),IF(ISERROR(1/VLOOKUP($R160,Capa!$A:$Z,BM$5,0)),0,1/VLOOKUP($R160,Capa!$A:$Z,BM$5,0))))</f>
        <v/>
      </c>
      <c r="BN162" s="124" t="str">
        <f>IF(BN$6="","",IF(BN$3="Maior",iferror(VLOOKUP($R160,Capa!$A:$Z,BN$5,0),0),IF(ISERROR(1/VLOOKUP($R160,Capa!$A:$Z,BN$5,0)),0,1/VLOOKUP($R160,Capa!$A:$Z,BN$5,0))))</f>
        <v/>
      </c>
      <c r="BO162" s="124" t="str">
        <f>IF(BO$6="","",IF(BO$3="Maior",iferror(VLOOKUP($R160,Capa!$A:$Z,BO$5,0),0),IF(ISERROR(1/VLOOKUP($R160,Capa!$A:$Z,BO$5,0)),0,1/VLOOKUP($R160,Capa!$A:$Z,BO$5,0))))</f>
        <v/>
      </c>
      <c r="BP162" s="124" t="str">
        <f>IF(BP$6="","",IF(BP$3="Maior",iferror(VLOOKUP($R160,Capa!$A:$Z,BP$5,0),0),IF(ISERROR(1/VLOOKUP($R160,Capa!$A:$Z,BP$5,0)),0,1/VLOOKUP($R160,Capa!$A:$Z,BP$5,0))))</f>
        <v/>
      </c>
      <c r="BQ162" s="124" t="str">
        <f>IF(BQ$6="","",IF(BQ$3="Maior",iferror(VLOOKUP($R160,Capa!$A:$Z,BQ$5,0),0),IF(ISERROR(1/VLOOKUP($R160,Capa!$A:$Z,BQ$5,0)),0,1/VLOOKUP($R160,Capa!$A:$Z,BQ$5,0))))</f>
        <v/>
      </c>
      <c r="BR162" s="125" t="str">
        <f>IF(BR$6="","",IF(BR$3="Maior",iferror(VLOOKUP($R160,Capa!$A:$Z,BR$5,0),0),IF(ISERROR(1/VLOOKUP($R160,Capa!$A:$Z,BR$5,0)),0,1/VLOOKUP($R160,Capa!$A:$Z,BR$5,0))))</f>
        <v/>
      </c>
      <c r="BS162" s="88"/>
    </row>
    <row r="163">
      <c r="G163" s="9"/>
      <c r="H163" s="7"/>
      <c r="I163" s="111"/>
      <c r="J163" s="112"/>
      <c r="K163" s="113"/>
      <c r="L163" s="113"/>
      <c r="M163" s="141"/>
      <c r="N163" s="141"/>
      <c r="O163" s="9"/>
      <c r="P163" s="9"/>
      <c r="Q163" s="9"/>
      <c r="R163" s="115" t="s">
        <v>193</v>
      </c>
      <c r="S163" s="116">
        <f t="shared" si="13"/>
        <v>1067.001255</v>
      </c>
      <c r="T163" s="117">
        <f>MID(VLOOKUP($R163,'Dados ClubeFII'!$A:$AU,23,0),3,100)/1</f>
        <v>0</v>
      </c>
      <c r="U163" s="118">
        <f t="shared" si="14"/>
        <v>12.0012</v>
      </c>
      <c r="V163" s="118">
        <f t="shared" si="15"/>
        <v>55.000055</v>
      </c>
      <c r="W163" s="118" t="str">
        <f t="shared" ref="W163:AS163" si="172">IF(AV163="","", RANK(AV163,AV$7:AV$405,0))</f>
        <v/>
      </c>
      <c r="X163" s="118" t="str">
        <f t="shared" si="172"/>
        <v/>
      </c>
      <c r="Y163" s="118" t="str">
        <f t="shared" si="172"/>
        <v/>
      </c>
      <c r="Z163" s="118" t="str">
        <f t="shared" si="172"/>
        <v/>
      </c>
      <c r="AA163" s="118" t="str">
        <f t="shared" si="172"/>
        <v/>
      </c>
      <c r="AB163" s="118" t="str">
        <f t="shared" si="172"/>
        <v/>
      </c>
      <c r="AC163" s="118" t="str">
        <f t="shared" si="172"/>
        <v/>
      </c>
      <c r="AD163" s="118" t="str">
        <f t="shared" si="172"/>
        <v/>
      </c>
      <c r="AE163" s="118" t="str">
        <f t="shared" si="172"/>
        <v/>
      </c>
      <c r="AF163" s="118" t="str">
        <f t="shared" si="172"/>
        <v/>
      </c>
      <c r="AG163" s="118" t="str">
        <f t="shared" si="172"/>
        <v/>
      </c>
      <c r="AH163" s="118" t="str">
        <f t="shared" si="172"/>
        <v/>
      </c>
      <c r="AI163" s="118" t="str">
        <f t="shared" si="172"/>
        <v/>
      </c>
      <c r="AJ163" s="118" t="str">
        <f t="shared" si="172"/>
        <v/>
      </c>
      <c r="AK163" s="118" t="str">
        <f t="shared" si="172"/>
        <v/>
      </c>
      <c r="AL163" s="118" t="str">
        <f t="shared" si="172"/>
        <v/>
      </c>
      <c r="AM163" s="118" t="str">
        <f t="shared" si="172"/>
        <v/>
      </c>
      <c r="AN163" s="118" t="str">
        <f t="shared" si="172"/>
        <v/>
      </c>
      <c r="AO163" s="118" t="str">
        <f t="shared" si="172"/>
        <v/>
      </c>
      <c r="AP163" s="118" t="str">
        <f t="shared" si="172"/>
        <v/>
      </c>
      <c r="AQ163" s="118" t="str">
        <f t="shared" si="172"/>
        <v/>
      </c>
      <c r="AR163" s="118" t="str">
        <f t="shared" si="172"/>
        <v/>
      </c>
      <c r="AS163" s="118" t="str">
        <f t="shared" si="172"/>
        <v/>
      </c>
      <c r="AT163" s="123">
        <f>IF(AT$6="","",IF(AT$3="Maior",iferror(VLOOKUP($R163,Capa!$A:$Z,AT$5,0),0),IF(ISERROR(1/VLOOKUP($R163,Capa!$A:$Z,AT$5,0)),0,1/VLOOKUP($R163,Capa!$A:$Z,AT$5,0))))</f>
        <v>2.465309438</v>
      </c>
      <c r="AU163" s="124">
        <f>IF(AU$6="","",IF(AU$3="Maior",iferror(VLOOKUP($R163,Capa!$A:$Z,AU$5,0),0),IF(ISERROR(1/VLOOKUP($R163,Capa!$A:$Z,AU$5,0)),0,1/VLOOKUP($R163,Capa!$A:$Z,AU$5,0))))</f>
        <v>0.1332169697</v>
      </c>
      <c r="AV163" s="124" t="str">
        <f>IF(AV$6="","",IF(AV$3="Maior",iferror(VLOOKUP($R161,Capa!$A:$Z,AV$5,0),0),IF(ISERROR(1/VLOOKUP($R161,Capa!$A:$Z,AV$5,0)),0,1/VLOOKUP($R161,Capa!$A:$Z,AV$5,0))))</f>
        <v/>
      </c>
      <c r="AW163" s="124" t="str">
        <f>IF(AW$6="","",IF(AW$3="Maior",iferror(VLOOKUP($R161,Capa!$A:$Z,AW$5,0),0),IF(ISERROR(1/VLOOKUP($R161,Capa!$A:$Z,AW$5,0)),0,1/VLOOKUP($R161,Capa!$A:$Z,AW$5,0))))</f>
        <v/>
      </c>
      <c r="AX163" s="124" t="str">
        <f>IF(AX$6="","",IF(AX$3="Maior",iferror(VLOOKUP($R161,Capa!$A:$Z,AX$5,0),0),IF(ISERROR(1/VLOOKUP($R161,Capa!$A:$Z,AX$5,0)),0,1/VLOOKUP($R161,Capa!$A:$Z,AX$5,0))))</f>
        <v/>
      </c>
      <c r="AY163" s="124" t="str">
        <f>IF(AY$6="","",IF(AY$3="Maior",iferror(VLOOKUP($R161,Capa!$A:$Z,AY$5,0),0),IF(ISERROR(1/VLOOKUP($R161,Capa!$A:$Z,AY$5,0)),0,1/VLOOKUP($R161,Capa!$A:$Z,AY$5,0))))</f>
        <v/>
      </c>
      <c r="AZ163" s="124" t="str">
        <f>IF(AZ$6="","",IF(AZ$3="Maior",iferror(VLOOKUP($R161,Capa!$A:$Z,AZ$5,0),0),IF(ISERROR(1/VLOOKUP($R161,Capa!$A:$Z,AZ$5,0)),0,1/VLOOKUP($R161,Capa!$A:$Z,AZ$5,0))))</f>
        <v/>
      </c>
      <c r="BA163" s="124" t="str">
        <f>IF(BA$6="","",IF(BA$3="Maior",iferror(VLOOKUP($R161,Capa!$A:$Z,BA$5,0),0),IF(ISERROR(1/VLOOKUP($R161,Capa!$A:$Z,BA$5,0)),0,1/VLOOKUP($R161,Capa!$A:$Z,BA$5,0))))</f>
        <v/>
      </c>
      <c r="BB163" s="124" t="str">
        <f>IF(BB$6="","",IF(BB$3="Maior",iferror(VLOOKUP($R161,Capa!$A:$Z,BB$5,0),0),IF(ISERROR(1/VLOOKUP($R161,Capa!$A:$Z,BB$5,0)),0,1/VLOOKUP($R161,Capa!$A:$Z,BB$5,0))))</f>
        <v/>
      </c>
      <c r="BC163" s="124" t="str">
        <f>IF(BC$6="","",IF(BC$3="Maior",iferror(VLOOKUP($R161,Capa!$A:$Z,BC$5,0),0),IF(ISERROR(1/VLOOKUP($R161,Capa!$A:$Z,BC$5,0)),0,1/VLOOKUP($R161,Capa!$A:$Z,BC$5,0))))</f>
        <v/>
      </c>
      <c r="BD163" s="124" t="str">
        <f>IF(BD$6="","",IF(BD$3="Maior",iferror(VLOOKUP($R161,Capa!$A:$Z,BD$5,0),0),IF(ISERROR(1/VLOOKUP($R161,Capa!$A:$Z,BD$5,0)),0,1/VLOOKUP($R161,Capa!$A:$Z,BD$5,0))))</f>
        <v/>
      </c>
      <c r="BE163" s="124" t="str">
        <f>IF(BE$6="","",IF(BE$3="Maior",iferror(VLOOKUP($R161,Capa!$A:$Z,BE$5,0),0),IF(ISERROR(1/VLOOKUP($R161,Capa!$A:$Z,BE$5,0)),0,1/VLOOKUP($R161,Capa!$A:$Z,BE$5,0))))</f>
        <v/>
      </c>
      <c r="BF163" s="124" t="str">
        <f>IF(BF$6="","",IF(BF$3="Maior",iferror(VLOOKUP($R161,Capa!$A:$Z,BF$5,0),0),IF(ISERROR(1/VLOOKUP($R161,Capa!$A:$Z,BF$5,0)),0,1/VLOOKUP($R161,Capa!$A:$Z,BF$5,0))))</f>
        <v/>
      </c>
      <c r="BG163" s="124" t="str">
        <f>IF(BG$6="","",IF(BG$3="Maior",iferror(VLOOKUP($R161,Capa!$A:$Z,BG$5,0),0),IF(ISERROR(1/VLOOKUP($R161,Capa!$A:$Z,BG$5,0)),0,1/VLOOKUP($R161,Capa!$A:$Z,BG$5,0))))</f>
        <v/>
      </c>
      <c r="BH163" s="124" t="str">
        <f>IF(BH$6="","",IF(BH$3="Maior",iferror(VLOOKUP($R161,Capa!$A:$Z,BH$5,0),0),IF(ISERROR(1/VLOOKUP($R161,Capa!$A:$Z,BH$5,0)),0,1/VLOOKUP($R161,Capa!$A:$Z,BH$5,0))))</f>
        <v/>
      </c>
      <c r="BI163" s="124" t="str">
        <f>IF(BI$6="","",IF(BI$3="Maior",iferror(VLOOKUP($R161,Capa!$A:$Z,BI$5,0),0),IF(ISERROR(1/VLOOKUP($R161,Capa!$A:$Z,BI$5,0)),0,1/VLOOKUP($R161,Capa!$A:$Z,BI$5,0))))</f>
        <v/>
      </c>
      <c r="BJ163" s="124" t="str">
        <f>IF(BJ$6="","",IF(BJ$3="Maior",iferror(VLOOKUP($R161,Capa!$A:$Z,BJ$5,0),0),IF(ISERROR(1/VLOOKUP($R161,Capa!$A:$Z,BJ$5,0)),0,1/VLOOKUP($R161,Capa!$A:$Z,BJ$5,0))))</f>
        <v/>
      </c>
      <c r="BK163" s="124" t="str">
        <f>IF(BK$6="","",IF(BK$3="Maior",iferror(VLOOKUP($R161,Capa!$A:$Z,BK$5,0),0),IF(ISERROR(1/VLOOKUP($R161,Capa!$A:$Z,BK$5,0)),0,1/VLOOKUP($R161,Capa!$A:$Z,BK$5,0))))</f>
        <v/>
      </c>
      <c r="BL163" s="124" t="str">
        <f>IF(BL$6="","",IF(BL$3="Maior",iferror(VLOOKUP($R161,Capa!$A:$Z,BL$5,0),0),IF(ISERROR(1/VLOOKUP($R161,Capa!$A:$Z,BL$5,0)),0,1/VLOOKUP($R161,Capa!$A:$Z,BL$5,0))))</f>
        <v/>
      </c>
      <c r="BM163" s="124" t="str">
        <f>IF(BM$6="","",IF(BM$3="Maior",iferror(VLOOKUP($R161,Capa!$A:$Z,BM$5,0),0),IF(ISERROR(1/VLOOKUP($R161,Capa!$A:$Z,BM$5,0)),0,1/VLOOKUP($R161,Capa!$A:$Z,BM$5,0))))</f>
        <v/>
      </c>
      <c r="BN163" s="124" t="str">
        <f>IF(BN$6="","",IF(BN$3="Maior",iferror(VLOOKUP($R161,Capa!$A:$Z,BN$5,0),0),IF(ISERROR(1/VLOOKUP($R161,Capa!$A:$Z,BN$5,0)),0,1/VLOOKUP($R161,Capa!$A:$Z,BN$5,0))))</f>
        <v/>
      </c>
      <c r="BO163" s="124" t="str">
        <f>IF(BO$6="","",IF(BO$3="Maior",iferror(VLOOKUP($R161,Capa!$A:$Z,BO$5,0),0),IF(ISERROR(1/VLOOKUP($R161,Capa!$A:$Z,BO$5,0)),0,1/VLOOKUP($R161,Capa!$A:$Z,BO$5,0))))</f>
        <v/>
      </c>
      <c r="BP163" s="124" t="str">
        <f>IF(BP$6="","",IF(BP$3="Maior",iferror(VLOOKUP($R161,Capa!$A:$Z,BP$5,0),0),IF(ISERROR(1/VLOOKUP($R161,Capa!$A:$Z,BP$5,0)),0,1/VLOOKUP($R161,Capa!$A:$Z,BP$5,0))))</f>
        <v/>
      </c>
      <c r="BQ163" s="124" t="str">
        <f>IF(BQ$6="","",IF(BQ$3="Maior",iferror(VLOOKUP($R161,Capa!$A:$Z,BQ$5,0),0),IF(ISERROR(1/VLOOKUP($R161,Capa!$A:$Z,BQ$5,0)),0,1/VLOOKUP($R161,Capa!$A:$Z,BQ$5,0))))</f>
        <v/>
      </c>
      <c r="BR163" s="125" t="str">
        <f>IF(BR$6="","",IF(BR$3="Maior",iferror(VLOOKUP($R161,Capa!$A:$Z,BR$5,0),0),IF(ISERROR(1/VLOOKUP($R161,Capa!$A:$Z,BR$5,0)),0,1/VLOOKUP($R161,Capa!$A:$Z,BR$5,0))))</f>
        <v/>
      </c>
      <c r="BS163" s="88"/>
    </row>
    <row r="164">
      <c r="G164" s="9"/>
      <c r="H164" s="7"/>
      <c r="I164" s="111"/>
      <c r="J164" s="112"/>
      <c r="K164" s="113"/>
      <c r="L164" s="113"/>
      <c r="M164" s="141"/>
      <c r="N164" s="141"/>
      <c r="O164" s="9"/>
      <c r="P164" s="9"/>
      <c r="Q164" s="9"/>
      <c r="R164" s="115" t="s">
        <v>202</v>
      </c>
      <c r="S164" s="116">
        <f t="shared" si="13"/>
        <v>1367.018781</v>
      </c>
      <c r="T164" s="117">
        <f>MID(VLOOKUP($R164,'Dados ClubeFII'!$A:$AU,23,0),3,100)/1</f>
        <v>0</v>
      </c>
      <c r="U164" s="118">
        <f t="shared" si="14"/>
        <v>186.0186</v>
      </c>
      <c r="V164" s="118">
        <f t="shared" si="15"/>
        <v>181.000181</v>
      </c>
      <c r="W164" s="118" t="str">
        <f t="shared" ref="W164:AS164" si="173">IF(AV164="","", RANK(AV164,AV$7:AV$405,0))</f>
        <v/>
      </c>
      <c r="X164" s="118" t="str">
        <f t="shared" si="173"/>
        <v/>
      </c>
      <c r="Y164" s="118" t="str">
        <f t="shared" si="173"/>
        <v/>
      </c>
      <c r="Z164" s="118" t="str">
        <f t="shared" si="173"/>
        <v/>
      </c>
      <c r="AA164" s="118" t="str">
        <f t="shared" si="173"/>
        <v/>
      </c>
      <c r="AB164" s="118" t="str">
        <f t="shared" si="173"/>
        <v/>
      </c>
      <c r="AC164" s="118" t="str">
        <f t="shared" si="173"/>
        <v/>
      </c>
      <c r="AD164" s="118" t="str">
        <f t="shared" si="173"/>
        <v/>
      </c>
      <c r="AE164" s="118" t="str">
        <f t="shared" si="173"/>
        <v/>
      </c>
      <c r="AF164" s="118" t="str">
        <f t="shared" si="173"/>
        <v/>
      </c>
      <c r="AG164" s="118" t="str">
        <f t="shared" si="173"/>
        <v/>
      </c>
      <c r="AH164" s="118" t="str">
        <f t="shared" si="173"/>
        <v/>
      </c>
      <c r="AI164" s="118" t="str">
        <f t="shared" si="173"/>
        <v/>
      </c>
      <c r="AJ164" s="118" t="str">
        <f t="shared" si="173"/>
        <v/>
      </c>
      <c r="AK164" s="118" t="str">
        <f t="shared" si="173"/>
        <v/>
      </c>
      <c r="AL164" s="118" t="str">
        <f t="shared" si="173"/>
        <v/>
      </c>
      <c r="AM164" s="118" t="str">
        <f t="shared" si="173"/>
        <v/>
      </c>
      <c r="AN164" s="118" t="str">
        <f t="shared" si="173"/>
        <v/>
      </c>
      <c r="AO164" s="118" t="str">
        <f t="shared" si="173"/>
        <v/>
      </c>
      <c r="AP164" s="118" t="str">
        <f t="shared" si="173"/>
        <v/>
      </c>
      <c r="AQ164" s="118" t="str">
        <f t="shared" si="173"/>
        <v/>
      </c>
      <c r="AR164" s="118" t="str">
        <f t="shared" si="173"/>
        <v/>
      </c>
      <c r="AS164" s="118" t="str">
        <f t="shared" si="173"/>
        <v/>
      </c>
      <c r="AT164" s="123">
        <f>IF(AT$6="","",IF(AT$3="Maior",iferror(VLOOKUP($R164,Capa!$A:$Z,AT$5,0),0),IF(ISERROR(1/VLOOKUP($R164,Capa!$A:$Z,AT$5,0)),0,1/VLOOKUP($R164,Capa!$A:$Z,AT$5,0))))</f>
        <v>0</v>
      </c>
      <c r="AU164" s="124">
        <f>IF(AU$6="","",IF(AU$3="Maior",iferror(VLOOKUP($R164,Capa!$A:$Z,AU$5,0),0),IF(ISERROR(1/VLOOKUP($R164,Capa!$A:$Z,AU$5,0)),0,1/VLOOKUP($R164,Capa!$A:$Z,AU$5,0))))</f>
        <v>0</v>
      </c>
      <c r="AV164" s="124" t="str">
        <f>IF(AV$6="","",IF(AV$3="Maior",iferror(VLOOKUP($R162,Capa!$A:$Z,AV$5,0),0),IF(ISERROR(1/VLOOKUP($R162,Capa!$A:$Z,AV$5,0)),0,1/VLOOKUP($R162,Capa!$A:$Z,AV$5,0))))</f>
        <v/>
      </c>
      <c r="AW164" s="124" t="str">
        <f>IF(AW$6="","",IF(AW$3="Maior",iferror(VLOOKUP($R162,Capa!$A:$Z,AW$5,0),0),IF(ISERROR(1/VLOOKUP($R162,Capa!$A:$Z,AW$5,0)),0,1/VLOOKUP($R162,Capa!$A:$Z,AW$5,0))))</f>
        <v/>
      </c>
      <c r="AX164" s="124" t="str">
        <f>IF(AX$6="","",IF(AX$3="Maior",iferror(VLOOKUP($R162,Capa!$A:$Z,AX$5,0),0),IF(ISERROR(1/VLOOKUP($R162,Capa!$A:$Z,AX$5,0)),0,1/VLOOKUP($R162,Capa!$A:$Z,AX$5,0))))</f>
        <v/>
      </c>
      <c r="AY164" s="124" t="str">
        <f>IF(AY$6="","",IF(AY$3="Maior",iferror(VLOOKUP($R162,Capa!$A:$Z,AY$5,0),0),IF(ISERROR(1/VLOOKUP($R162,Capa!$A:$Z,AY$5,0)),0,1/VLOOKUP($R162,Capa!$A:$Z,AY$5,0))))</f>
        <v/>
      </c>
      <c r="AZ164" s="124" t="str">
        <f>IF(AZ$6="","",IF(AZ$3="Maior",iferror(VLOOKUP($R162,Capa!$A:$Z,AZ$5,0),0),IF(ISERROR(1/VLOOKUP($R162,Capa!$A:$Z,AZ$5,0)),0,1/VLOOKUP($R162,Capa!$A:$Z,AZ$5,0))))</f>
        <v/>
      </c>
      <c r="BA164" s="124" t="str">
        <f>IF(BA$6="","",IF(BA$3="Maior",iferror(VLOOKUP($R162,Capa!$A:$Z,BA$5,0),0),IF(ISERROR(1/VLOOKUP($R162,Capa!$A:$Z,BA$5,0)),0,1/VLOOKUP($R162,Capa!$A:$Z,BA$5,0))))</f>
        <v/>
      </c>
      <c r="BB164" s="124" t="str">
        <f>IF(BB$6="","",IF(BB$3="Maior",iferror(VLOOKUP($R162,Capa!$A:$Z,BB$5,0),0),IF(ISERROR(1/VLOOKUP($R162,Capa!$A:$Z,BB$5,0)),0,1/VLOOKUP($R162,Capa!$A:$Z,BB$5,0))))</f>
        <v/>
      </c>
      <c r="BC164" s="124" t="str">
        <f>IF(BC$6="","",IF(BC$3="Maior",iferror(VLOOKUP($R162,Capa!$A:$Z,BC$5,0),0),IF(ISERROR(1/VLOOKUP($R162,Capa!$A:$Z,BC$5,0)),0,1/VLOOKUP($R162,Capa!$A:$Z,BC$5,0))))</f>
        <v/>
      </c>
      <c r="BD164" s="124" t="str">
        <f>IF(BD$6="","",IF(BD$3="Maior",iferror(VLOOKUP($R162,Capa!$A:$Z,BD$5,0),0),IF(ISERROR(1/VLOOKUP($R162,Capa!$A:$Z,BD$5,0)),0,1/VLOOKUP($R162,Capa!$A:$Z,BD$5,0))))</f>
        <v/>
      </c>
      <c r="BE164" s="124" t="str">
        <f>IF(BE$6="","",IF(BE$3="Maior",iferror(VLOOKUP($R162,Capa!$A:$Z,BE$5,0),0),IF(ISERROR(1/VLOOKUP($R162,Capa!$A:$Z,BE$5,0)),0,1/VLOOKUP($R162,Capa!$A:$Z,BE$5,0))))</f>
        <v/>
      </c>
      <c r="BF164" s="124" t="str">
        <f>IF(BF$6="","",IF(BF$3="Maior",iferror(VLOOKUP($R162,Capa!$A:$Z,BF$5,0),0),IF(ISERROR(1/VLOOKUP($R162,Capa!$A:$Z,BF$5,0)),0,1/VLOOKUP($R162,Capa!$A:$Z,BF$5,0))))</f>
        <v/>
      </c>
      <c r="BG164" s="124" t="str">
        <f>IF(BG$6="","",IF(BG$3="Maior",iferror(VLOOKUP($R162,Capa!$A:$Z,BG$5,0),0),IF(ISERROR(1/VLOOKUP($R162,Capa!$A:$Z,BG$5,0)),0,1/VLOOKUP($R162,Capa!$A:$Z,BG$5,0))))</f>
        <v/>
      </c>
      <c r="BH164" s="124" t="str">
        <f>IF(BH$6="","",IF(BH$3="Maior",iferror(VLOOKUP($R162,Capa!$A:$Z,BH$5,0),0),IF(ISERROR(1/VLOOKUP($R162,Capa!$A:$Z,BH$5,0)),0,1/VLOOKUP($R162,Capa!$A:$Z,BH$5,0))))</f>
        <v/>
      </c>
      <c r="BI164" s="124" t="str">
        <f>IF(BI$6="","",IF(BI$3="Maior",iferror(VLOOKUP($R162,Capa!$A:$Z,BI$5,0),0),IF(ISERROR(1/VLOOKUP($R162,Capa!$A:$Z,BI$5,0)),0,1/VLOOKUP($R162,Capa!$A:$Z,BI$5,0))))</f>
        <v/>
      </c>
      <c r="BJ164" s="124" t="str">
        <f>IF(BJ$6="","",IF(BJ$3="Maior",iferror(VLOOKUP($R162,Capa!$A:$Z,BJ$5,0),0),IF(ISERROR(1/VLOOKUP($R162,Capa!$A:$Z,BJ$5,0)),0,1/VLOOKUP($R162,Capa!$A:$Z,BJ$5,0))))</f>
        <v/>
      </c>
      <c r="BK164" s="124" t="str">
        <f>IF(BK$6="","",IF(BK$3="Maior",iferror(VLOOKUP($R162,Capa!$A:$Z,BK$5,0),0),IF(ISERROR(1/VLOOKUP($R162,Capa!$A:$Z,BK$5,0)),0,1/VLOOKUP($R162,Capa!$A:$Z,BK$5,0))))</f>
        <v/>
      </c>
      <c r="BL164" s="124" t="str">
        <f>IF(BL$6="","",IF(BL$3="Maior",iferror(VLOOKUP($R162,Capa!$A:$Z,BL$5,0),0),IF(ISERROR(1/VLOOKUP($R162,Capa!$A:$Z,BL$5,0)),0,1/VLOOKUP($R162,Capa!$A:$Z,BL$5,0))))</f>
        <v/>
      </c>
      <c r="BM164" s="124" t="str">
        <f>IF(BM$6="","",IF(BM$3="Maior",iferror(VLOOKUP($R162,Capa!$A:$Z,BM$5,0),0),IF(ISERROR(1/VLOOKUP($R162,Capa!$A:$Z,BM$5,0)),0,1/VLOOKUP($R162,Capa!$A:$Z,BM$5,0))))</f>
        <v/>
      </c>
      <c r="BN164" s="124" t="str">
        <f>IF(BN$6="","",IF(BN$3="Maior",iferror(VLOOKUP($R162,Capa!$A:$Z,BN$5,0),0),IF(ISERROR(1/VLOOKUP($R162,Capa!$A:$Z,BN$5,0)),0,1/VLOOKUP($R162,Capa!$A:$Z,BN$5,0))))</f>
        <v/>
      </c>
      <c r="BO164" s="124" t="str">
        <f>IF(BO$6="","",IF(BO$3="Maior",iferror(VLOOKUP($R162,Capa!$A:$Z,BO$5,0),0),IF(ISERROR(1/VLOOKUP($R162,Capa!$A:$Z,BO$5,0)),0,1/VLOOKUP($R162,Capa!$A:$Z,BO$5,0))))</f>
        <v/>
      </c>
      <c r="BP164" s="124" t="str">
        <f>IF(BP$6="","",IF(BP$3="Maior",iferror(VLOOKUP($R162,Capa!$A:$Z,BP$5,0),0),IF(ISERROR(1/VLOOKUP($R162,Capa!$A:$Z,BP$5,0)),0,1/VLOOKUP($R162,Capa!$A:$Z,BP$5,0))))</f>
        <v/>
      </c>
      <c r="BQ164" s="124" t="str">
        <f>IF(BQ$6="","",IF(BQ$3="Maior",iferror(VLOOKUP($R162,Capa!$A:$Z,BQ$5,0),0),IF(ISERROR(1/VLOOKUP($R162,Capa!$A:$Z,BQ$5,0)),0,1/VLOOKUP($R162,Capa!$A:$Z,BQ$5,0))))</f>
        <v/>
      </c>
      <c r="BR164" s="125" t="str">
        <f>IF(BR$6="","",IF(BR$3="Maior",iferror(VLOOKUP($R162,Capa!$A:$Z,BR$5,0),0),IF(ISERROR(1/VLOOKUP($R162,Capa!$A:$Z,BR$5,0)),0,1/VLOOKUP($R162,Capa!$A:$Z,BR$5,0))))</f>
        <v/>
      </c>
      <c r="BS164" s="88"/>
    </row>
    <row r="165">
      <c r="G165" s="9"/>
      <c r="H165" s="7"/>
      <c r="I165" s="111"/>
      <c r="J165" s="112"/>
      <c r="K165" s="113"/>
      <c r="L165" s="113"/>
      <c r="M165" s="141"/>
      <c r="N165" s="141"/>
      <c r="O165" s="9"/>
      <c r="P165" s="9"/>
      <c r="Q165" s="9"/>
      <c r="R165" s="115" t="s">
        <v>201</v>
      </c>
      <c r="S165" s="116">
        <f t="shared" si="13"/>
        <v>1367.018781</v>
      </c>
      <c r="T165" s="117">
        <f>MID(VLOOKUP($R165,'Dados ClubeFII'!$A:$AU,23,0),3,100)/1</f>
        <v>0</v>
      </c>
      <c r="U165" s="118">
        <f t="shared" si="14"/>
        <v>186.0186</v>
      </c>
      <c r="V165" s="118">
        <f t="shared" si="15"/>
        <v>181.000181</v>
      </c>
      <c r="W165" s="118" t="str">
        <f t="shared" ref="W165:AS165" si="174">IF(AV165="","", RANK(AV165,AV$7:AV$405,0))</f>
        <v/>
      </c>
      <c r="X165" s="118" t="str">
        <f t="shared" si="174"/>
        <v/>
      </c>
      <c r="Y165" s="118" t="str">
        <f t="shared" si="174"/>
        <v/>
      </c>
      <c r="Z165" s="118" t="str">
        <f t="shared" si="174"/>
        <v/>
      </c>
      <c r="AA165" s="118" t="str">
        <f t="shared" si="174"/>
        <v/>
      </c>
      <c r="AB165" s="118" t="str">
        <f t="shared" si="174"/>
        <v/>
      </c>
      <c r="AC165" s="118" t="str">
        <f t="shared" si="174"/>
        <v/>
      </c>
      <c r="AD165" s="118" t="str">
        <f t="shared" si="174"/>
        <v/>
      </c>
      <c r="AE165" s="118" t="str">
        <f t="shared" si="174"/>
        <v/>
      </c>
      <c r="AF165" s="118" t="str">
        <f t="shared" si="174"/>
        <v/>
      </c>
      <c r="AG165" s="118" t="str">
        <f t="shared" si="174"/>
        <v/>
      </c>
      <c r="AH165" s="118" t="str">
        <f t="shared" si="174"/>
        <v/>
      </c>
      <c r="AI165" s="118" t="str">
        <f t="shared" si="174"/>
        <v/>
      </c>
      <c r="AJ165" s="118" t="str">
        <f t="shared" si="174"/>
        <v/>
      </c>
      <c r="AK165" s="118" t="str">
        <f t="shared" si="174"/>
        <v/>
      </c>
      <c r="AL165" s="118" t="str">
        <f t="shared" si="174"/>
        <v/>
      </c>
      <c r="AM165" s="118" t="str">
        <f t="shared" si="174"/>
        <v/>
      </c>
      <c r="AN165" s="118" t="str">
        <f t="shared" si="174"/>
        <v/>
      </c>
      <c r="AO165" s="118" t="str">
        <f t="shared" si="174"/>
        <v/>
      </c>
      <c r="AP165" s="118" t="str">
        <f t="shared" si="174"/>
        <v/>
      </c>
      <c r="AQ165" s="118" t="str">
        <f t="shared" si="174"/>
        <v/>
      </c>
      <c r="AR165" s="118" t="str">
        <f t="shared" si="174"/>
        <v/>
      </c>
      <c r="AS165" s="118" t="str">
        <f t="shared" si="174"/>
        <v/>
      </c>
      <c r="AT165" s="123">
        <f>IF(AT$6="","",IF(AT$3="Maior",iferror(VLOOKUP($R165,Capa!$A:$Z,AT$5,0),0),IF(ISERROR(1/VLOOKUP($R165,Capa!$A:$Z,AT$5,0)),0,1/VLOOKUP($R165,Capa!$A:$Z,AT$5,0))))</f>
        <v>0</v>
      </c>
      <c r="AU165" s="124">
        <f>IF(AU$6="","",IF(AU$3="Maior",iferror(VLOOKUP($R165,Capa!$A:$Z,AU$5,0),0),IF(ISERROR(1/VLOOKUP($R165,Capa!$A:$Z,AU$5,0)),0,1/VLOOKUP($R165,Capa!$A:$Z,AU$5,0))))</f>
        <v>0</v>
      </c>
      <c r="AV165" s="124" t="str">
        <f>IF(AV$6="","",IF(AV$3="Maior",iferror(VLOOKUP($R163,Capa!$A:$Z,AV$5,0),0),IF(ISERROR(1/VLOOKUP($R163,Capa!$A:$Z,AV$5,0)),0,1/VLOOKUP($R163,Capa!$A:$Z,AV$5,0))))</f>
        <v/>
      </c>
      <c r="AW165" s="124" t="str">
        <f>IF(AW$6="","",IF(AW$3="Maior",iferror(VLOOKUP($R163,Capa!$A:$Z,AW$5,0),0),IF(ISERROR(1/VLOOKUP($R163,Capa!$A:$Z,AW$5,0)),0,1/VLOOKUP($R163,Capa!$A:$Z,AW$5,0))))</f>
        <v/>
      </c>
      <c r="AX165" s="124" t="str">
        <f>IF(AX$6="","",IF(AX$3="Maior",iferror(VLOOKUP($R163,Capa!$A:$Z,AX$5,0),0),IF(ISERROR(1/VLOOKUP($R163,Capa!$A:$Z,AX$5,0)),0,1/VLOOKUP($R163,Capa!$A:$Z,AX$5,0))))</f>
        <v/>
      </c>
      <c r="AY165" s="124" t="str">
        <f>IF(AY$6="","",IF(AY$3="Maior",iferror(VLOOKUP($R163,Capa!$A:$Z,AY$5,0),0),IF(ISERROR(1/VLOOKUP($R163,Capa!$A:$Z,AY$5,0)),0,1/VLOOKUP($R163,Capa!$A:$Z,AY$5,0))))</f>
        <v/>
      </c>
      <c r="AZ165" s="124" t="str">
        <f>IF(AZ$6="","",IF(AZ$3="Maior",iferror(VLOOKUP($R163,Capa!$A:$Z,AZ$5,0),0),IF(ISERROR(1/VLOOKUP($R163,Capa!$A:$Z,AZ$5,0)),0,1/VLOOKUP($R163,Capa!$A:$Z,AZ$5,0))))</f>
        <v/>
      </c>
      <c r="BA165" s="124" t="str">
        <f>IF(BA$6="","",IF(BA$3="Maior",iferror(VLOOKUP($R163,Capa!$A:$Z,BA$5,0),0),IF(ISERROR(1/VLOOKUP($R163,Capa!$A:$Z,BA$5,0)),0,1/VLOOKUP($R163,Capa!$A:$Z,BA$5,0))))</f>
        <v/>
      </c>
      <c r="BB165" s="124" t="str">
        <f>IF(BB$6="","",IF(BB$3="Maior",iferror(VLOOKUP($R163,Capa!$A:$Z,BB$5,0),0),IF(ISERROR(1/VLOOKUP($R163,Capa!$A:$Z,BB$5,0)),0,1/VLOOKUP($R163,Capa!$A:$Z,BB$5,0))))</f>
        <v/>
      </c>
      <c r="BC165" s="124" t="str">
        <f>IF(BC$6="","",IF(BC$3="Maior",iferror(VLOOKUP($R163,Capa!$A:$Z,BC$5,0),0),IF(ISERROR(1/VLOOKUP($R163,Capa!$A:$Z,BC$5,0)),0,1/VLOOKUP($R163,Capa!$A:$Z,BC$5,0))))</f>
        <v/>
      </c>
      <c r="BD165" s="124" t="str">
        <f>IF(BD$6="","",IF(BD$3="Maior",iferror(VLOOKUP($R163,Capa!$A:$Z,BD$5,0),0),IF(ISERROR(1/VLOOKUP($R163,Capa!$A:$Z,BD$5,0)),0,1/VLOOKUP($R163,Capa!$A:$Z,BD$5,0))))</f>
        <v/>
      </c>
      <c r="BE165" s="124" t="str">
        <f>IF(BE$6="","",IF(BE$3="Maior",iferror(VLOOKUP($R163,Capa!$A:$Z,BE$5,0),0),IF(ISERROR(1/VLOOKUP($R163,Capa!$A:$Z,BE$5,0)),0,1/VLOOKUP($R163,Capa!$A:$Z,BE$5,0))))</f>
        <v/>
      </c>
      <c r="BF165" s="124" t="str">
        <f>IF(BF$6="","",IF(BF$3="Maior",iferror(VLOOKUP($R163,Capa!$A:$Z,BF$5,0),0),IF(ISERROR(1/VLOOKUP($R163,Capa!$A:$Z,BF$5,0)),0,1/VLOOKUP($R163,Capa!$A:$Z,BF$5,0))))</f>
        <v/>
      </c>
      <c r="BG165" s="124" t="str">
        <f>IF(BG$6="","",IF(BG$3="Maior",iferror(VLOOKUP($R163,Capa!$A:$Z,BG$5,0),0),IF(ISERROR(1/VLOOKUP($R163,Capa!$A:$Z,BG$5,0)),0,1/VLOOKUP($R163,Capa!$A:$Z,BG$5,0))))</f>
        <v/>
      </c>
      <c r="BH165" s="124" t="str">
        <f>IF(BH$6="","",IF(BH$3="Maior",iferror(VLOOKUP($R163,Capa!$A:$Z,BH$5,0),0),IF(ISERROR(1/VLOOKUP($R163,Capa!$A:$Z,BH$5,0)),0,1/VLOOKUP($R163,Capa!$A:$Z,BH$5,0))))</f>
        <v/>
      </c>
      <c r="BI165" s="124" t="str">
        <f>IF(BI$6="","",IF(BI$3="Maior",iferror(VLOOKUP($R163,Capa!$A:$Z,BI$5,0),0),IF(ISERROR(1/VLOOKUP($R163,Capa!$A:$Z,BI$5,0)),0,1/VLOOKUP($R163,Capa!$A:$Z,BI$5,0))))</f>
        <v/>
      </c>
      <c r="BJ165" s="124" t="str">
        <f>IF(BJ$6="","",IF(BJ$3="Maior",iferror(VLOOKUP($R163,Capa!$A:$Z,BJ$5,0),0),IF(ISERROR(1/VLOOKUP($R163,Capa!$A:$Z,BJ$5,0)),0,1/VLOOKUP($R163,Capa!$A:$Z,BJ$5,0))))</f>
        <v/>
      </c>
      <c r="BK165" s="124" t="str">
        <f>IF(BK$6="","",IF(BK$3="Maior",iferror(VLOOKUP($R163,Capa!$A:$Z,BK$5,0),0),IF(ISERROR(1/VLOOKUP($R163,Capa!$A:$Z,BK$5,0)),0,1/VLOOKUP($R163,Capa!$A:$Z,BK$5,0))))</f>
        <v/>
      </c>
      <c r="BL165" s="124" t="str">
        <f>IF(BL$6="","",IF(BL$3="Maior",iferror(VLOOKUP($R163,Capa!$A:$Z,BL$5,0),0),IF(ISERROR(1/VLOOKUP($R163,Capa!$A:$Z,BL$5,0)),0,1/VLOOKUP($R163,Capa!$A:$Z,BL$5,0))))</f>
        <v/>
      </c>
      <c r="BM165" s="124" t="str">
        <f>IF(BM$6="","",IF(BM$3="Maior",iferror(VLOOKUP($R163,Capa!$A:$Z,BM$5,0),0),IF(ISERROR(1/VLOOKUP($R163,Capa!$A:$Z,BM$5,0)),0,1/VLOOKUP($R163,Capa!$A:$Z,BM$5,0))))</f>
        <v/>
      </c>
      <c r="BN165" s="124" t="str">
        <f>IF(BN$6="","",IF(BN$3="Maior",iferror(VLOOKUP($R163,Capa!$A:$Z,BN$5,0),0),IF(ISERROR(1/VLOOKUP($R163,Capa!$A:$Z,BN$5,0)),0,1/VLOOKUP($R163,Capa!$A:$Z,BN$5,0))))</f>
        <v/>
      </c>
      <c r="BO165" s="124" t="str">
        <f>IF(BO$6="","",IF(BO$3="Maior",iferror(VLOOKUP($R163,Capa!$A:$Z,BO$5,0),0),IF(ISERROR(1/VLOOKUP($R163,Capa!$A:$Z,BO$5,0)),0,1/VLOOKUP($R163,Capa!$A:$Z,BO$5,0))))</f>
        <v/>
      </c>
      <c r="BP165" s="124" t="str">
        <f>IF(BP$6="","",IF(BP$3="Maior",iferror(VLOOKUP($R163,Capa!$A:$Z,BP$5,0),0),IF(ISERROR(1/VLOOKUP($R163,Capa!$A:$Z,BP$5,0)),0,1/VLOOKUP($R163,Capa!$A:$Z,BP$5,0))))</f>
        <v/>
      </c>
      <c r="BQ165" s="124" t="str">
        <f>IF(BQ$6="","",IF(BQ$3="Maior",iferror(VLOOKUP($R163,Capa!$A:$Z,BQ$5,0),0),IF(ISERROR(1/VLOOKUP($R163,Capa!$A:$Z,BQ$5,0)),0,1/VLOOKUP($R163,Capa!$A:$Z,BQ$5,0))))</f>
        <v/>
      </c>
      <c r="BR165" s="125" t="str">
        <f>IF(BR$6="","",IF(BR$3="Maior",iferror(VLOOKUP($R163,Capa!$A:$Z,BR$5,0),0),IF(ISERROR(1/VLOOKUP($R163,Capa!$A:$Z,BR$5,0)),0,1/VLOOKUP($R163,Capa!$A:$Z,BR$5,0))))</f>
        <v/>
      </c>
      <c r="BS165" s="88"/>
    </row>
    <row r="166">
      <c r="G166" s="9"/>
      <c r="H166" s="7"/>
      <c r="I166" s="111"/>
      <c r="J166" s="112"/>
      <c r="K166" s="113"/>
      <c r="L166" s="113"/>
      <c r="M166" s="141"/>
      <c r="N166" s="141"/>
      <c r="O166" s="9"/>
      <c r="P166" s="9"/>
      <c r="Q166" s="9"/>
      <c r="R166" s="115" t="s">
        <v>200</v>
      </c>
      <c r="S166" s="116">
        <f t="shared" si="13"/>
        <v>1367.018781</v>
      </c>
      <c r="T166" s="117">
        <f>MID(VLOOKUP($R166,'Dados ClubeFII'!$A:$AU,23,0),3,100)/1</f>
        <v>0</v>
      </c>
      <c r="U166" s="118">
        <f t="shared" si="14"/>
        <v>186.0186</v>
      </c>
      <c r="V166" s="118">
        <f t="shared" si="15"/>
        <v>181.000181</v>
      </c>
      <c r="W166" s="118" t="str">
        <f t="shared" ref="W166:AS166" si="175">IF(AV166="","", RANK(AV166,AV$7:AV$405,0))</f>
        <v/>
      </c>
      <c r="X166" s="118" t="str">
        <f t="shared" si="175"/>
        <v/>
      </c>
      <c r="Y166" s="118" t="str">
        <f t="shared" si="175"/>
        <v/>
      </c>
      <c r="Z166" s="118" t="str">
        <f t="shared" si="175"/>
        <v/>
      </c>
      <c r="AA166" s="118" t="str">
        <f t="shared" si="175"/>
        <v/>
      </c>
      <c r="AB166" s="118" t="str">
        <f t="shared" si="175"/>
        <v/>
      </c>
      <c r="AC166" s="118" t="str">
        <f t="shared" si="175"/>
        <v/>
      </c>
      <c r="AD166" s="118" t="str">
        <f t="shared" si="175"/>
        <v/>
      </c>
      <c r="AE166" s="118" t="str">
        <f t="shared" si="175"/>
        <v/>
      </c>
      <c r="AF166" s="118" t="str">
        <f t="shared" si="175"/>
        <v/>
      </c>
      <c r="AG166" s="118" t="str">
        <f t="shared" si="175"/>
        <v/>
      </c>
      <c r="AH166" s="118" t="str">
        <f t="shared" si="175"/>
        <v/>
      </c>
      <c r="AI166" s="118" t="str">
        <f t="shared" si="175"/>
        <v/>
      </c>
      <c r="AJ166" s="118" t="str">
        <f t="shared" si="175"/>
        <v/>
      </c>
      <c r="AK166" s="118" t="str">
        <f t="shared" si="175"/>
        <v/>
      </c>
      <c r="AL166" s="118" t="str">
        <f t="shared" si="175"/>
        <v/>
      </c>
      <c r="AM166" s="118" t="str">
        <f t="shared" si="175"/>
        <v/>
      </c>
      <c r="AN166" s="118" t="str">
        <f t="shared" si="175"/>
        <v/>
      </c>
      <c r="AO166" s="118" t="str">
        <f t="shared" si="175"/>
        <v/>
      </c>
      <c r="AP166" s="118" t="str">
        <f t="shared" si="175"/>
        <v/>
      </c>
      <c r="AQ166" s="118" t="str">
        <f t="shared" si="175"/>
        <v/>
      </c>
      <c r="AR166" s="118" t="str">
        <f t="shared" si="175"/>
        <v/>
      </c>
      <c r="AS166" s="118" t="str">
        <f t="shared" si="175"/>
        <v/>
      </c>
      <c r="AT166" s="123">
        <f>IF(AT$6="","",IF(AT$3="Maior",iferror(VLOOKUP($R166,Capa!$A:$Z,AT$5,0),0),IF(ISERROR(1/VLOOKUP($R166,Capa!$A:$Z,AT$5,0)),0,1/VLOOKUP($R166,Capa!$A:$Z,AT$5,0))))</f>
        <v>0</v>
      </c>
      <c r="AU166" s="124">
        <f>IF(AU$6="","",IF(AU$3="Maior",iferror(VLOOKUP($R166,Capa!$A:$Z,AU$5,0),0),IF(ISERROR(1/VLOOKUP($R166,Capa!$A:$Z,AU$5,0)),0,1/VLOOKUP($R166,Capa!$A:$Z,AU$5,0))))</f>
        <v>0</v>
      </c>
      <c r="AV166" s="124" t="str">
        <f>IF(AV$6="","",IF(AV$3="Maior",iferror(VLOOKUP($R164,Capa!$A:$Z,AV$5,0),0),IF(ISERROR(1/VLOOKUP($R164,Capa!$A:$Z,AV$5,0)),0,1/VLOOKUP($R164,Capa!$A:$Z,AV$5,0))))</f>
        <v/>
      </c>
      <c r="AW166" s="124" t="str">
        <f>IF(AW$6="","",IF(AW$3="Maior",iferror(VLOOKUP($R164,Capa!$A:$Z,AW$5,0),0),IF(ISERROR(1/VLOOKUP($R164,Capa!$A:$Z,AW$5,0)),0,1/VLOOKUP($R164,Capa!$A:$Z,AW$5,0))))</f>
        <v/>
      </c>
      <c r="AX166" s="124" t="str">
        <f>IF(AX$6="","",IF(AX$3="Maior",iferror(VLOOKUP($R164,Capa!$A:$Z,AX$5,0),0),IF(ISERROR(1/VLOOKUP($R164,Capa!$A:$Z,AX$5,0)),0,1/VLOOKUP($R164,Capa!$A:$Z,AX$5,0))))</f>
        <v/>
      </c>
      <c r="AY166" s="124" t="str">
        <f>IF(AY$6="","",IF(AY$3="Maior",iferror(VLOOKUP($R164,Capa!$A:$Z,AY$5,0),0),IF(ISERROR(1/VLOOKUP($R164,Capa!$A:$Z,AY$5,0)),0,1/VLOOKUP($R164,Capa!$A:$Z,AY$5,0))))</f>
        <v/>
      </c>
      <c r="AZ166" s="124" t="str">
        <f>IF(AZ$6="","",IF(AZ$3="Maior",iferror(VLOOKUP($R164,Capa!$A:$Z,AZ$5,0),0),IF(ISERROR(1/VLOOKUP($R164,Capa!$A:$Z,AZ$5,0)),0,1/VLOOKUP($R164,Capa!$A:$Z,AZ$5,0))))</f>
        <v/>
      </c>
      <c r="BA166" s="124" t="str">
        <f>IF(BA$6="","",IF(BA$3="Maior",iferror(VLOOKUP($R164,Capa!$A:$Z,BA$5,0),0),IF(ISERROR(1/VLOOKUP($R164,Capa!$A:$Z,BA$5,0)),0,1/VLOOKUP($R164,Capa!$A:$Z,BA$5,0))))</f>
        <v/>
      </c>
      <c r="BB166" s="124" t="str">
        <f>IF(BB$6="","",IF(BB$3="Maior",iferror(VLOOKUP($R164,Capa!$A:$Z,BB$5,0),0),IF(ISERROR(1/VLOOKUP($R164,Capa!$A:$Z,BB$5,0)),0,1/VLOOKUP($R164,Capa!$A:$Z,BB$5,0))))</f>
        <v/>
      </c>
      <c r="BC166" s="124" t="str">
        <f>IF(BC$6="","",IF(BC$3="Maior",iferror(VLOOKUP($R164,Capa!$A:$Z,BC$5,0),0),IF(ISERROR(1/VLOOKUP($R164,Capa!$A:$Z,BC$5,0)),0,1/VLOOKUP($R164,Capa!$A:$Z,BC$5,0))))</f>
        <v/>
      </c>
      <c r="BD166" s="124" t="str">
        <f>IF(BD$6="","",IF(BD$3="Maior",iferror(VLOOKUP($R164,Capa!$A:$Z,BD$5,0),0),IF(ISERROR(1/VLOOKUP($R164,Capa!$A:$Z,BD$5,0)),0,1/VLOOKUP($R164,Capa!$A:$Z,BD$5,0))))</f>
        <v/>
      </c>
      <c r="BE166" s="124" t="str">
        <f>IF(BE$6="","",IF(BE$3="Maior",iferror(VLOOKUP($R164,Capa!$A:$Z,BE$5,0),0),IF(ISERROR(1/VLOOKUP($R164,Capa!$A:$Z,BE$5,0)),0,1/VLOOKUP($R164,Capa!$A:$Z,BE$5,0))))</f>
        <v/>
      </c>
      <c r="BF166" s="124" t="str">
        <f>IF(BF$6="","",IF(BF$3="Maior",iferror(VLOOKUP($R164,Capa!$A:$Z,BF$5,0),0),IF(ISERROR(1/VLOOKUP($R164,Capa!$A:$Z,BF$5,0)),0,1/VLOOKUP($R164,Capa!$A:$Z,BF$5,0))))</f>
        <v/>
      </c>
      <c r="BG166" s="124" t="str">
        <f>IF(BG$6="","",IF(BG$3="Maior",iferror(VLOOKUP($R164,Capa!$A:$Z,BG$5,0),0),IF(ISERROR(1/VLOOKUP($R164,Capa!$A:$Z,BG$5,0)),0,1/VLOOKUP($R164,Capa!$A:$Z,BG$5,0))))</f>
        <v/>
      </c>
      <c r="BH166" s="124" t="str">
        <f>IF(BH$6="","",IF(BH$3="Maior",iferror(VLOOKUP($R164,Capa!$A:$Z,BH$5,0),0),IF(ISERROR(1/VLOOKUP($R164,Capa!$A:$Z,BH$5,0)),0,1/VLOOKUP($R164,Capa!$A:$Z,BH$5,0))))</f>
        <v/>
      </c>
      <c r="BI166" s="124" t="str">
        <f>IF(BI$6="","",IF(BI$3="Maior",iferror(VLOOKUP($R164,Capa!$A:$Z,BI$5,0),0),IF(ISERROR(1/VLOOKUP($R164,Capa!$A:$Z,BI$5,0)),0,1/VLOOKUP($R164,Capa!$A:$Z,BI$5,0))))</f>
        <v/>
      </c>
      <c r="BJ166" s="124" t="str">
        <f>IF(BJ$6="","",IF(BJ$3="Maior",iferror(VLOOKUP($R164,Capa!$A:$Z,BJ$5,0),0),IF(ISERROR(1/VLOOKUP($R164,Capa!$A:$Z,BJ$5,0)),0,1/VLOOKUP($R164,Capa!$A:$Z,BJ$5,0))))</f>
        <v/>
      </c>
      <c r="BK166" s="124" t="str">
        <f>IF(BK$6="","",IF(BK$3="Maior",iferror(VLOOKUP($R164,Capa!$A:$Z,BK$5,0),0),IF(ISERROR(1/VLOOKUP($R164,Capa!$A:$Z,BK$5,0)),0,1/VLOOKUP($R164,Capa!$A:$Z,BK$5,0))))</f>
        <v/>
      </c>
      <c r="BL166" s="124" t="str">
        <f>IF(BL$6="","",IF(BL$3="Maior",iferror(VLOOKUP($R164,Capa!$A:$Z,BL$5,0),0),IF(ISERROR(1/VLOOKUP($R164,Capa!$A:$Z,BL$5,0)),0,1/VLOOKUP($R164,Capa!$A:$Z,BL$5,0))))</f>
        <v/>
      </c>
      <c r="BM166" s="124" t="str">
        <f>IF(BM$6="","",IF(BM$3="Maior",iferror(VLOOKUP($R164,Capa!$A:$Z,BM$5,0),0),IF(ISERROR(1/VLOOKUP($R164,Capa!$A:$Z,BM$5,0)),0,1/VLOOKUP($R164,Capa!$A:$Z,BM$5,0))))</f>
        <v/>
      </c>
      <c r="BN166" s="124" t="str">
        <f>IF(BN$6="","",IF(BN$3="Maior",iferror(VLOOKUP($R164,Capa!$A:$Z,BN$5,0),0),IF(ISERROR(1/VLOOKUP($R164,Capa!$A:$Z,BN$5,0)),0,1/VLOOKUP($R164,Capa!$A:$Z,BN$5,0))))</f>
        <v/>
      </c>
      <c r="BO166" s="124" t="str">
        <f>IF(BO$6="","",IF(BO$3="Maior",iferror(VLOOKUP($R164,Capa!$A:$Z,BO$5,0),0),IF(ISERROR(1/VLOOKUP($R164,Capa!$A:$Z,BO$5,0)),0,1/VLOOKUP($R164,Capa!$A:$Z,BO$5,0))))</f>
        <v/>
      </c>
      <c r="BP166" s="124" t="str">
        <f>IF(BP$6="","",IF(BP$3="Maior",iferror(VLOOKUP($R164,Capa!$A:$Z,BP$5,0),0),IF(ISERROR(1/VLOOKUP($R164,Capa!$A:$Z,BP$5,0)),0,1/VLOOKUP($R164,Capa!$A:$Z,BP$5,0))))</f>
        <v/>
      </c>
      <c r="BQ166" s="124" t="str">
        <f>IF(BQ$6="","",IF(BQ$3="Maior",iferror(VLOOKUP($R164,Capa!$A:$Z,BQ$5,0),0),IF(ISERROR(1/VLOOKUP($R164,Capa!$A:$Z,BQ$5,0)),0,1/VLOOKUP($R164,Capa!$A:$Z,BQ$5,0))))</f>
        <v/>
      </c>
      <c r="BR166" s="125" t="str">
        <f>IF(BR$6="","",IF(BR$3="Maior",iferror(VLOOKUP($R164,Capa!$A:$Z,BR$5,0),0),IF(ISERROR(1/VLOOKUP($R164,Capa!$A:$Z,BR$5,0)),0,1/VLOOKUP($R164,Capa!$A:$Z,BR$5,0))))</f>
        <v/>
      </c>
      <c r="BS166" s="88"/>
    </row>
    <row r="167">
      <c r="G167" s="9"/>
      <c r="H167" s="7"/>
      <c r="I167" s="111"/>
      <c r="J167" s="112"/>
      <c r="K167" s="113"/>
      <c r="L167" s="113"/>
      <c r="M167" s="141"/>
      <c r="N167" s="141"/>
      <c r="O167" s="9"/>
      <c r="P167" s="9"/>
      <c r="Q167" s="9"/>
      <c r="R167" s="115" t="s">
        <v>194</v>
      </c>
      <c r="S167" s="116">
        <f t="shared" si="13"/>
        <v>1191.001181</v>
      </c>
      <c r="T167" s="117">
        <f>MID(VLOOKUP($R167,'Dados ClubeFII'!$A:$AU,23,0),3,100)/1</f>
        <v>59666.23</v>
      </c>
      <c r="U167" s="118">
        <f t="shared" si="14"/>
        <v>10.001</v>
      </c>
      <c r="V167" s="118">
        <f t="shared" si="15"/>
        <v>181.000181</v>
      </c>
      <c r="W167" s="118" t="str">
        <f t="shared" ref="W167:AS167" si="176">IF(AV167="","", RANK(AV167,AV$7:AV$405,0))</f>
        <v/>
      </c>
      <c r="X167" s="118" t="str">
        <f t="shared" si="176"/>
        <v/>
      </c>
      <c r="Y167" s="118" t="str">
        <f t="shared" si="176"/>
        <v/>
      </c>
      <c r="Z167" s="118" t="str">
        <f t="shared" si="176"/>
        <v/>
      </c>
      <c r="AA167" s="118" t="str">
        <f t="shared" si="176"/>
        <v/>
      </c>
      <c r="AB167" s="118" t="str">
        <f t="shared" si="176"/>
        <v/>
      </c>
      <c r="AC167" s="118" t="str">
        <f t="shared" si="176"/>
        <v/>
      </c>
      <c r="AD167" s="118" t="str">
        <f t="shared" si="176"/>
        <v/>
      </c>
      <c r="AE167" s="118" t="str">
        <f t="shared" si="176"/>
        <v/>
      </c>
      <c r="AF167" s="118" t="str">
        <f t="shared" si="176"/>
        <v/>
      </c>
      <c r="AG167" s="118" t="str">
        <f t="shared" si="176"/>
        <v/>
      </c>
      <c r="AH167" s="118" t="str">
        <f t="shared" si="176"/>
        <v/>
      </c>
      <c r="AI167" s="118" t="str">
        <f t="shared" si="176"/>
        <v/>
      </c>
      <c r="AJ167" s="118" t="str">
        <f t="shared" si="176"/>
        <v/>
      </c>
      <c r="AK167" s="118" t="str">
        <f t="shared" si="176"/>
        <v/>
      </c>
      <c r="AL167" s="118" t="str">
        <f t="shared" si="176"/>
        <v/>
      </c>
      <c r="AM167" s="118" t="str">
        <f t="shared" si="176"/>
        <v/>
      </c>
      <c r="AN167" s="118" t="str">
        <f t="shared" si="176"/>
        <v/>
      </c>
      <c r="AO167" s="118" t="str">
        <f t="shared" si="176"/>
        <v/>
      </c>
      <c r="AP167" s="118" t="str">
        <f t="shared" si="176"/>
        <v/>
      </c>
      <c r="AQ167" s="118" t="str">
        <f t="shared" si="176"/>
        <v/>
      </c>
      <c r="AR167" s="118" t="str">
        <f t="shared" si="176"/>
        <v/>
      </c>
      <c r="AS167" s="118" t="str">
        <f t="shared" si="176"/>
        <v/>
      </c>
      <c r="AT167" s="123">
        <f>IF(AT$6="","",IF(AT$3="Maior",iferror(VLOOKUP($R167,Capa!$A:$Z,AT$5,0),0),IF(ISERROR(1/VLOOKUP($R167,Capa!$A:$Z,AT$5,0)),0,1/VLOOKUP($R167,Capa!$A:$Z,AT$5,0))))</f>
        <v>2.783245844</v>
      </c>
      <c r="AU167" s="124">
        <f>IF(AU$6="","",IF(AU$3="Maior",iferror(VLOOKUP($R167,Capa!$A:$Z,AU$5,0),0),IF(ISERROR(1/VLOOKUP($R167,Capa!$A:$Z,AU$5,0)),0,1/VLOOKUP($R167,Capa!$A:$Z,AU$5,0))))</f>
        <v>0</v>
      </c>
      <c r="AV167" s="124" t="str">
        <f>IF(AV$6="","",IF(AV$3="Maior",iferror(VLOOKUP($R165,Capa!$A:$Z,AV$5,0),0),IF(ISERROR(1/VLOOKUP($R165,Capa!$A:$Z,AV$5,0)),0,1/VLOOKUP($R165,Capa!$A:$Z,AV$5,0))))</f>
        <v/>
      </c>
      <c r="AW167" s="124" t="str">
        <f>IF(AW$6="","",IF(AW$3="Maior",iferror(VLOOKUP($R165,Capa!$A:$Z,AW$5,0),0),IF(ISERROR(1/VLOOKUP($R165,Capa!$A:$Z,AW$5,0)),0,1/VLOOKUP($R165,Capa!$A:$Z,AW$5,0))))</f>
        <v/>
      </c>
      <c r="AX167" s="124" t="str">
        <f>IF(AX$6="","",IF(AX$3="Maior",iferror(VLOOKUP($R165,Capa!$A:$Z,AX$5,0),0),IF(ISERROR(1/VLOOKUP($R165,Capa!$A:$Z,AX$5,0)),0,1/VLOOKUP($R165,Capa!$A:$Z,AX$5,0))))</f>
        <v/>
      </c>
      <c r="AY167" s="124" t="str">
        <f>IF(AY$6="","",IF(AY$3="Maior",iferror(VLOOKUP($R165,Capa!$A:$Z,AY$5,0),0),IF(ISERROR(1/VLOOKUP($R165,Capa!$A:$Z,AY$5,0)),0,1/VLOOKUP($R165,Capa!$A:$Z,AY$5,0))))</f>
        <v/>
      </c>
      <c r="AZ167" s="124" t="str">
        <f>IF(AZ$6="","",IF(AZ$3="Maior",iferror(VLOOKUP($R165,Capa!$A:$Z,AZ$5,0),0),IF(ISERROR(1/VLOOKUP($R165,Capa!$A:$Z,AZ$5,0)),0,1/VLOOKUP($R165,Capa!$A:$Z,AZ$5,0))))</f>
        <v/>
      </c>
      <c r="BA167" s="124" t="str">
        <f>IF(BA$6="","",IF(BA$3="Maior",iferror(VLOOKUP($R165,Capa!$A:$Z,BA$5,0),0),IF(ISERROR(1/VLOOKUP($R165,Capa!$A:$Z,BA$5,0)),0,1/VLOOKUP($R165,Capa!$A:$Z,BA$5,0))))</f>
        <v/>
      </c>
      <c r="BB167" s="124" t="str">
        <f>IF(BB$6="","",IF(BB$3="Maior",iferror(VLOOKUP($R165,Capa!$A:$Z,BB$5,0),0),IF(ISERROR(1/VLOOKUP($R165,Capa!$A:$Z,BB$5,0)),0,1/VLOOKUP($R165,Capa!$A:$Z,BB$5,0))))</f>
        <v/>
      </c>
      <c r="BC167" s="124" t="str">
        <f>IF(BC$6="","",IF(BC$3="Maior",iferror(VLOOKUP($R165,Capa!$A:$Z,BC$5,0),0),IF(ISERROR(1/VLOOKUP($R165,Capa!$A:$Z,BC$5,0)),0,1/VLOOKUP($R165,Capa!$A:$Z,BC$5,0))))</f>
        <v/>
      </c>
      <c r="BD167" s="124" t="str">
        <f>IF(BD$6="","",IF(BD$3="Maior",iferror(VLOOKUP($R165,Capa!$A:$Z,BD$5,0),0),IF(ISERROR(1/VLOOKUP($R165,Capa!$A:$Z,BD$5,0)),0,1/VLOOKUP($R165,Capa!$A:$Z,BD$5,0))))</f>
        <v/>
      </c>
      <c r="BE167" s="124" t="str">
        <f>IF(BE$6="","",IF(BE$3="Maior",iferror(VLOOKUP($R165,Capa!$A:$Z,BE$5,0),0),IF(ISERROR(1/VLOOKUP($R165,Capa!$A:$Z,BE$5,0)),0,1/VLOOKUP($R165,Capa!$A:$Z,BE$5,0))))</f>
        <v/>
      </c>
      <c r="BF167" s="124" t="str">
        <f>IF(BF$6="","",IF(BF$3="Maior",iferror(VLOOKUP($R165,Capa!$A:$Z,BF$5,0),0),IF(ISERROR(1/VLOOKUP($R165,Capa!$A:$Z,BF$5,0)),0,1/VLOOKUP($R165,Capa!$A:$Z,BF$5,0))))</f>
        <v/>
      </c>
      <c r="BG167" s="124" t="str">
        <f>IF(BG$6="","",IF(BG$3="Maior",iferror(VLOOKUP($R165,Capa!$A:$Z,BG$5,0),0),IF(ISERROR(1/VLOOKUP($R165,Capa!$A:$Z,BG$5,0)),0,1/VLOOKUP($R165,Capa!$A:$Z,BG$5,0))))</f>
        <v/>
      </c>
      <c r="BH167" s="124" t="str">
        <f>IF(BH$6="","",IF(BH$3="Maior",iferror(VLOOKUP($R165,Capa!$A:$Z,BH$5,0),0),IF(ISERROR(1/VLOOKUP($R165,Capa!$A:$Z,BH$5,0)),0,1/VLOOKUP($R165,Capa!$A:$Z,BH$5,0))))</f>
        <v/>
      </c>
      <c r="BI167" s="124" t="str">
        <f>IF(BI$6="","",IF(BI$3="Maior",iferror(VLOOKUP($R165,Capa!$A:$Z,BI$5,0),0),IF(ISERROR(1/VLOOKUP($R165,Capa!$A:$Z,BI$5,0)),0,1/VLOOKUP($R165,Capa!$A:$Z,BI$5,0))))</f>
        <v/>
      </c>
      <c r="BJ167" s="124" t="str">
        <f>IF(BJ$6="","",IF(BJ$3="Maior",iferror(VLOOKUP($R165,Capa!$A:$Z,BJ$5,0),0),IF(ISERROR(1/VLOOKUP($R165,Capa!$A:$Z,BJ$5,0)),0,1/VLOOKUP($R165,Capa!$A:$Z,BJ$5,0))))</f>
        <v/>
      </c>
      <c r="BK167" s="124" t="str">
        <f>IF(BK$6="","",IF(BK$3="Maior",iferror(VLOOKUP($R165,Capa!$A:$Z,BK$5,0),0),IF(ISERROR(1/VLOOKUP($R165,Capa!$A:$Z,BK$5,0)),0,1/VLOOKUP($R165,Capa!$A:$Z,BK$5,0))))</f>
        <v/>
      </c>
      <c r="BL167" s="124" t="str">
        <f>IF(BL$6="","",IF(BL$3="Maior",iferror(VLOOKUP($R165,Capa!$A:$Z,BL$5,0),0),IF(ISERROR(1/VLOOKUP($R165,Capa!$A:$Z,BL$5,0)),0,1/VLOOKUP($R165,Capa!$A:$Z,BL$5,0))))</f>
        <v/>
      </c>
      <c r="BM167" s="124" t="str">
        <f>IF(BM$6="","",IF(BM$3="Maior",iferror(VLOOKUP($R165,Capa!$A:$Z,BM$5,0),0),IF(ISERROR(1/VLOOKUP($R165,Capa!$A:$Z,BM$5,0)),0,1/VLOOKUP($R165,Capa!$A:$Z,BM$5,0))))</f>
        <v/>
      </c>
      <c r="BN167" s="124" t="str">
        <f>IF(BN$6="","",IF(BN$3="Maior",iferror(VLOOKUP($R165,Capa!$A:$Z,BN$5,0),0),IF(ISERROR(1/VLOOKUP($R165,Capa!$A:$Z,BN$5,0)),0,1/VLOOKUP($R165,Capa!$A:$Z,BN$5,0))))</f>
        <v/>
      </c>
      <c r="BO167" s="124" t="str">
        <f>IF(BO$6="","",IF(BO$3="Maior",iferror(VLOOKUP($R165,Capa!$A:$Z,BO$5,0),0),IF(ISERROR(1/VLOOKUP($R165,Capa!$A:$Z,BO$5,0)),0,1/VLOOKUP($R165,Capa!$A:$Z,BO$5,0))))</f>
        <v/>
      </c>
      <c r="BP167" s="124" t="str">
        <f>IF(BP$6="","",IF(BP$3="Maior",iferror(VLOOKUP($R165,Capa!$A:$Z,BP$5,0),0),IF(ISERROR(1/VLOOKUP($R165,Capa!$A:$Z,BP$5,0)),0,1/VLOOKUP($R165,Capa!$A:$Z,BP$5,0))))</f>
        <v/>
      </c>
      <c r="BQ167" s="124" t="str">
        <f>IF(BQ$6="","",IF(BQ$3="Maior",iferror(VLOOKUP($R165,Capa!$A:$Z,BQ$5,0),0),IF(ISERROR(1/VLOOKUP($R165,Capa!$A:$Z,BQ$5,0)),0,1/VLOOKUP($R165,Capa!$A:$Z,BQ$5,0))))</f>
        <v/>
      </c>
      <c r="BR167" s="125" t="str">
        <f>IF(BR$6="","",IF(BR$3="Maior",iferror(VLOOKUP($R165,Capa!$A:$Z,BR$5,0),0),IF(ISERROR(1/VLOOKUP($R165,Capa!$A:$Z,BR$5,0)),0,1/VLOOKUP($R165,Capa!$A:$Z,BR$5,0))))</f>
        <v/>
      </c>
      <c r="BS167" s="88"/>
    </row>
    <row r="168">
      <c r="G168" s="9"/>
      <c r="H168" s="7"/>
      <c r="I168" s="111"/>
      <c r="J168" s="112"/>
      <c r="K168" s="113"/>
      <c r="L168" s="113"/>
      <c r="M168" s="141"/>
      <c r="N168" s="141"/>
      <c r="O168" s="9"/>
      <c r="P168" s="9"/>
      <c r="Q168" s="9"/>
      <c r="R168" s="115" t="s">
        <v>197</v>
      </c>
      <c r="S168" s="116">
        <f t="shared" si="13"/>
        <v>1358.018178</v>
      </c>
      <c r="T168" s="117">
        <f>MID(VLOOKUP($R168,'Dados ClubeFII'!$A:$AU,23,0),3,100)/1</f>
        <v>7739.76</v>
      </c>
      <c r="U168" s="118">
        <f t="shared" si="14"/>
        <v>180.018</v>
      </c>
      <c r="V168" s="118">
        <f t="shared" si="15"/>
        <v>178.000178</v>
      </c>
      <c r="W168" s="118" t="str">
        <f t="shared" ref="W168:AS168" si="177">IF(AV168="","", RANK(AV168,AV$7:AV$405,0))</f>
        <v/>
      </c>
      <c r="X168" s="118" t="str">
        <f t="shared" si="177"/>
        <v/>
      </c>
      <c r="Y168" s="118" t="str">
        <f t="shared" si="177"/>
        <v/>
      </c>
      <c r="Z168" s="118" t="str">
        <f t="shared" si="177"/>
        <v/>
      </c>
      <c r="AA168" s="118" t="str">
        <f t="shared" si="177"/>
        <v/>
      </c>
      <c r="AB168" s="118" t="str">
        <f t="shared" si="177"/>
        <v/>
      </c>
      <c r="AC168" s="118" t="str">
        <f t="shared" si="177"/>
        <v/>
      </c>
      <c r="AD168" s="118" t="str">
        <f t="shared" si="177"/>
        <v/>
      </c>
      <c r="AE168" s="118" t="str">
        <f t="shared" si="177"/>
        <v/>
      </c>
      <c r="AF168" s="118" t="str">
        <f t="shared" si="177"/>
        <v/>
      </c>
      <c r="AG168" s="118" t="str">
        <f t="shared" si="177"/>
        <v/>
      </c>
      <c r="AH168" s="118" t="str">
        <f t="shared" si="177"/>
        <v/>
      </c>
      <c r="AI168" s="118" t="str">
        <f t="shared" si="177"/>
        <v/>
      </c>
      <c r="AJ168" s="118" t="str">
        <f t="shared" si="177"/>
        <v/>
      </c>
      <c r="AK168" s="118" t="str">
        <f t="shared" si="177"/>
        <v/>
      </c>
      <c r="AL168" s="118" t="str">
        <f t="shared" si="177"/>
        <v/>
      </c>
      <c r="AM168" s="118" t="str">
        <f t="shared" si="177"/>
        <v/>
      </c>
      <c r="AN168" s="118" t="str">
        <f t="shared" si="177"/>
        <v/>
      </c>
      <c r="AO168" s="118" t="str">
        <f t="shared" si="177"/>
        <v/>
      </c>
      <c r="AP168" s="118" t="str">
        <f t="shared" si="177"/>
        <v/>
      </c>
      <c r="AQ168" s="118" t="str">
        <f t="shared" si="177"/>
        <v/>
      </c>
      <c r="AR168" s="118" t="str">
        <f t="shared" si="177"/>
        <v/>
      </c>
      <c r="AS168" s="118" t="str">
        <f t="shared" si="177"/>
        <v/>
      </c>
      <c r="AT168" s="123">
        <f>IF(AT$6="","",IF(AT$3="Maior",iferror(VLOOKUP($R168,Capa!$A:$Z,AT$5,0),0),IF(ISERROR(1/VLOOKUP($R168,Capa!$A:$Z,AT$5,0)),0,1/VLOOKUP($R168,Capa!$A:$Z,AT$5,0))))</f>
        <v>0.9557604501</v>
      </c>
      <c r="AU168" s="124">
        <f>IF(AU$6="","",IF(AU$3="Maior",iferror(VLOOKUP($R168,Capa!$A:$Z,AU$5,0),0),IF(ISERROR(1/VLOOKUP($R168,Capa!$A:$Z,AU$5,0)),0,1/VLOOKUP($R168,Capa!$A:$Z,AU$5,0))))</f>
        <v>0.0069299547</v>
      </c>
      <c r="AV168" s="124" t="str">
        <f>IF(AV$6="","",IF(AV$3="Maior",iferror(VLOOKUP($R166,Capa!$A:$Z,AV$5,0),0),IF(ISERROR(1/VLOOKUP($R166,Capa!$A:$Z,AV$5,0)),0,1/VLOOKUP($R166,Capa!$A:$Z,AV$5,0))))</f>
        <v/>
      </c>
      <c r="AW168" s="124" t="str">
        <f>IF(AW$6="","",IF(AW$3="Maior",iferror(VLOOKUP($R166,Capa!$A:$Z,AW$5,0),0),IF(ISERROR(1/VLOOKUP($R166,Capa!$A:$Z,AW$5,0)),0,1/VLOOKUP($R166,Capa!$A:$Z,AW$5,0))))</f>
        <v/>
      </c>
      <c r="AX168" s="124" t="str">
        <f>IF(AX$6="","",IF(AX$3="Maior",iferror(VLOOKUP($R166,Capa!$A:$Z,AX$5,0),0),IF(ISERROR(1/VLOOKUP($R166,Capa!$A:$Z,AX$5,0)),0,1/VLOOKUP($R166,Capa!$A:$Z,AX$5,0))))</f>
        <v/>
      </c>
      <c r="AY168" s="124" t="str">
        <f>IF(AY$6="","",IF(AY$3="Maior",iferror(VLOOKUP($R166,Capa!$A:$Z,AY$5,0),0),IF(ISERROR(1/VLOOKUP($R166,Capa!$A:$Z,AY$5,0)),0,1/VLOOKUP($R166,Capa!$A:$Z,AY$5,0))))</f>
        <v/>
      </c>
      <c r="AZ168" s="124" t="str">
        <f>IF(AZ$6="","",IF(AZ$3="Maior",iferror(VLOOKUP($R166,Capa!$A:$Z,AZ$5,0),0),IF(ISERROR(1/VLOOKUP($R166,Capa!$A:$Z,AZ$5,0)),0,1/VLOOKUP($R166,Capa!$A:$Z,AZ$5,0))))</f>
        <v/>
      </c>
      <c r="BA168" s="124" t="str">
        <f>IF(BA$6="","",IF(BA$3="Maior",iferror(VLOOKUP($R166,Capa!$A:$Z,BA$5,0),0),IF(ISERROR(1/VLOOKUP($R166,Capa!$A:$Z,BA$5,0)),0,1/VLOOKUP($R166,Capa!$A:$Z,BA$5,0))))</f>
        <v/>
      </c>
      <c r="BB168" s="124" t="str">
        <f>IF(BB$6="","",IF(BB$3="Maior",iferror(VLOOKUP($R166,Capa!$A:$Z,BB$5,0),0),IF(ISERROR(1/VLOOKUP($R166,Capa!$A:$Z,BB$5,0)),0,1/VLOOKUP($R166,Capa!$A:$Z,BB$5,0))))</f>
        <v/>
      </c>
      <c r="BC168" s="124" t="str">
        <f>IF(BC$6="","",IF(BC$3="Maior",iferror(VLOOKUP($R166,Capa!$A:$Z,BC$5,0),0),IF(ISERROR(1/VLOOKUP($R166,Capa!$A:$Z,BC$5,0)),0,1/VLOOKUP($R166,Capa!$A:$Z,BC$5,0))))</f>
        <v/>
      </c>
      <c r="BD168" s="124" t="str">
        <f>IF(BD$6="","",IF(BD$3="Maior",iferror(VLOOKUP($R166,Capa!$A:$Z,BD$5,0),0),IF(ISERROR(1/VLOOKUP($R166,Capa!$A:$Z,BD$5,0)),0,1/VLOOKUP($R166,Capa!$A:$Z,BD$5,0))))</f>
        <v/>
      </c>
      <c r="BE168" s="124" t="str">
        <f>IF(BE$6="","",IF(BE$3="Maior",iferror(VLOOKUP($R166,Capa!$A:$Z,BE$5,0),0),IF(ISERROR(1/VLOOKUP($R166,Capa!$A:$Z,BE$5,0)),0,1/VLOOKUP($R166,Capa!$A:$Z,BE$5,0))))</f>
        <v/>
      </c>
      <c r="BF168" s="124" t="str">
        <f>IF(BF$6="","",IF(BF$3="Maior",iferror(VLOOKUP($R166,Capa!$A:$Z,BF$5,0),0),IF(ISERROR(1/VLOOKUP($R166,Capa!$A:$Z,BF$5,0)),0,1/VLOOKUP($R166,Capa!$A:$Z,BF$5,0))))</f>
        <v/>
      </c>
      <c r="BG168" s="124" t="str">
        <f>IF(BG$6="","",IF(BG$3="Maior",iferror(VLOOKUP($R166,Capa!$A:$Z,BG$5,0),0),IF(ISERROR(1/VLOOKUP($R166,Capa!$A:$Z,BG$5,0)),0,1/VLOOKUP($R166,Capa!$A:$Z,BG$5,0))))</f>
        <v/>
      </c>
      <c r="BH168" s="124" t="str">
        <f>IF(BH$6="","",IF(BH$3="Maior",iferror(VLOOKUP($R166,Capa!$A:$Z,BH$5,0),0),IF(ISERROR(1/VLOOKUP($R166,Capa!$A:$Z,BH$5,0)),0,1/VLOOKUP($R166,Capa!$A:$Z,BH$5,0))))</f>
        <v/>
      </c>
      <c r="BI168" s="124" t="str">
        <f>IF(BI$6="","",IF(BI$3="Maior",iferror(VLOOKUP($R166,Capa!$A:$Z,BI$5,0),0),IF(ISERROR(1/VLOOKUP($R166,Capa!$A:$Z,BI$5,0)),0,1/VLOOKUP($R166,Capa!$A:$Z,BI$5,0))))</f>
        <v/>
      </c>
      <c r="BJ168" s="124" t="str">
        <f>IF(BJ$6="","",IF(BJ$3="Maior",iferror(VLOOKUP($R166,Capa!$A:$Z,BJ$5,0),0),IF(ISERROR(1/VLOOKUP($R166,Capa!$A:$Z,BJ$5,0)),0,1/VLOOKUP($R166,Capa!$A:$Z,BJ$5,0))))</f>
        <v/>
      </c>
      <c r="BK168" s="124" t="str">
        <f>IF(BK$6="","",IF(BK$3="Maior",iferror(VLOOKUP($R166,Capa!$A:$Z,BK$5,0),0),IF(ISERROR(1/VLOOKUP($R166,Capa!$A:$Z,BK$5,0)),0,1/VLOOKUP($R166,Capa!$A:$Z,BK$5,0))))</f>
        <v/>
      </c>
      <c r="BL168" s="124" t="str">
        <f>IF(BL$6="","",IF(BL$3="Maior",iferror(VLOOKUP($R166,Capa!$A:$Z,BL$5,0),0),IF(ISERROR(1/VLOOKUP($R166,Capa!$A:$Z,BL$5,0)),0,1/VLOOKUP($R166,Capa!$A:$Z,BL$5,0))))</f>
        <v/>
      </c>
      <c r="BM168" s="124" t="str">
        <f>IF(BM$6="","",IF(BM$3="Maior",iferror(VLOOKUP($R166,Capa!$A:$Z,BM$5,0),0),IF(ISERROR(1/VLOOKUP($R166,Capa!$A:$Z,BM$5,0)),0,1/VLOOKUP($R166,Capa!$A:$Z,BM$5,0))))</f>
        <v/>
      </c>
      <c r="BN168" s="124" t="str">
        <f>IF(BN$6="","",IF(BN$3="Maior",iferror(VLOOKUP($R166,Capa!$A:$Z,BN$5,0),0),IF(ISERROR(1/VLOOKUP($R166,Capa!$A:$Z,BN$5,0)),0,1/VLOOKUP($R166,Capa!$A:$Z,BN$5,0))))</f>
        <v/>
      </c>
      <c r="BO168" s="124" t="str">
        <f>IF(BO$6="","",IF(BO$3="Maior",iferror(VLOOKUP($R166,Capa!$A:$Z,BO$5,0),0),IF(ISERROR(1/VLOOKUP($R166,Capa!$A:$Z,BO$5,0)),0,1/VLOOKUP($R166,Capa!$A:$Z,BO$5,0))))</f>
        <v/>
      </c>
      <c r="BP168" s="124" t="str">
        <f>IF(BP$6="","",IF(BP$3="Maior",iferror(VLOOKUP($R166,Capa!$A:$Z,BP$5,0),0),IF(ISERROR(1/VLOOKUP($R166,Capa!$A:$Z,BP$5,0)),0,1/VLOOKUP($R166,Capa!$A:$Z,BP$5,0))))</f>
        <v/>
      </c>
      <c r="BQ168" s="124" t="str">
        <f>IF(BQ$6="","",IF(BQ$3="Maior",iferror(VLOOKUP($R166,Capa!$A:$Z,BQ$5,0),0),IF(ISERROR(1/VLOOKUP($R166,Capa!$A:$Z,BQ$5,0)),0,1/VLOOKUP($R166,Capa!$A:$Z,BQ$5,0))))</f>
        <v/>
      </c>
      <c r="BR168" s="125" t="str">
        <f>IF(BR$6="","",IF(BR$3="Maior",iferror(VLOOKUP($R166,Capa!$A:$Z,BR$5,0),0),IF(ISERROR(1/VLOOKUP($R166,Capa!$A:$Z,BR$5,0)),0,1/VLOOKUP($R166,Capa!$A:$Z,BR$5,0))))</f>
        <v/>
      </c>
      <c r="BS168" s="88"/>
    </row>
    <row r="169">
      <c r="G169" s="9"/>
      <c r="H169" s="7"/>
      <c r="I169" s="111"/>
      <c r="J169" s="112"/>
      <c r="K169" s="113"/>
      <c r="L169" s="113"/>
      <c r="M169" s="141"/>
      <c r="N169" s="141"/>
      <c r="O169" s="9"/>
      <c r="P169" s="9"/>
      <c r="Q169" s="9"/>
      <c r="R169" s="127" t="s">
        <v>206</v>
      </c>
      <c r="S169" s="116">
        <f t="shared" si="13"/>
        <v>1367.018781</v>
      </c>
      <c r="T169" s="117">
        <f>MID(VLOOKUP($R169,'Dados ClubeFII'!$A:$AU,23,0),3,100)/1</f>
        <v>21613.97</v>
      </c>
      <c r="U169" s="118">
        <f t="shared" si="14"/>
        <v>186.0186</v>
      </c>
      <c r="V169" s="118">
        <f t="shared" si="15"/>
        <v>181.000181</v>
      </c>
      <c r="W169" s="118" t="str">
        <f t="shared" ref="W169:AS169" si="178">IF(AV169="","", RANK(AV169,AV$7:AV$405,0))</f>
        <v/>
      </c>
      <c r="X169" s="118" t="str">
        <f t="shared" si="178"/>
        <v/>
      </c>
      <c r="Y169" s="118" t="str">
        <f t="shared" si="178"/>
        <v/>
      </c>
      <c r="Z169" s="118" t="str">
        <f t="shared" si="178"/>
        <v/>
      </c>
      <c r="AA169" s="118" t="str">
        <f t="shared" si="178"/>
        <v/>
      </c>
      <c r="AB169" s="118" t="str">
        <f t="shared" si="178"/>
        <v/>
      </c>
      <c r="AC169" s="118" t="str">
        <f t="shared" si="178"/>
        <v/>
      </c>
      <c r="AD169" s="118" t="str">
        <f t="shared" si="178"/>
        <v/>
      </c>
      <c r="AE169" s="118" t="str">
        <f t="shared" si="178"/>
        <v/>
      </c>
      <c r="AF169" s="118" t="str">
        <f t="shared" si="178"/>
        <v/>
      </c>
      <c r="AG169" s="118" t="str">
        <f t="shared" si="178"/>
        <v/>
      </c>
      <c r="AH169" s="118" t="str">
        <f t="shared" si="178"/>
        <v/>
      </c>
      <c r="AI169" s="118" t="str">
        <f t="shared" si="178"/>
        <v/>
      </c>
      <c r="AJ169" s="118" t="str">
        <f t="shared" si="178"/>
        <v/>
      </c>
      <c r="AK169" s="118" t="str">
        <f t="shared" si="178"/>
        <v/>
      </c>
      <c r="AL169" s="118" t="str">
        <f t="shared" si="178"/>
        <v/>
      </c>
      <c r="AM169" s="118" t="str">
        <f t="shared" si="178"/>
        <v/>
      </c>
      <c r="AN169" s="118" t="str">
        <f t="shared" si="178"/>
        <v/>
      </c>
      <c r="AO169" s="118" t="str">
        <f t="shared" si="178"/>
        <v/>
      </c>
      <c r="AP169" s="118" t="str">
        <f t="shared" si="178"/>
        <v/>
      </c>
      <c r="AQ169" s="118" t="str">
        <f t="shared" si="178"/>
        <v/>
      </c>
      <c r="AR169" s="118" t="str">
        <f t="shared" si="178"/>
        <v/>
      </c>
      <c r="AS169" s="118" t="str">
        <f t="shared" si="178"/>
        <v/>
      </c>
      <c r="AT169" s="123">
        <f>IF(AT$6="","",IF(AT$3="Maior",iferror(VLOOKUP($R169,Capa!$A:$Z,AT$5,0),0),IF(ISERROR(1/VLOOKUP($R169,Capa!$A:$Z,AT$5,0)),0,1/VLOOKUP($R169,Capa!$A:$Z,AT$5,0))))</f>
        <v>0</v>
      </c>
      <c r="AU169" s="124">
        <f>IF(AU$6="","",IF(AU$3="Maior",iferror(VLOOKUP($R169,Capa!$A:$Z,AU$5,0),0),IF(ISERROR(1/VLOOKUP($R169,Capa!$A:$Z,AU$5,0)),0,1/VLOOKUP($R169,Capa!$A:$Z,AU$5,0))))</f>
        <v>0</v>
      </c>
      <c r="AV169" s="124" t="str">
        <f>IF(AV$6="","",IF(AV$3="Maior",iferror(VLOOKUP($R167,Capa!$A:$Z,AV$5,0),0),IF(ISERROR(1/VLOOKUP($R167,Capa!$A:$Z,AV$5,0)),0,1/VLOOKUP($R167,Capa!$A:$Z,AV$5,0))))</f>
        <v/>
      </c>
      <c r="AW169" s="124" t="str">
        <f>IF(AW$6="","",IF(AW$3="Maior",iferror(VLOOKUP($R167,Capa!$A:$Z,AW$5,0),0),IF(ISERROR(1/VLOOKUP($R167,Capa!$A:$Z,AW$5,0)),0,1/VLOOKUP($R167,Capa!$A:$Z,AW$5,0))))</f>
        <v/>
      </c>
      <c r="AX169" s="124" t="str">
        <f>IF(AX$6="","",IF(AX$3="Maior",iferror(VLOOKUP($R167,Capa!$A:$Z,AX$5,0),0),IF(ISERROR(1/VLOOKUP($R167,Capa!$A:$Z,AX$5,0)),0,1/VLOOKUP($R167,Capa!$A:$Z,AX$5,0))))</f>
        <v/>
      </c>
      <c r="AY169" s="124" t="str">
        <f>IF(AY$6="","",IF(AY$3="Maior",iferror(VLOOKUP($R167,Capa!$A:$Z,AY$5,0),0),IF(ISERROR(1/VLOOKUP($R167,Capa!$A:$Z,AY$5,0)),0,1/VLOOKUP($R167,Capa!$A:$Z,AY$5,0))))</f>
        <v/>
      </c>
      <c r="AZ169" s="124" t="str">
        <f>IF(AZ$6="","",IF(AZ$3="Maior",iferror(VLOOKUP($R167,Capa!$A:$Z,AZ$5,0),0),IF(ISERROR(1/VLOOKUP($R167,Capa!$A:$Z,AZ$5,0)),0,1/VLOOKUP($R167,Capa!$A:$Z,AZ$5,0))))</f>
        <v/>
      </c>
      <c r="BA169" s="124" t="str">
        <f>IF(BA$6="","",IF(BA$3="Maior",iferror(VLOOKUP($R167,Capa!$A:$Z,BA$5,0),0),IF(ISERROR(1/VLOOKUP($R167,Capa!$A:$Z,BA$5,0)),0,1/VLOOKUP($R167,Capa!$A:$Z,BA$5,0))))</f>
        <v/>
      </c>
      <c r="BB169" s="124" t="str">
        <f>IF(BB$6="","",IF(BB$3="Maior",iferror(VLOOKUP($R167,Capa!$A:$Z,BB$5,0),0),IF(ISERROR(1/VLOOKUP($R167,Capa!$A:$Z,BB$5,0)),0,1/VLOOKUP($R167,Capa!$A:$Z,BB$5,0))))</f>
        <v/>
      </c>
      <c r="BC169" s="124" t="str">
        <f>IF(BC$6="","",IF(BC$3="Maior",iferror(VLOOKUP($R167,Capa!$A:$Z,BC$5,0),0),IF(ISERROR(1/VLOOKUP($R167,Capa!$A:$Z,BC$5,0)),0,1/VLOOKUP($R167,Capa!$A:$Z,BC$5,0))))</f>
        <v/>
      </c>
      <c r="BD169" s="124" t="str">
        <f>IF(BD$6="","",IF(BD$3="Maior",iferror(VLOOKUP($R167,Capa!$A:$Z,BD$5,0),0),IF(ISERROR(1/VLOOKUP($R167,Capa!$A:$Z,BD$5,0)),0,1/VLOOKUP($R167,Capa!$A:$Z,BD$5,0))))</f>
        <v/>
      </c>
      <c r="BE169" s="124" t="str">
        <f>IF(BE$6="","",IF(BE$3="Maior",iferror(VLOOKUP($R167,Capa!$A:$Z,BE$5,0),0),IF(ISERROR(1/VLOOKUP($R167,Capa!$A:$Z,BE$5,0)),0,1/VLOOKUP($R167,Capa!$A:$Z,BE$5,0))))</f>
        <v/>
      </c>
      <c r="BF169" s="124" t="str">
        <f>IF(BF$6="","",IF(BF$3="Maior",iferror(VLOOKUP($R167,Capa!$A:$Z,BF$5,0),0),IF(ISERROR(1/VLOOKUP($R167,Capa!$A:$Z,BF$5,0)),0,1/VLOOKUP($R167,Capa!$A:$Z,BF$5,0))))</f>
        <v/>
      </c>
      <c r="BG169" s="124" t="str">
        <f>IF(BG$6="","",IF(BG$3="Maior",iferror(VLOOKUP($R167,Capa!$A:$Z,BG$5,0),0),IF(ISERROR(1/VLOOKUP($R167,Capa!$A:$Z,BG$5,0)),0,1/VLOOKUP($R167,Capa!$A:$Z,BG$5,0))))</f>
        <v/>
      </c>
      <c r="BH169" s="124" t="str">
        <f>IF(BH$6="","",IF(BH$3="Maior",iferror(VLOOKUP($R167,Capa!$A:$Z,BH$5,0),0),IF(ISERROR(1/VLOOKUP($R167,Capa!$A:$Z,BH$5,0)),0,1/VLOOKUP($R167,Capa!$A:$Z,BH$5,0))))</f>
        <v/>
      </c>
      <c r="BI169" s="124" t="str">
        <f>IF(BI$6="","",IF(BI$3="Maior",iferror(VLOOKUP($R167,Capa!$A:$Z,BI$5,0),0),IF(ISERROR(1/VLOOKUP($R167,Capa!$A:$Z,BI$5,0)),0,1/VLOOKUP($R167,Capa!$A:$Z,BI$5,0))))</f>
        <v/>
      </c>
      <c r="BJ169" s="124" t="str">
        <f>IF(BJ$6="","",IF(BJ$3="Maior",iferror(VLOOKUP($R167,Capa!$A:$Z,BJ$5,0),0),IF(ISERROR(1/VLOOKUP($R167,Capa!$A:$Z,BJ$5,0)),0,1/VLOOKUP($R167,Capa!$A:$Z,BJ$5,0))))</f>
        <v/>
      </c>
      <c r="BK169" s="124" t="str">
        <f>IF(BK$6="","",IF(BK$3="Maior",iferror(VLOOKUP($R167,Capa!$A:$Z,BK$5,0),0),IF(ISERROR(1/VLOOKUP($R167,Capa!$A:$Z,BK$5,0)),0,1/VLOOKUP($R167,Capa!$A:$Z,BK$5,0))))</f>
        <v/>
      </c>
      <c r="BL169" s="124" t="str">
        <f>IF(BL$6="","",IF(BL$3="Maior",iferror(VLOOKUP($R167,Capa!$A:$Z,BL$5,0),0),IF(ISERROR(1/VLOOKUP($R167,Capa!$A:$Z,BL$5,0)),0,1/VLOOKUP($R167,Capa!$A:$Z,BL$5,0))))</f>
        <v/>
      </c>
      <c r="BM169" s="124" t="str">
        <f>IF(BM$6="","",IF(BM$3="Maior",iferror(VLOOKUP($R167,Capa!$A:$Z,BM$5,0),0),IF(ISERROR(1/VLOOKUP($R167,Capa!$A:$Z,BM$5,0)),0,1/VLOOKUP($R167,Capa!$A:$Z,BM$5,0))))</f>
        <v/>
      </c>
      <c r="BN169" s="124" t="str">
        <f>IF(BN$6="","",IF(BN$3="Maior",iferror(VLOOKUP($R167,Capa!$A:$Z,BN$5,0),0),IF(ISERROR(1/VLOOKUP($R167,Capa!$A:$Z,BN$5,0)),0,1/VLOOKUP($R167,Capa!$A:$Z,BN$5,0))))</f>
        <v/>
      </c>
      <c r="BO169" s="124" t="str">
        <f>IF(BO$6="","",IF(BO$3="Maior",iferror(VLOOKUP($R167,Capa!$A:$Z,BO$5,0),0),IF(ISERROR(1/VLOOKUP($R167,Capa!$A:$Z,BO$5,0)),0,1/VLOOKUP($R167,Capa!$A:$Z,BO$5,0))))</f>
        <v/>
      </c>
      <c r="BP169" s="124" t="str">
        <f>IF(BP$6="","",IF(BP$3="Maior",iferror(VLOOKUP($R167,Capa!$A:$Z,BP$5,0),0),IF(ISERROR(1/VLOOKUP($R167,Capa!$A:$Z,BP$5,0)),0,1/VLOOKUP($R167,Capa!$A:$Z,BP$5,0))))</f>
        <v/>
      </c>
      <c r="BQ169" s="124" t="str">
        <f>IF(BQ$6="","",IF(BQ$3="Maior",iferror(VLOOKUP($R167,Capa!$A:$Z,BQ$5,0),0),IF(ISERROR(1/VLOOKUP($R167,Capa!$A:$Z,BQ$5,0)),0,1/VLOOKUP($R167,Capa!$A:$Z,BQ$5,0))))</f>
        <v/>
      </c>
      <c r="BR169" s="125" t="str">
        <f>IF(BR$6="","",IF(BR$3="Maior",iferror(VLOOKUP($R167,Capa!$A:$Z,BR$5,0),0),IF(ISERROR(1/VLOOKUP($R167,Capa!$A:$Z,BR$5,0)),0,1/VLOOKUP($R167,Capa!$A:$Z,BR$5,0))))</f>
        <v/>
      </c>
      <c r="BS169" s="88"/>
    </row>
    <row r="170">
      <c r="G170" s="9"/>
      <c r="H170" s="7"/>
      <c r="I170" s="111"/>
      <c r="J170" s="112"/>
      <c r="K170" s="113"/>
      <c r="L170" s="113"/>
      <c r="M170" s="141"/>
      <c r="N170" s="141"/>
      <c r="O170" s="9"/>
      <c r="P170" s="9"/>
      <c r="Q170" s="9"/>
      <c r="R170" s="127" t="s">
        <v>204</v>
      </c>
      <c r="S170" s="116">
        <f t="shared" si="13"/>
        <v>1225.006462</v>
      </c>
      <c r="T170" s="117">
        <f>MID(VLOOKUP($R170,'Dados ClubeFII'!$A:$AU,23,0),3,100)/1</f>
        <v>6072.36</v>
      </c>
      <c r="U170" s="118">
        <f t="shared" si="14"/>
        <v>63.0063</v>
      </c>
      <c r="V170" s="118">
        <f t="shared" si="15"/>
        <v>162.000162</v>
      </c>
      <c r="W170" s="118" t="str">
        <f t="shared" ref="W170:AS170" si="179">IF(AV170="","", RANK(AV170,AV$7:AV$405,0))</f>
        <v/>
      </c>
      <c r="X170" s="118" t="str">
        <f t="shared" si="179"/>
        <v/>
      </c>
      <c r="Y170" s="118" t="str">
        <f t="shared" si="179"/>
        <v/>
      </c>
      <c r="Z170" s="118" t="str">
        <f t="shared" si="179"/>
        <v/>
      </c>
      <c r="AA170" s="118" t="str">
        <f t="shared" si="179"/>
        <v/>
      </c>
      <c r="AB170" s="118" t="str">
        <f t="shared" si="179"/>
        <v/>
      </c>
      <c r="AC170" s="118" t="str">
        <f t="shared" si="179"/>
        <v/>
      </c>
      <c r="AD170" s="118" t="str">
        <f t="shared" si="179"/>
        <v/>
      </c>
      <c r="AE170" s="118" t="str">
        <f t="shared" si="179"/>
        <v/>
      </c>
      <c r="AF170" s="118" t="str">
        <f t="shared" si="179"/>
        <v/>
      </c>
      <c r="AG170" s="118" t="str">
        <f t="shared" si="179"/>
        <v/>
      </c>
      <c r="AH170" s="118" t="str">
        <f t="shared" si="179"/>
        <v/>
      </c>
      <c r="AI170" s="118" t="str">
        <f t="shared" si="179"/>
        <v/>
      </c>
      <c r="AJ170" s="118" t="str">
        <f t="shared" si="179"/>
        <v/>
      </c>
      <c r="AK170" s="118" t="str">
        <f t="shared" si="179"/>
        <v/>
      </c>
      <c r="AL170" s="118" t="str">
        <f t="shared" si="179"/>
        <v/>
      </c>
      <c r="AM170" s="118" t="str">
        <f t="shared" si="179"/>
        <v/>
      </c>
      <c r="AN170" s="118" t="str">
        <f t="shared" si="179"/>
        <v/>
      </c>
      <c r="AO170" s="118" t="str">
        <f t="shared" si="179"/>
        <v/>
      </c>
      <c r="AP170" s="118" t="str">
        <f t="shared" si="179"/>
        <v/>
      </c>
      <c r="AQ170" s="118" t="str">
        <f t="shared" si="179"/>
        <v/>
      </c>
      <c r="AR170" s="118" t="str">
        <f t="shared" si="179"/>
        <v/>
      </c>
      <c r="AS170" s="118" t="str">
        <f t="shared" si="179"/>
        <v/>
      </c>
      <c r="AT170" s="123">
        <f>IF(AT$6="","",IF(AT$3="Maior",iferror(VLOOKUP($R170,Capa!$A:$Z,AT$5,0),0),IF(ISERROR(1/VLOOKUP($R170,Capa!$A:$Z,AT$5,0)),0,1/VLOOKUP($R170,Capa!$A:$Z,AT$5,0))))</f>
        <v>1.315690691</v>
      </c>
      <c r="AU170" s="124">
        <f>IF(AU$6="","",IF(AU$3="Maior",iferror(VLOOKUP($R170,Capa!$A:$Z,AU$5,0),0),IF(ISERROR(1/VLOOKUP($R170,Capa!$A:$Z,AU$5,0)),0,1/VLOOKUP($R170,Capa!$A:$Z,AU$5,0))))</f>
        <v>0.07049529244</v>
      </c>
      <c r="AV170" s="124" t="str">
        <f>IF(AV$6="","",IF(AV$3="Maior",iferror(VLOOKUP($R168,Capa!$A:$Z,AV$5,0),0),IF(ISERROR(1/VLOOKUP($R168,Capa!$A:$Z,AV$5,0)),0,1/VLOOKUP($R168,Capa!$A:$Z,AV$5,0))))</f>
        <v/>
      </c>
      <c r="AW170" s="124" t="str">
        <f>IF(AW$6="","",IF(AW$3="Maior",iferror(VLOOKUP($R168,Capa!$A:$Z,AW$5,0),0),IF(ISERROR(1/VLOOKUP($R168,Capa!$A:$Z,AW$5,0)),0,1/VLOOKUP($R168,Capa!$A:$Z,AW$5,0))))</f>
        <v/>
      </c>
      <c r="AX170" s="124" t="str">
        <f>IF(AX$6="","",IF(AX$3="Maior",iferror(VLOOKUP($R168,Capa!$A:$Z,AX$5,0),0),IF(ISERROR(1/VLOOKUP($R168,Capa!$A:$Z,AX$5,0)),0,1/VLOOKUP($R168,Capa!$A:$Z,AX$5,0))))</f>
        <v/>
      </c>
      <c r="AY170" s="124" t="str">
        <f>IF(AY$6="","",IF(AY$3="Maior",iferror(VLOOKUP($R168,Capa!$A:$Z,AY$5,0),0),IF(ISERROR(1/VLOOKUP($R168,Capa!$A:$Z,AY$5,0)),0,1/VLOOKUP($R168,Capa!$A:$Z,AY$5,0))))</f>
        <v/>
      </c>
      <c r="AZ170" s="124" t="str">
        <f>IF(AZ$6="","",IF(AZ$3="Maior",iferror(VLOOKUP($R168,Capa!$A:$Z,AZ$5,0),0),IF(ISERROR(1/VLOOKUP($R168,Capa!$A:$Z,AZ$5,0)),0,1/VLOOKUP($R168,Capa!$A:$Z,AZ$5,0))))</f>
        <v/>
      </c>
      <c r="BA170" s="124" t="str">
        <f>IF(BA$6="","",IF(BA$3="Maior",iferror(VLOOKUP($R168,Capa!$A:$Z,BA$5,0),0),IF(ISERROR(1/VLOOKUP($R168,Capa!$A:$Z,BA$5,0)),0,1/VLOOKUP($R168,Capa!$A:$Z,BA$5,0))))</f>
        <v/>
      </c>
      <c r="BB170" s="124" t="str">
        <f>IF(BB$6="","",IF(BB$3="Maior",iferror(VLOOKUP($R168,Capa!$A:$Z,BB$5,0),0),IF(ISERROR(1/VLOOKUP($R168,Capa!$A:$Z,BB$5,0)),0,1/VLOOKUP($R168,Capa!$A:$Z,BB$5,0))))</f>
        <v/>
      </c>
      <c r="BC170" s="124" t="str">
        <f>IF(BC$6="","",IF(BC$3="Maior",iferror(VLOOKUP($R168,Capa!$A:$Z,BC$5,0),0),IF(ISERROR(1/VLOOKUP($R168,Capa!$A:$Z,BC$5,0)),0,1/VLOOKUP($R168,Capa!$A:$Z,BC$5,0))))</f>
        <v/>
      </c>
      <c r="BD170" s="124" t="str">
        <f>IF(BD$6="","",IF(BD$3="Maior",iferror(VLOOKUP($R168,Capa!$A:$Z,BD$5,0),0),IF(ISERROR(1/VLOOKUP($R168,Capa!$A:$Z,BD$5,0)),0,1/VLOOKUP($R168,Capa!$A:$Z,BD$5,0))))</f>
        <v/>
      </c>
      <c r="BE170" s="124" t="str">
        <f>IF(BE$6="","",IF(BE$3="Maior",iferror(VLOOKUP($R168,Capa!$A:$Z,BE$5,0),0),IF(ISERROR(1/VLOOKUP($R168,Capa!$A:$Z,BE$5,0)),0,1/VLOOKUP($R168,Capa!$A:$Z,BE$5,0))))</f>
        <v/>
      </c>
      <c r="BF170" s="124" t="str">
        <f>IF(BF$6="","",IF(BF$3="Maior",iferror(VLOOKUP($R168,Capa!$A:$Z,BF$5,0),0),IF(ISERROR(1/VLOOKUP($R168,Capa!$A:$Z,BF$5,0)),0,1/VLOOKUP($R168,Capa!$A:$Z,BF$5,0))))</f>
        <v/>
      </c>
      <c r="BG170" s="124" t="str">
        <f>IF(BG$6="","",IF(BG$3="Maior",iferror(VLOOKUP($R168,Capa!$A:$Z,BG$5,0),0),IF(ISERROR(1/VLOOKUP($R168,Capa!$A:$Z,BG$5,0)),0,1/VLOOKUP($R168,Capa!$A:$Z,BG$5,0))))</f>
        <v/>
      </c>
      <c r="BH170" s="124" t="str">
        <f>IF(BH$6="","",IF(BH$3="Maior",iferror(VLOOKUP($R168,Capa!$A:$Z,BH$5,0),0),IF(ISERROR(1/VLOOKUP($R168,Capa!$A:$Z,BH$5,0)),0,1/VLOOKUP($R168,Capa!$A:$Z,BH$5,0))))</f>
        <v/>
      </c>
      <c r="BI170" s="124" t="str">
        <f>IF(BI$6="","",IF(BI$3="Maior",iferror(VLOOKUP($R168,Capa!$A:$Z,BI$5,0),0),IF(ISERROR(1/VLOOKUP($R168,Capa!$A:$Z,BI$5,0)),0,1/VLOOKUP($R168,Capa!$A:$Z,BI$5,0))))</f>
        <v/>
      </c>
      <c r="BJ170" s="124" t="str">
        <f>IF(BJ$6="","",IF(BJ$3="Maior",iferror(VLOOKUP($R168,Capa!$A:$Z,BJ$5,0),0),IF(ISERROR(1/VLOOKUP($R168,Capa!$A:$Z,BJ$5,0)),0,1/VLOOKUP($R168,Capa!$A:$Z,BJ$5,0))))</f>
        <v/>
      </c>
      <c r="BK170" s="124" t="str">
        <f>IF(BK$6="","",IF(BK$3="Maior",iferror(VLOOKUP($R168,Capa!$A:$Z,BK$5,0),0),IF(ISERROR(1/VLOOKUP($R168,Capa!$A:$Z,BK$5,0)),0,1/VLOOKUP($R168,Capa!$A:$Z,BK$5,0))))</f>
        <v/>
      </c>
      <c r="BL170" s="124" t="str">
        <f>IF(BL$6="","",IF(BL$3="Maior",iferror(VLOOKUP($R168,Capa!$A:$Z,BL$5,0),0),IF(ISERROR(1/VLOOKUP($R168,Capa!$A:$Z,BL$5,0)),0,1/VLOOKUP($R168,Capa!$A:$Z,BL$5,0))))</f>
        <v/>
      </c>
      <c r="BM170" s="124" t="str">
        <f>IF(BM$6="","",IF(BM$3="Maior",iferror(VLOOKUP($R168,Capa!$A:$Z,BM$5,0),0),IF(ISERROR(1/VLOOKUP($R168,Capa!$A:$Z,BM$5,0)),0,1/VLOOKUP($R168,Capa!$A:$Z,BM$5,0))))</f>
        <v/>
      </c>
      <c r="BN170" s="124" t="str">
        <f>IF(BN$6="","",IF(BN$3="Maior",iferror(VLOOKUP($R168,Capa!$A:$Z,BN$5,0),0),IF(ISERROR(1/VLOOKUP($R168,Capa!$A:$Z,BN$5,0)),0,1/VLOOKUP($R168,Capa!$A:$Z,BN$5,0))))</f>
        <v/>
      </c>
      <c r="BO170" s="124" t="str">
        <f>IF(BO$6="","",IF(BO$3="Maior",iferror(VLOOKUP($R168,Capa!$A:$Z,BO$5,0),0),IF(ISERROR(1/VLOOKUP($R168,Capa!$A:$Z,BO$5,0)),0,1/VLOOKUP($R168,Capa!$A:$Z,BO$5,0))))</f>
        <v/>
      </c>
      <c r="BP170" s="124" t="str">
        <f>IF(BP$6="","",IF(BP$3="Maior",iferror(VLOOKUP($R168,Capa!$A:$Z,BP$5,0),0),IF(ISERROR(1/VLOOKUP($R168,Capa!$A:$Z,BP$5,0)),0,1/VLOOKUP($R168,Capa!$A:$Z,BP$5,0))))</f>
        <v/>
      </c>
      <c r="BQ170" s="124" t="str">
        <f>IF(BQ$6="","",IF(BQ$3="Maior",iferror(VLOOKUP($R168,Capa!$A:$Z,BQ$5,0),0),IF(ISERROR(1/VLOOKUP($R168,Capa!$A:$Z,BQ$5,0)),0,1/VLOOKUP($R168,Capa!$A:$Z,BQ$5,0))))</f>
        <v/>
      </c>
      <c r="BR170" s="125" t="str">
        <f>IF(BR$6="","",IF(BR$3="Maior",iferror(VLOOKUP($R168,Capa!$A:$Z,BR$5,0),0),IF(ISERROR(1/VLOOKUP($R168,Capa!$A:$Z,BR$5,0)),0,1/VLOOKUP($R168,Capa!$A:$Z,BR$5,0))))</f>
        <v/>
      </c>
      <c r="BS170" s="88"/>
    </row>
    <row r="171">
      <c r="G171" s="9"/>
      <c r="H171" s="7"/>
      <c r="I171" s="111"/>
      <c r="J171" s="112"/>
      <c r="K171" s="113"/>
      <c r="L171" s="113"/>
      <c r="M171" s="141"/>
      <c r="N171" s="141"/>
      <c r="O171" s="9"/>
      <c r="P171" s="9"/>
      <c r="Q171" s="9"/>
      <c r="R171" s="115" t="s">
        <v>205</v>
      </c>
      <c r="S171" s="116">
        <f t="shared" si="13"/>
        <v>1319.018535</v>
      </c>
      <c r="T171" s="117">
        <f>MID(VLOOKUP($R171,'Dados ClubeFII'!$A:$AU,23,0),3,100)/1</f>
        <v>13497.57</v>
      </c>
      <c r="U171" s="118">
        <f t="shared" si="14"/>
        <v>184.0184</v>
      </c>
      <c r="V171" s="118">
        <f t="shared" si="15"/>
        <v>135.000135</v>
      </c>
      <c r="W171" s="118" t="str">
        <f t="shared" ref="W171:AS171" si="180">IF(AV171="","", RANK(AV171,AV$7:AV$405,0))</f>
        <v/>
      </c>
      <c r="X171" s="118" t="str">
        <f t="shared" si="180"/>
        <v/>
      </c>
      <c r="Y171" s="118" t="str">
        <f t="shared" si="180"/>
        <v/>
      </c>
      <c r="Z171" s="118" t="str">
        <f t="shared" si="180"/>
        <v/>
      </c>
      <c r="AA171" s="118" t="str">
        <f t="shared" si="180"/>
        <v/>
      </c>
      <c r="AB171" s="118" t="str">
        <f t="shared" si="180"/>
        <v/>
      </c>
      <c r="AC171" s="118" t="str">
        <f t="shared" si="180"/>
        <v/>
      </c>
      <c r="AD171" s="118" t="str">
        <f t="shared" si="180"/>
        <v/>
      </c>
      <c r="AE171" s="118" t="str">
        <f t="shared" si="180"/>
        <v/>
      </c>
      <c r="AF171" s="118" t="str">
        <f t="shared" si="180"/>
        <v/>
      </c>
      <c r="AG171" s="118" t="str">
        <f t="shared" si="180"/>
        <v/>
      </c>
      <c r="AH171" s="118" t="str">
        <f t="shared" si="180"/>
        <v/>
      </c>
      <c r="AI171" s="118" t="str">
        <f t="shared" si="180"/>
        <v/>
      </c>
      <c r="AJ171" s="118" t="str">
        <f t="shared" si="180"/>
        <v/>
      </c>
      <c r="AK171" s="118" t="str">
        <f t="shared" si="180"/>
        <v/>
      </c>
      <c r="AL171" s="118" t="str">
        <f t="shared" si="180"/>
        <v/>
      </c>
      <c r="AM171" s="118" t="str">
        <f t="shared" si="180"/>
        <v/>
      </c>
      <c r="AN171" s="118" t="str">
        <f t="shared" si="180"/>
        <v/>
      </c>
      <c r="AO171" s="118" t="str">
        <f t="shared" si="180"/>
        <v/>
      </c>
      <c r="AP171" s="118" t="str">
        <f t="shared" si="180"/>
        <v/>
      </c>
      <c r="AQ171" s="118" t="str">
        <f t="shared" si="180"/>
        <v/>
      </c>
      <c r="AR171" s="118" t="str">
        <f t="shared" si="180"/>
        <v/>
      </c>
      <c r="AS171" s="118" t="str">
        <f t="shared" si="180"/>
        <v/>
      </c>
      <c r="AT171" s="123">
        <f>IF(AT$6="","",IF(AT$3="Maior",iferror(VLOOKUP($R171,Capa!$A:$Z,AT$5,0),0),IF(ISERROR(1/VLOOKUP($R171,Capa!$A:$Z,AT$5,0)),0,1/VLOOKUP($R171,Capa!$A:$Z,AT$5,0))))</f>
        <v>0.909399966</v>
      </c>
      <c r="AU171" s="124">
        <f>IF(AU$6="","",IF(AU$3="Maior",iferror(VLOOKUP($R171,Capa!$A:$Z,AU$5,0),0),IF(ISERROR(1/VLOOKUP($R171,Capa!$A:$Z,AU$5,0)),0,1/VLOOKUP($R171,Capa!$A:$Z,AU$5,0))))</f>
        <v>0.0910411215</v>
      </c>
      <c r="AV171" s="124" t="str">
        <f>IF(AV$6="","",IF(AV$3="Maior",iferror(VLOOKUP($R169,Capa!$A:$Z,AV$5,0),0),IF(ISERROR(1/VLOOKUP($R169,Capa!$A:$Z,AV$5,0)),0,1/VLOOKUP($R169,Capa!$A:$Z,AV$5,0))))</f>
        <v/>
      </c>
      <c r="AW171" s="124" t="str">
        <f>IF(AW$6="","",IF(AW$3="Maior",iferror(VLOOKUP($R169,Capa!$A:$Z,AW$5,0),0),IF(ISERROR(1/VLOOKUP($R169,Capa!$A:$Z,AW$5,0)),0,1/VLOOKUP($R169,Capa!$A:$Z,AW$5,0))))</f>
        <v/>
      </c>
      <c r="AX171" s="124" t="str">
        <f>IF(AX$6="","",IF(AX$3="Maior",iferror(VLOOKUP($R169,Capa!$A:$Z,AX$5,0),0),IF(ISERROR(1/VLOOKUP($R169,Capa!$A:$Z,AX$5,0)),0,1/VLOOKUP($R169,Capa!$A:$Z,AX$5,0))))</f>
        <v/>
      </c>
      <c r="AY171" s="124" t="str">
        <f>IF(AY$6="","",IF(AY$3="Maior",iferror(VLOOKUP($R169,Capa!$A:$Z,AY$5,0),0),IF(ISERROR(1/VLOOKUP($R169,Capa!$A:$Z,AY$5,0)),0,1/VLOOKUP($R169,Capa!$A:$Z,AY$5,0))))</f>
        <v/>
      </c>
      <c r="AZ171" s="124" t="str">
        <f>IF(AZ$6="","",IF(AZ$3="Maior",iferror(VLOOKUP($R169,Capa!$A:$Z,AZ$5,0),0),IF(ISERROR(1/VLOOKUP($R169,Capa!$A:$Z,AZ$5,0)),0,1/VLOOKUP($R169,Capa!$A:$Z,AZ$5,0))))</f>
        <v/>
      </c>
      <c r="BA171" s="124" t="str">
        <f>IF(BA$6="","",IF(BA$3="Maior",iferror(VLOOKUP($R169,Capa!$A:$Z,BA$5,0),0),IF(ISERROR(1/VLOOKUP($R169,Capa!$A:$Z,BA$5,0)),0,1/VLOOKUP($R169,Capa!$A:$Z,BA$5,0))))</f>
        <v/>
      </c>
      <c r="BB171" s="124" t="str">
        <f>IF(BB$6="","",IF(BB$3="Maior",iferror(VLOOKUP($R169,Capa!$A:$Z,BB$5,0),0),IF(ISERROR(1/VLOOKUP($R169,Capa!$A:$Z,BB$5,0)),0,1/VLOOKUP($R169,Capa!$A:$Z,BB$5,0))))</f>
        <v/>
      </c>
      <c r="BC171" s="124" t="str">
        <f>IF(BC$6="","",IF(BC$3="Maior",iferror(VLOOKUP($R169,Capa!$A:$Z,BC$5,0),0),IF(ISERROR(1/VLOOKUP($R169,Capa!$A:$Z,BC$5,0)),0,1/VLOOKUP($R169,Capa!$A:$Z,BC$5,0))))</f>
        <v/>
      </c>
      <c r="BD171" s="124" t="str">
        <f>IF(BD$6="","",IF(BD$3="Maior",iferror(VLOOKUP($R169,Capa!$A:$Z,BD$5,0),0),IF(ISERROR(1/VLOOKUP($R169,Capa!$A:$Z,BD$5,0)),0,1/VLOOKUP($R169,Capa!$A:$Z,BD$5,0))))</f>
        <v/>
      </c>
      <c r="BE171" s="124" t="str">
        <f>IF(BE$6="","",IF(BE$3="Maior",iferror(VLOOKUP($R169,Capa!$A:$Z,BE$5,0),0),IF(ISERROR(1/VLOOKUP($R169,Capa!$A:$Z,BE$5,0)),0,1/VLOOKUP($R169,Capa!$A:$Z,BE$5,0))))</f>
        <v/>
      </c>
      <c r="BF171" s="124" t="str">
        <f>IF(BF$6="","",IF(BF$3="Maior",iferror(VLOOKUP($R169,Capa!$A:$Z,BF$5,0),0),IF(ISERROR(1/VLOOKUP($R169,Capa!$A:$Z,BF$5,0)),0,1/VLOOKUP($R169,Capa!$A:$Z,BF$5,0))))</f>
        <v/>
      </c>
      <c r="BG171" s="124" t="str">
        <f>IF(BG$6="","",IF(BG$3="Maior",iferror(VLOOKUP($R169,Capa!$A:$Z,BG$5,0),0),IF(ISERROR(1/VLOOKUP($R169,Capa!$A:$Z,BG$5,0)),0,1/VLOOKUP($R169,Capa!$A:$Z,BG$5,0))))</f>
        <v/>
      </c>
      <c r="BH171" s="124" t="str">
        <f>IF(BH$6="","",IF(BH$3="Maior",iferror(VLOOKUP($R169,Capa!$A:$Z,BH$5,0),0),IF(ISERROR(1/VLOOKUP($R169,Capa!$A:$Z,BH$5,0)),0,1/VLOOKUP($R169,Capa!$A:$Z,BH$5,0))))</f>
        <v/>
      </c>
      <c r="BI171" s="124" t="str">
        <f>IF(BI$6="","",IF(BI$3="Maior",iferror(VLOOKUP($R169,Capa!$A:$Z,BI$5,0),0),IF(ISERROR(1/VLOOKUP($R169,Capa!$A:$Z,BI$5,0)),0,1/VLOOKUP($R169,Capa!$A:$Z,BI$5,0))))</f>
        <v/>
      </c>
      <c r="BJ171" s="124" t="str">
        <f>IF(BJ$6="","",IF(BJ$3="Maior",iferror(VLOOKUP($R169,Capa!$A:$Z,BJ$5,0),0),IF(ISERROR(1/VLOOKUP($R169,Capa!$A:$Z,BJ$5,0)),0,1/VLOOKUP($R169,Capa!$A:$Z,BJ$5,0))))</f>
        <v/>
      </c>
      <c r="BK171" s="124" t="str">
        <f>IF(BK$6="","",IF(BK$3="Maior",iferror(VLOOKUP($R169,Capa!$A:$Z,BK$5,0),0),IF(ISERROR(1/VLOOKUP($R169,Capa!$A:$Z,BK$5,0)),0,1/VLOOKUP($R169,Capa!$A:$Z,BK$5,0))))</f>
        <v/>
      </c>
      <c r="BL171" s="124" t="str">
        <f>IF(BL$6="","",IF(BL$3="Maior",iferror(VLOOKUP($R169,Capa!$A:$Z,BL$5,0),0),IF(ISERROR(1/VLOOKUP($R169,Capa!$A:$Z,BL$5,0)),0,1/VLOOKUP($R169,Capa!$A:$Z,BL$5,0))))</f>
        <v/>
      </c>
      <c r="BM171" s="124" t="str">
        <f>IF(BM$6="","",IF(BM$3="Maior",iferror(VLOOKUP($R169,Capa!$A:$Z,BM$5,0),0),IF(ISERROR(1/VLOOKUP($R169,Capa!$A:$Z,BM$5,0)),0,1/VLOOKUP($R169,Capa!$A:$Z,BM$5,0))))</f>
        <v/>
      </c>
      <c r="BN171" s="124" t="str">
        <f>IF(BN$6="","",IF(BN$3="Maior",iferror(VLOOKUP($R169,Capa!$A:$Z,BN$5,0),0),IF(ISERROR(1/VLOOKUP($R169,Capa!$A:$Z,BN$5,0)),0,1/VLOOKUP($R169,Capa!$A:$Z,BN$5,0))))</f>
        <v/>
      </c>
      <c r="BO171" s="124" t="str">
        <f>IF(BO$6="","",IF(BO$3="Maior",iferror(VLOOKUP($R169,Capa!$A:$Z,BO$5,0),0),IF(ISERROR(1/VLOOKUP($R169,Capa!$A:$Z,BO$5,0)),0,1/VLOOKUP($R169,Capa!$A:$Z,BO$5,0))))</f>
        <v/>
      </c>
      <c r="BP171" s="124" t="str">
        <f>IF(BP$6="","",IF(BP$3="Maior",iferror(VLOOKUP($R169,Capa!$A:$Z,BP$5,0),0),IF(ISERROR(1/VLOOKUP($R169,Capa!$A:$Z,BP$5,0)),0,1/VLOOKUP($R169,Capa!$A:$Z,BP$5,0))))</f>
        <v/>
      </c>
      <c r="BQ171" s="124" t="str">
        <f>IF(BQ$6="","",IF(BQ$3="Maior",iferror(VLOOKUP($R169,Capa!$A:$Z,BQ$5,0),0),IF(ISERROR(1/VLOOKUP($R169,Capa!$A:$Z,BQ$5,0)),0,1/VLOOKUP($R169,Capa!$A:$Z,BQ$5,0))))</f>
        <v/>
      </c>
      <c r="BR171" s="125" t="str">
        <f>IF(BR$6="","",IF(BR$3="Maior",iferror(VLOOKUP($R169,Capa!$A:$Z,BR$5,0),0),IF(ISERROR(1/VLOOKUP($R169,Capa!$A:$Z,BR$5,0)),0,1/VLOOKUP($R169,Capa!$A:$Z,BR$5,0))))</f>
        <v/>
      </c>
      <c r="BS171" s="88"/>
    </row>
    <row r="172">
      <c r="G172" s="9"/>
      <c r="H172" s="7"/>
      <c r="I172" s="111"/>
      <c r="J172" s="112"/>
      <c r="K172" s="113"/>
      <c r="L172" s="113"/>
      <c r="M172" s="141"/>
      <c r="N172" s="141"/>
      <c r="O172" s="9"/>
      <c r="P172" s="9"/>
      <c r="Q172" s="9"/>
      <c r="R172" s="127" t="s">
        <v>114</v>
      </c>
      <c r="S172" s="116">
        <f t="shared" si="13"/>
        <v>1184.001471</v>
      </c>
      <c r="T172" s="117">
        <f>MID(VLOOKUP($R172,'Dados ClubeFII'!$A:$AU,23,0),3,100)/1</f>
        <v>13563.55</v>
      </c>
      <c r="U172" s="118">
        <f t="shared" si="14"/>
        <v>13.0013</v>
      </c>
      <c r="V172" s="118">
        <f t="shared" si="15"/>
        <v>171.000171</v>
      </c>
      <c r="W172" s="118" t="str">
        <f t="shared" ref="W172:AS172" si="181">IF(AV172="","", RANK(AV172,AV$7:AV$405,0))</f>
        <v/>
      </c>
      <c r="X172" s="118" t="str">
        <f t="shared" si="181"/>
        <v/>
      </c>
      <c r="Y172" s="118" t="str">
        <f t="shared" si="181"/>
        <v/>
      </c>
      <c r="Z172" s="118" t="str">
        <f t="shared" si="181"/>
        <v/>
      </c>
      <c r="AA172" s="118" t="str">
        <f t="shared" si="181"/>
        <v/>
      </c>
      <c r="AB172" s="118" t="str">
        <f t="shared" si="181"/>
        <v/>
      </c>
      <c r="AC172" s="118" t="str">
        <f t="shared" si="181"/>
        <v/>
      </c>
      <c r="AD172" s="118" t="str">
        <f t="shared" si="181"/>
        <v/>
      </c>
      <c r="AE172" s="118" t="str">
        <f t="shared" si="181"/>
        <v/>
      </c>
      <c r="AF172" s="118" t="str">
        <f t="shared" si="181"/>
        <v/>
      </c>
      <c r="AG172" s="118" t="str">
        <f t="shared" si="181"/>
        <v/>
      </c>
      <c r="AH172" s="118" t="str">
        <f t="shared" si="181"/>
        <v/>
      </c>
      <c r="AI172" s="118" t="str">
        <f t="shared" si="181"/>
        <v/>
      </c>
      <c r="AJ172" s="118" t="str">
        <f t="shared" si="181"/>
        <v/>
      </c>
      <c r="AK172" s="118" t="str">
        <f t="shared" si="181"/>
        <v/>
      </c>
      <c r="AL172" s="118" t="str">
        <f t="shared" si="181"/>
        <v/>
      </c>
      <c r="AM172" s="118" t="str">
        <f t="shared" si="181"/>
        <v/>
      </c>
      <c r="AN172" s="118" t="str">
        <f t="shared" si="181"/>
        <v/>
      </c>
      <c r="AO172" s="118" t="str">
        <f t="shared" si="181"/>
        <v/>
      </c>
      <c r="AP172" s="118" t="str">
        <f t="shared" si="181"/>
        <v/>
      </c>
      <c r="AQ172" s="118" t="str">
        <f t="shared" si="181"/>
        <v/>
      </c>
      <c r="AR172" s="118" t="str">
        <f t="shared" si="181"/>
        <v/>
      </c>
      <c r="AS172" s="118" t="str">
        <f t="shared" si="181"/>
        <v/>
      </c>
      <c r="AT172" s="123">
        <f>IF(AT$6="","",IF(AT$3="Maior",iferror(VLOOKUP($R172,Capa!$A:$Z,AT$5,0),0),IF(ISERROR(1/VLOOKUP($R172,Capa!$A:$Z,AT$5,0)),0,1/VLOOKUP($R172,Capa!$A:$Z,AT$5,0))))</f>
        <v>2.204743266</v>
      </c>
      <c r="AU172" s="124">
        <f>IF(AU$6="","",IF(AU$3="Maior",iferror(VLOOKUP($R172,Capa!$A:$Z,AU$5,0),0),IF(ISERROR(1/VLOOKUP($R172,Capa!$A:$Z,AU$5,0)),0,1/VLOOKUP($R172,Capa!$A:$Z,AU$5,0))))</f>
        <v>0.04487423625</v>
      </c>
      <c r="AV172" s="124" t="str">
        <f>IF(AV$6="","",IF(AV$3="Maior",iferror(VLOOKUP($R170,Capa!$A:$Z,AV$5,0),0),IF(ISERROR(1/VLOOKUP($R170,Capa!$A:$Z,AV$5,0)),0,1/VLOOKUP($R170,Capa!$A:$Z,AV$5,0))))</f>
        <v/>
      </c>
      <c r="AW172" s="124" t="str">
        <f>IF(AW$6="","",IF(AW$3="Maior",iferror(VLOOKUP($R170,Capa!$A:$Z,AW$5,0),0),IF(ISERROR(1/VLOOKUP($R170,Capa!$A:$Z,AW$5,0)),0,1/VLOOKUP($R170,Capa!$A:$Z,AW$5,0))))</f>
        <v/>
      </c>
      <c r="AX172" s="124" t="str">
        <f>IF(AX$6="","",IF(AX$3="Maior",iferror(VLOOKUP($R170,Capa!$A:$Z,AX$5,0),0),IF(ISERROR(1/VLOOKUP($R170,Capa!$A:$Z,AX$5,0)),0,1/VLOOKUP($R170,Capa!$A:$Z,AX$5,0))))</f>
        <v/>
      </c>
      <c r="AY172" s="124" t="str">
        <f>IF(AY$6="","",IF(AY$3="Maior",iferror(VLOOKUP($R170,Capa!$A:$Z,AY$5,0),0),IF(ISERROR(1/VLOOKUP($R170,Capa!$A:$Z,AY$5,0)),0,1/VLOOKUP($R170,Capa!$A:$Z,AY$5,0))))</f>
        <v/>
      </c>
      <c r="AZ172" s="124" t="str">
        <f>IF(AZ$6="","",IF(AZ$3="Maior",iferror(VLOOKUP($R170,Capa!$A:$Z,AZ$5,0),0),IF(ISERROR(1/VLOOKUP($R170,Capa!$A:$Z,AZ$5,0)),0,1/VLOOKUP($R170,Capa!$A:$Z,AZ$5,0))))</f>
        <v/>
      </c>
      <c r="BA172" s="124" t="str">
        <f>IF(BA$6="","",IF(BA$3="Maior",iferror(VLOOKUP($R170,Capa!$A:$Z,BA$5,0),0),IF(ISERROR(1/VLOOKUP($R170,Capa!$A:$Z,BA$5,0)),0,1/VLOOKUP($R170,Capa!$A:$Z,BA$5,0))))</f>
        <v/>
      </c>
      <c r="BB172" s="124" t="str">
        <f>IF(BB$6="","",IF(BB$3="Maior",iferror(VLOOKUP($R170,Capa!$A:$Z,BB$5,0),0),IF(ISERROR(1/VLOOKUP($R170,Capa!$A:$Z,BB$5,0)),0,1/VLOOKUP($R170,Capa!$A:$Z,BB$5,0))))</f>
        <v/>
      </c>
      <c r="BC172" s="124" t="str">
        <f>IF(BC$6="","",IF(BC$3="Maior",iferror(VLOOKUP($R170,Capa!$A:$Z,BC$5,0),0),IF(ISERROR(1/VLOOKUP($R170,Capa!$A:$Z,BC$5,0)),0,1/VLOOKUP($R170,Capa!$A:$Z,BC$5,0))))</f>
        <v/>
      </c>
      <c r="BD172" s="124" t="str">
        <f>IF(BD$6="","",IF(BD$3="Maior",iferror(VLOOKUP($R170,Capa!$A:$Z,BD$5,0),0),IF(ISERROR(1/VLOOKUP($R170,Capa!$A:$Z,BD$5,0)),0,1/VLOOKUP($R170,Capa!$A:$Z,BD$5,0))))</f>
        <v/>
      </c>
      <c r="BE172" s="124" t="str">
        <f>IF(BE$6="","",IF(BE$3="Maior",iferror(VLOOKUP($R170,Capa!$A:$Z,BE$5,0),0),IF(ISERROR(1/VLOOKUP($R170,Capa!$A:$Z,BE$5,0)),0,1/VLOOKUP($R170,Capa!$A:$Z,BE$5,0))))</f>
        <v/>
      </c>
      <c r="BF172" s="124" t="str">
        <f>IF(BF$6="","",IF(BF$3="Maior",iferror(VLOOKUP($R170,Capa!$A:$Z,BF$5,0),0),IF(ISERROR(1/VLOOKUP($R170,Capa!$A:$Z,BF$5,0)),0,1/VLOOKUP($R170,Capa!$A:$Z,BF$5,0))))</f>
        <v/>
      </c>
      <c r="BG172" s="124" t="str">
        <f>IF(BG$6="","",IF(BG$3="Maior",iferror(VLOOKUP($R170,Capa!$A:$Z,BG$5,0),0),IF(ISERROR(1/VLOOKUP($R170,Capa!$A:$Z,BG$5,0)),0,1/VLOOKUP($R170,Capa!$A:$Z,BG$5,0))))</f>
        <v/>
      </c>
      <c r="BH172" s="124" t="str">
        <f>IF(BH$6="","",IF(BH$3="Maior",iferror(VLOOKUP($R170,Capa!$A:$Z,BH$5,0),0),IF(ISERROR(1/VLOOKUP($R170,Capa!$A:$Z,BH$5,0)),0,1/VLOOKUP($R170,Capa!$A:$Z,BH$5,0))))</f>
        <v/>
      </c>
      <c r="BI172" s="124" t="str">
        <f>IF(BI$6="","",IF(BI$3="Maior",iferror(VLOOKUP($R170,Capa!$A:$Z,BI$5,0),0),IF(ISERROR(1/VLOOKUP($R170,Capa!$A:$Z,BI$5,0)),0,1/VLOOKUP($R170,Capa!$A:$Z,BI$5,0))))</f>
        <v/>
      </c>
      <c r="BJ172" s="124" t="str">
        <f>IF(BJ$6="","",IF(BJ$3="Maior",iferror(VLOOKUP($R170,Capa!$A:$Z,BJ$5,0),0),IF(ISERROR(1/VLOOKUP($R170,Capa!$A:$Z,BJ$5,0)),0,1/VLOOKUP($R170,Capa!$A:$Z,BJ$5,0))))</f>
        <v/>
      </c>
      <c r="BK172" s="124" t="str">
        <f>IF(BK$6="","",IF(BK$3="Maior",iferror(VLOOKUP($R170,Capa!$A:$Z,BK$5,0),0),IF(ISERROR(1/VLOOKUP($R170,Capa!$A:$Z,BK$5,0)),0,1/VLOOKUP($R170,Capa!$A:$Z,BK$5,0))))</f>
        <v/>
      </c>
      <c r="BL172" s="124" t="str">
        <f>IF(BL$6="","",IF(BL$3="Maior",iferror(VLOOKUP($R170,Capa!$A:$Z,BL$5,0),0),IF(ISERROR(1/VLOOKUP($R170,Capa!$A:$Z,BL$5,0)),0,1/VLOOKUP($R170,Capa!$A:$Z,BL$5,0))))</f>
        <v/>
      </c>
      <c r="BM172" s="124" t="str">
        <f>IF(BM$6="","",IF(BM$3="Maior",iferror(VLOOKUP($R170,Capa!$A:$Z,BM$5,0),0),IF(ISERROR(1/VLOOKUP($R170,Capa!$A:$Z,BM$5,0)),0,1/VLOOKUP($R170,Capa!$A:$Z,BM$5,0))))</f>
        <v/>
      </c>
      <c r="BN172" s="124" t="str">
        <f>IF(BN$6="","",IF(BN$3="Maior",iferror(VLOOKUP($R170,Capa!$A:$Z,BN$5,0),0),IF(ISERROR(1/VLOOKUP($R170,Capa!$A:$Z,BN$5,0)),0,1/VLOOKUP($R170,Capa!$A:$Z,BN$5,0))))</f>
        <v/>
      </c>
      <c r="BO172" s="124" t="str">
        <f>IF(BO$6="","",IF(BO$3="Maior",iferror(VLOOKUP($R170,Capa!$A:$Z,BO$5,0),0),IF(ISERROR(1/VLOOKUP($R170,Capa!$A:$Z,BO$5,0)),0,1/VLOOKUP($R170,Capa!$A:$Z,BO$5,0))))</f>
        <v/>
      </c>
      <c r="BP172" s="124" t="str">
        <f>IF(BP$6="","",IF(BP$3="Maior",iferror(VLOOKUP($R170,Capa!$A:$Z,BP$5,0),0),IF(ISERROR(1/VLOOKUP($R170,Capa!$A:$Z,BP$5,0)),0,1/VLOOKUP($R170,Capa!$A:$Z,BP$5,0))))</f>
        <v/>
      </c>
      <c r="BQ172" s="124" t="str">
        <f>IF(BQ$6="","",IF(BQ$3="Maior",iferror(VLOOKUP($R170,Capa!$A:$Z,BQ$5,0),0),IF(ISERROR(1/VLOOKUP($R170,Capa!$A:$Z,BQ$5,0)),0,1/VLOOKUP($R170,Capa!$A:$Z,BQ$5,0))))</f>
        <v/>
      </c>
      <c r="BR172" s="125" t="str">
        <f>IF(BR$6="","",IF(BR$3="Maior",iferror(VLOOKUP($R170,Capa!$A:$Z,BR$5,0),0),IF(ISERROR(1/VLOOKUP($R170,Capa!$A:$Z,BR$5,0)),0,1/VLOOKUP($R170,Capa!$A:$Z,BR$5,0))))</f>
        <v/>
      </c>
      <c r="BS172" s="88"/>
    </row>
    <row r="173">
      <c r="G173" s="9"/>
      <c r="H173" s="7"/>
      <c r="I173" s="111"/>
      <c r="J173" s="112"/>
      <c r="K173" s="113"/>
      <c r="L173" s="113"/>
      <c r="M173" s="141"/>
      <c r="N173" s="141"/>
      <c r="O173" s="9"/>
      <c r="P173" s="9"/>
      <c r="Q173" s="9"/>
      <c r="R173" s="127" t="s">
        <v>190</v>
      </c>
      <c r="S173" s="116">
        <f t="shared" si="13"/>
        <v>1318.014079</v>
      </c>
      <c r="T173" s="117">
        <f>MID(VLOOKUP($R173,'Dados ClubeFII'!$A:$AU,23,0),3,100)/1</f>
        <v>1126.1</v>
      </c>
      <c r="U173" s="118">
        <f t="shared" si="14"/>
        <v>139.0139</v>
      </c>
      <c r="V173" s="118">
        <f t="shared" si="15"/>
        <v>179.000179</v>
      </c>
      <c r="W173" s="118" t="str">
        <f t="shared" ref="W173:AS173" si="182">IF(AV173="","", RANK(AV173,AV$7:AV$405,0))</f>
        <v/>
      </c>
      <c r="X173" s="118" t="str">
        <f t="shared" si="182"/>
        <v/>
      </c>
      <c r="Y173" s="118" t="str">
        <f t="shared" si="182"/>
        <v/>
      </c>
      <c r="Z173" s="118" t="str">
        <f t="shared" si="182"/>
        <v/>
      </c>
      <c r="AA173" s="118" t="str">
        <f t="shared" si="182"/>
        <v/>
      </c>
      <c r="AB173" s="118" t="str">
        <f t="shared" si="182"/>
        <v/>
      </c>
      <c r="AC173" s="118" t="str">
        <f t="shared" si="182"/>
        <v/>
      </c>
      <c r="AD173" s="118" t="str">
        <f t="shared" si="182"/>
        <v/>
      </c>
      <c r="AE173" s="118" t="str">
        <f t="shared" si="182"/>
        <v/>
      </c>
      <c r="AF173" s="118" t="str">
        <f t="shared" si="182"/>
        <v/>
      </c>
      <c r="AG173" s="118" t="str">
        <f t="shared" si="182"/>
        <v/>
      </c>
      <c r="AH173" s="118" t="str">
        <f t="shared" si="182"/>
        <v/>
      </c>
      <c r="AI173" s="118" t="str">
        <f t="shared" si="182"/>
        <v/>
      </c>
      <c r="AJ173" s="118" t="str">
        <f t="shared" si="182"/>
        <v/>
      </c>
      <c r="AK173" s="118" t="str">
        <f t="shared" si="182"/>
        <v/>
      </c>
      <c r="AL173" s="118" t="str">
        <f t="shared" si="182"/>
        <v/>
      </c>
      <c r="AM173" s="118" t="str">
        <f t="shared" si="182"/>
        <v/>
      </c>
      <c r="AN173" s="118" t="str">
        <f t="shared" si="182"/>
        <v/>
      </c>
      <c r="AO173" s="118" t="str">
        <f t="shared" si="182"/>
        <v/>
      </c>
      <c r="AP173" s="118" t="str">
        <f t="shared" si="182"/>
        <v/>
      </c>
      <c r="AQ173" s="118" t="str">
        <f t="shared" si="182"/>
        <v/>
      </c>
      <c r="AR173" s="118" t="str">
        <f t="shared" si="182"/>
        <v/>
      </c>
      <c r="AS173" s="118" t="str">
        <f t="shared" si="182"/>
        <v/>
      </c>
      <c r="AT173" s="123">
        <f>IF(AT$6="","",IF(AT$3="Maior",iferror(VLOOKUP($R173,Capa!$A:$Z,AT$5,0),0),IF(ISERROR(1/VLOOKUP($R173,Capa!$A:$Z,AT$5,0)),0,1/VLOOKUP($R173,Capa!$A:$Z,AT$5,0))))</f>
        <v>1.099482461</v>
      </c>
      <c r="AU173" s="124">
        <f>IF(AU$6="","",IF(AU$3="Maior",iferror(VLOOKUP($R173,Capa!$A:$Z,AU$5,0),0),IF(ISERROR(1/VLOOKUP($R173,Capa!$A:$Z,AU$5,0)),0,1/VLOOKUP($R173,Capa!$A:$Z,AU$5,0))))</f>
        <v>0.003773535565</v>
      </c>
      <c r="AV173" s="124" t="str">
        <f>IF(AV$6="","",IF(AV$3="Maior",iferror(VLOOKUP($R171,Capa!$A:$Z,AV$5,0),0),IF(ISERROR(1/VLOOKUP($R171,Capa!$A:$Z,AV$5,0)),0,1/VLOOKUP($R171,Capa!$A:$Z,AV$5,0))))</f>
        <v/>
      </c>
      <c r="AW173" s="124" t="str">
        <f>IF(AW$6="","",IF(AW$3="Maior",iferror(VLOOKUP($R171,Capa!$A:$Z,AW$5,0),0),IF(ISERROR(1/VLOOKUP($R171,Capa!$A:$Z,AW$5,0)),0,1/VLOOKUP($R171,Capa!$A:$Z,AW$5,0))))</f>
        <v/>
      </c>
      <c r="AX173" s="124" t="str">
        <f>IF(AX$6="","",IF(AX$3="Maior",iferror(VLOOKUP($R171,Capa!$A:$Z,AX$5,0),0),IF(ISERROR(1/VLOOKUP($R171,Capa!$A:$Z,AX$5,0)),0,1/VLOOKUP($R171,Capa!$A:$Z,AX$5,0))))</f>
        <v/>
      </c>
      <c r="AY173" s="124" t="str">
        <f>IF(AY$6="","",IF(AY$3="Maior",iferror(VLOOKUP($R171,Capa!$A:$Z,AY$5,0),0),IF(ISERROR(1/VLOOKUP($R171,Capa!$A:$Z,AY$5,0)),0,1/VLOOKUP($R171,Capa!$A:$Z,AY$5,0))))</f>
        <v/>
      </c>
      <c r="AZ173" s="124" t="str">
        <f>IF(AZ$6="","",IF(AZ$3="Maior",iferror(VLOOKUP($R171,Capa!$A:$Z,AZ$5,0),0),IF(ISERROR(1/VLOOKUP($R171,Capa!$A:$Z,AZ$5,0)),0,1/VLOOKUP($R171,Capa!$A:$Z,AZ$5,0))))</f>
        <v/>
      </c>
      <c r="BA173" s="124" t="str">
        <f>IF(BA$6="","",IF(BA$3="Maior",iferror(VLOOKUP($R171,Capa!$A:$Z,BA$5,0),0),IF(ISERROR(1/VLOOKUP($R171,Capa!$A:$Z,BA$5,0)),0,1/VLOOKUP($R171,Capa!$A:$Z,BA$5,0))))</f>
        <v/>
      </c>
      <c r="BB173" s="124" t="str">
        <f>IF(BB$6="","",IF(BB$3="Maior",iferror(VLOOKUP($R171,Capa!$A:$Z,BB$5,0),0),IF(ISERROR(1/VLOOKUP($R171,Capa!$A:$Z,BB$5,0)),0,1/VLOOKUP($R171,Capa!$A:$Z,BB$5,0))))</f>
        <v/>
      </c>
      <c r="BC173" s="124" t="str">
        <f>IF(BC$6="","",IF(BC$3="Maior",iferror(VLOOKUP($R171,Capa!$A:$Z,BC$5,0),0),IF(ISERROR(1/VLOOKUP($R171,Capa!$A:$Z,BC$5,0)),0,1/VLOOKUP($R171,Capa!$A:$Z,BC$5,0))))</f>
        <v/>
      </c>
      <c r="BD173" s="124" t="str">
        <f>IF(BD$6="","",IF(BD$3="Maior",iferror(VLOOKUP($R171,Capa!$A:$Z,BD$5,0),0),IF(ISERROR(1/VLOOKUP($R171,Capa!$A:$Z,BD$5,0)),0,1/VLOOKUP($R171,Capa!$A:$Z,BD$5,0))))</f>
        <v/>
      </c>
      <c r="BE173" s="124" t="str">
        <f>IF(BE$6="","",IF(BE$3="Maior",iferror(VLOOKUP($R171,Capa!$A:$Z,BE$5,0),0),IF(ISERROR(1/VLOOKUP($R171,Capa!$A:$Z,BE$5,0)),0,1/VLOOKUP($R171,Capa!$A:$Z,BE$5,0))))</f>
        <v/>
      </c>
      <c r="BF173" s="124" t="str">
        <f>IF(BF$6="","",IF(BF$3="Maior",iferror(VLOOKUP($R171,Capa!$A:$Z,BF$5,0),0),IF(ISERROR(1/VLOOKUP($R171,Capa!$A:$Z,BF$5,0)),0,1/VLOOKUP($R171,Capa!$A:$Z,BF$5,0))))</f>
        <v/>
      </c>
      <c r="BG173" s="124" t="str">
        <f>IF(BG$6="","",IF(BG$3="Maior",iferror(VLOOKUP($R171,Capa!$A:$Z,BG$5,0),0),IF(ISERROR(1/VLOOKUP($R171,Capa!$A:$Z,BG$5,0)),0,1/VLOOKUP($R171,Capa!$A:$Z,BG$5,0))))</f>
        <v/>
      </c>
      <c r="BH173" s="124" t="str">
        <f>IF(BH$6="","",IF(BH$3="Maior",iferror(VLOOKUP($R171,Capa!$A:$Z,BH$5,0),0),IF(ISERROR(1/VLOOKUP($R171,Capa!$A:$Z,BH$5,0)),0,1/VLOOKUP($R171,Capa!$A:$Z,BH$5,0))))</f>
        <v/>
      </c>
      <c r="BI173" s="124" t="str">
        <f>IF(BI$6="","",IF(BI$3="Maior",iferror(VLOOKUP($R171,Capa!$A:$Z,BI$5,0),0),IF(ISERROR(1/VLOOKUP($R171,Capa!$A:$Z,BI$5,0)),0,1/VLOOKUP($R171,Capa!$A:$Z,BI$5,0))))</f>
        <v/>
      </c>
      <c r="BJ173" s="124" t="str">
        <f>IF(BJ$6="","",IF(BJ$3="Maior",iferror(VLOOKUP($R171,Capa!$A:$Z,BJ$5,0),0),IF(ISERROR(1/VLOOKUP($R171,Capa!$A:$Z,BJ$5,0)),0,1/VLOOKUP($R171,Capa!$A:$Z,BJ$5,0))))</f>
        <v/>
      </c>
      <c r="BK173" s="124" t="str">
        <f>IF(BK$6="","",IF(BK$3="Maior",iferror(VLOOKUP($R171,Capa!$A:$Z,BK$5,0),0),IF(ISERROR(1/VLOOKUP($R171,Capa!$A:$Z,BK$5,0)),0,1/VLOOKUP($R171,Capa!$A:$Z,BK$5,0))))</f>
        <v/>
      </c>
      <c r="BL173" s="124" t="str">
        <f>IF(BL$6="","",IF(BL$3="Maior",iferror(VLOOKUP($R171,Capa!$A:$Z,BL$5,0),0),IF(ISERROR(1/VLOOKUP($R171,Capa!$A:$Z,BL$5,0)),0,1/VLOOKUP($R171,Capa!$A:$Z,BL$5,0))))</f>
        <v/>
      </c>
      <c r="BM173" s="124" t="str">
        <f>IF(BM$6="","",IF(BM$3="Maior",iferror(VLOOKUP($R171,Capa!$A:$Z,BM$5,0),0),IF(ISERROR(1/VLOOKUP($R171,Capa!$A:$Z,BM$5,0)),0,1/VLOOKUP($R171,Capa!$A:$Z,BM$5,0))))</f>
        <v/>
      </c>
      <c r="BN173" s="124" t="str">
        <f>IF(BN$6="","",IF(BN$3="Maior",iferror(VLOOKUP($R171,Capa!$A:$Z,BN$5,0),0),IF(ISERROR(1/VLOOKUP($R171,Capa!$A:$Z,BN$5,0)),0,1/VLOOKUP($R171,Capa!$A:$Z,BN$5,0))))</f>
        <v/>
      </c>
      <c r="BO173" s="124" t="str">
        <f>IF(BO$6="","",IF(BO$3="Maior",iferror(VLOOKUP($R171,Capa!$A:$Z,BO$5,0),0),IF(ISERROR(1/VLOOKUP($R171,Capa!$A:$Z,BO$5,0)),0,1/VLOOKUP($R171,Capa!$A:$Z,BO$5,0))))</f>
        <v/>
      </c>
      <c r="BP173" s="124" t="str">
        <f>IF(BP$6="","",IF(BP$3="Maior",iferror(VLOOKUP($R171,Capa!$A:$Z,BP$5,0),0),IF(ISERROR(1/VLOOKUP($R171,Capa!$A:$Z,BP$5,0)),0,1/VLOOKUP($R171,Capa!$A:$Z,BP$5,0))))</f>
        <v/>
      </c>
      <c r="BQ173" s="124" t="str">
        <f>IF(BQ$6="","",IF(BQ$3="Maior",iferror(VLOOKUP($R171,Capa!$A:$Z,BQ$5,0),0),IF(ISERROR(1/VLOOKUP($R171,Capa!$A:$Z,BQ$5,0)),0,1/VLOOKUP($R171,Capa!$A:$Z,BQ$5,0))))</f>
        <v/>
      </c>
      <c r="BR173" s="125" t="str">
        <f>IF(BR$6="","",IF(BR$3="Maior",iferror(VLOOKUP($R171,Capa!$A:$Z,BR$5,0),0),IF(ISERROR(1/VLOOKUP($R171,Capa!$A:$Z,BR$5,0)),0,1/VLOOKUP($R171,Capa!$A:$Z,BR$5,0))))</f>
        <v/>
      </c>
      <c r="BS173" s="88"/>
    </row>
    <row r="174">
      <c r="G174" s="9"/>
      <c r="H174" s="7"/>
      <c r="I174" s="111"/>
      <c r="J174" s="112"/>
      <c r="K174" s="113"/>
      <c r="L174" s="113"/>
      <c r="M174" s="141"/>
      <c r="N174" s="141"/>
      <c r="O174" s="9"/>
      <c r="P174" s="9"/>
      <c r="Q174" s="9"/>
      <c r="R174" s="127" t="s">
        <v>195</v>
      </c>
      <c r="S174" s="116">
        <f t="shared" si="13"/>
        <v>1231.00627</v>
      </c>
      <c r="T174" s="117">
        <f>MID(VLOOKUP($R174,'Dados ClubeFII'!$A:$AU,23,0),3,100)/1</f>
        <v>280485.8</v>
      </c>
      <c r="U174" s="118">
        <f t="shared" si="14"/>
        <v>61.0061</v>
      </c>
      <c r="V174" s="118">
        <f t="shared" si="15"/>
        <v>170.00017</v>
      </c>
      <c r="W174" s="118" t="str">
        <f t="shared" ref="W174:AS174" si="183">IF(AV174="","", RANK(AV174,AV$7:AV$405,0))</f>
        <v/>
      </c>
      <c r="X174" s="118" t="str">
        <f t="shared" si="183"/>
        <v/>
      </c>
      <c r="Y174" s="118" t="str">
        <f t="shared" si="183"/>
        <v/>
      </c>
      <c r="Z174" s="118" t="str">
        <f t="shared" si="183"/>
        <v/>
      </c>
      <c r="AA174" s="118" t="str">
        <f t="shared" si="183"/>
        <v/>
      </c>
      <c r="AB174" s="118" t="str">
        <f t="shared" si="183"/>
        <v/>
      </c>
      <c r="AC174" s="118" t="str">
        <f t="shared" si="183"/>
        <v/>
      </c>
      <c r="AD174" s="118" t="str">
        <f t="shared" si="183"/>
        <v/>
      </c>
      <c r="AE174" s="118" t="str">
        <f t="shared" si="183"/>
        <v/>
      </c>
      <c r="AF174" s="118" t="str">
        <f t="shared" si="183"/>
        <v/>
      </c>
      <c r="AG174" s="118" t="str">
        <f t="shared" si="183"/>
        <v/>
      </c>
      <c r="AH174" s="118" t="str">
        <f t="shared" si="183"/>
        <v/>
      </c>
      <c r="AI174" s="118" t="str">
        <f t="shared" si="183"/>
        <v/>
      </c>
      <c r="AJ174" s="118" t="str">
        <f t="shared" si="183"/>
        <v/>
      </c>
      <c r="AK174" s="118" t="str">
        <f t="shared" si="183"/>
        <v/>
      </c>
      <c r="AL174" s="118" t="str">
        <f t="shared" si="183"/>
        <v/>
      </c>
      <c r="AM174" s="118" t="str">
        <f t="shared" si="183"/>
        <v/>
      </c>
      <c r="AN174" s="118" t="str">
        <f t="shared" si="183"/>
        <v/>
      </c>
      <c r="AO174" s="118" t="str">
        <f t="shared" si="183"/>
        <v/>
      </c>
      <c r="AP174" s="118" t="str">
        <f t="shared" si="183"/>
        <v/>
      </c>
      <c r="AQ174" s="118" t="str">
        <f t="shared" si="183"/>
        <v/>
      </c>
      <c r="AR174" s="118" t="str">
        <f t="shared" si="183"/>
        <v/>
      </c>
      <c r="AS174" s="118" t="str">
        <f t="shared" si="183"/>
        <v/>
      </c>
      <c r="AT174" s="123">
        <f>IF(AT$6="","",IF(AT$3="Maior",iferror(VLOOKUP($R174,Capa!$A:$Z,AT$5,0),0),IF(ISERROR(1/VLOOKUP($R174,Capa!$A:$Z,AT$5,0)),0,1/VLOOKUP($R174,Capa!$A:$Z,AT$5,0))))</f>
        <v>1.333487021</v>
      </c>
      <c r="AU174" s="124">
        <f>IF(AU$6="","",IF(AU$3="Maior",iferror(VLOOKUP($R174,Capa!$A:$Z,AU$5,0),0),IF(ISERROR(1/VLOOKUP($R174,Capa!$A:$Z,AU$5,0)),0,1/VLOOKUP($R174,Capa!$A:$Z,AU$5,0))))</f>
        <v>0.04528324194</v>
      </c>
      <c r="AV174" s="124" t="str">
        <f>IF(AV$6="","",IF(AV$3="Maior",iferror(VLOOKUP($R172,Capa!$A:$Z,AV$5,0),0),IF(ISERROR(1/VLOOKUP($R172,Capa!$A:$Z,AV$5,0)),0,1/VLOOKUP($R172,Capa!$A:$Z,AV$5,0))))</f>
        <v/>
      </c>
      <c r="AW174" s="124" t="str">
        <f>IF(AW$6="","",IF(AW$3="Maior",iferror(VLOOKUP($R172,Capa!$A:$Z,AW$5,0),0),IF(ISERROR(1/VLOOKUP($R172,Capa!$A:$Z,AW$5,0)),0,1/VLOOKUP($R172,Capa!$A:$Z,AW$5,0))))</f>
        <v/>
      </c>
      <c r="AX174" s="124" t="str">
        <f>IF(AX$6="","",IF(AX$3="Maior",iferror(VLOOKUP($R172,Capa!$A:$Z,AX$5,0),0),IF(ISERROR(1/VLOOKUP($R172,Capa!$A:$Z,AX$5,0)),0,1/VLOOKUP($R172,Capa!$A:$Z,AX$5,0))))</f>
        <v/>
      </c>
      <c r="AY174" s="124" t="str">
        <f>IF(AY$6="","",IF(AY$3="Maior",iferror(VLOOKUP($R172,Capa!$A:$Z,AY$5,0),0),IF(ISERROR(1/VLOOKUP($R172,Capa!$A:$Z,AY$5,0)),0,1/VLOOKUP($R172,Capa!$A:$Z,AY$5,0))))</f>
        <v/>
      </c>
      <c r="AZ174" s="124" t="str">
        <f>IF(AZ$6="","",IF(AZ$3="Maior",iferror(VLOOKUP($R172,Capa!$A:$Z,AZ$5,0),0),IF(ISERROR(1/VLOOKUP($R172,Capa!$A:$Z,AZ$5,0)),0,1/VLOOKUP($R172,Capa!$A:$Z,AZ$5,0))))</f>
        <v/>
      </c>
      <c r="BA174" s="124" t="str">
        <f>IF(BA$6="","",IF(BA$3="Maior",iferror(VLOOKUP($R172,Capa!$A:$Z,BA$5,0),0),IF(ISERROR(1/VLOOKUP($R172,Capa!$A:$Z,BA$5,0)),0,1/VLOOKUP($R172,Capa!$A:$Z,BA$5,0))))</f>
        <v/>
      </c>
      <c r="BB174" s="124" t="str">
        <f>IF(BB$6="","",IF(BB$3="Maior",iferror(VLOOKUP($R172,Capa!$A:$Z,BB$5,0),0),IF(ISERROR(1/VLOOKUP($R172,Capa!$A:$Z,BB$5,0)),0,1/VLOOKUP($R172,Capa!$A:$Z,BB$5,0))))</f>
        <v/>
      </c>
      <c r="BC174" s="124" t="str">
        <f>IF(BC$6="","",IF(BC$3="Maior",iferror(VLOOKUP($R172,Capa!$A:$Z,BC$5,0),0),IF(ISERROR(1/VLOOKUP($R172,Capa!$A:$Z,BC$5,0)),0,1/VLOOKUP($R172,Capa!$A:$Z,BC$5,0))))</f>
        <v/>
      </c>
      <c r="BD174" s="124" t="str">
        <f>IF(BD$6="","",IF(BD$3="Maior",iferror(VLOOKUP($R172,Capa!$A:$Z,BD$5,0),0),IF(ISERROR(1/VLOOKUP($R172,Capa!$A:$Z,BD$5,0)),0,1/VLOOKUP($R172,Capa!$A:$Z,BD$5,0))))</f>
        <v/>
      </c>
      <c r="BE174" s="124" t="str">
        <f>IF(BE$6="","",IF(BE$3="Maior",iferror(VLOOKUP($R172,Capa!$A:$Z,BE$5,0),0),IF(ISERROR(1/VLOOKUP($R172,Capa!$A:$Z,BE$5,0)),0,1/VLOOKUP($R172,Capa!$A:$Z,BE$5,0))))</f>
        <v/>
      </c>
      <c r="BF174" s="124" t="str">
        <f>IF(BF$6="","",IF(BF$3="Maior",iferror(VLOOKUP($R172,Capa!$A:$Z,BF$5,0),0),IF(ISERROR(1/VLOOKUP($R172,Capa!$A:$Z,BF$5,0)),0,1/VLOOKUP($R172,Capa!$A:$Z,BF$5,0))))</f>
        <v/>
      </c>
      <c r="BG174" s="124" t="str">
        <f>IF(BG$6="","",IF(BG$3="Maior",iferror(VLOOKUP($R172,Capa!$A:$Z,BG$5,0),0),IF(ISERROR(1/VLOOKUP($R172,Capa!$A:$Z,BG$5,0)),0,1/VLOOKUP($R172,Capa!$A:$Z,BG$5,0))))</f>
        <v/>
      </c>
      <c r="BH174" s="124" t="str">
        <f>IF(BH$6="","",IF(BH$3="Maior",iferror(VLOOKUP($R172,Capa!$A:$Z,BH$5,0),0),IF(ISERROR(1/VLOOKUP($R172,Capa!$A:$Z,BH$5,0)),0,1/VLOOKUP($R172,Capa!$A:$Z,BH$5,0))))</f>
        <v/>
      </c>
      <c r="BI174" s="124" t="str">
        <f>IF(BI$6="","",IF(BI$3="Maior",iferror(VLOOKUP($R172,Capa!$A:$Z,BI$5,0),0),IF(ISERROR(1/VLOOKUP($R172,Capa!$A:$Z,BI$5,0)),0,1/VLOOKUP($R172,Capa!$A:$Z,BI$5,0))))</f>
        <v/>
      </c>
      <c r="BJ174" s="124" t="str">
        <f>IF(BJ$6="","",IF(BJ$3="Maior",iferror(VLOOKUP($R172,Capa!$A:$Z,BJ$5,0),0),IF(ISERROR(1/VLOOKUP($R172,Capa!$A:$Z,BJ$5,0)),0,1/VLOOKUP($R172,Capa!$A:$Z,BJ$5,0))))</f>
        <v/>
      </c>
      <c r="BK174" s="124" t="str">
        <f>IF(BK$6="","",IF(BK$3="Maior",iferror(VLOOKUP($R172,Capa!$A:$Z,BK$5,0),0),IF(ISERROR(1/VLOOKUP($R172,Capa!$A:$Z,BK$5,0)),0,1/VLOOKUP($R172,Capa!$A:$Z,BK$5,0))))</f>
        <v/>
      </c>
      <c r="BL174" s="124" t="str">
        <f>IF(BL$6="","",IF(BL$3="Maior",iferror(VLOOKUP($R172,Capa!$A:$Z,BL$5,0),0),IF(ISERROR(1/VLOOKUP($R172,Capa!$A:$Z,BL$5,0)),0,1/VLOOKUP($R172,Capa!$A:$Z,BL$5,0))))</f>
        <v/>
      </c>
      <c r="BM174" s="124" t="str">
        <f>IF(BM$6="","",IF(BM$3="Maior",iferror(VLOOKUP($R172,Capa!$A:$Z,BM$5,0),0),IF(ISERROR(1/VLOOKUP($R172,Capa!$A:$Z,BM$5,0)),0,1/VLOOKUP($R172,Capa!$A:$Z,BM$5,0))))</f>
        <v/>
      </c>
      <c r="BN174" s="124" t="str">
        <f>IF(BN$6="","",IF(BN$3="Maior",iferror(VLOOKUP($R172,Capa!$A:$Z,BN$5,0),0),IF(ISERROR(1/VLOOKUP($R172,Capa!$A:$Z,BN$5,0)),0,1/VLOOKUP($R172,Capa!$A:$Z,BN$5,0))))</f>
        <v/>
      </c>
      <c r="BO174" s="124" t="str">
        <f>IF(BO$6="","",IF(BO$3="Maior",iferror(VLOOKUP($R172,Capa!$A:$Z,BO$5,0),0),IF(ISERROR(1/VLOOKUP($R172,Capa!$A:$Z,BO$5,0)),0,1/VLOOKUP($R172,Capa!$A:$Z,BO$5,0))))</f>
        <v/>
      </c>
      <c r="BP174" s="124" t="str">
        <f>IF(BP$6="","",IF(BP$3="Maior",iferror(VLOOKUP($R172,Capa!$A:$Z,BP$5,0),0),IF(ISERROR(1/VLOOKUP($R172,Capa!$A:$Z,BP$5,0)),0,1/VLOOKUP($R172,Capa!$A:$Z,BP$5,0))))</f>
        <v/>
      </c>
      <c r="BQ174" s="124" t="str">
        <f>IF(BQ$6="","",IF(BQ$3="Maior",iferror(VLOOKUP($R172,Capa!$A:$Z,BQ$5,0),0),IF(ISERROR(1/VLOOKUP($R172,Capa!$A:$Z,BQ$5,0)),0,1/VLOOKUP($R172,Capa!$A:$Z,BQ$5,0))))</f>
        <v/>
      </c>
      <c r="BR174" s="125" t="str">
        <f>IF(BR$6="","",IF(BR$3="Maior",iferror(VLOOKUP($R172,Capa!$A:$Z,BR$5,0),0),IF(ISERROR(1/VLOOKUP($R172,Capa!$A:$Z,BR$5,0)),0,1/VLOOKUP($R172,Capa!$A:$Z,BR$5,0))))</f>
        <v/>
      </c>
      <c r="BS174" s="88"/>
    </row>
    <row r="175">
      <c r="G175" s="9"/>
      <c r="H175" s="7"/>
      <c r="I175" s="111"/>
      <c r="J175" s="112"/>
      <c r="K175" s="113"/>
      <c r="L175" s="113"/>
      <c r="M175" s="141"/>
      <c r="N175" s="141"/>
      <c r="O175" s="9"/>
      <c r="P175" s="9"/>
      <c r="Q175" s="9"/>
      <c r="R175" s="127" t="s">
        <v>187</v>
      </c>
      <c r="S175" s="116">
        <f t="shared" si="13"/>
        <v>1270.009576</v>
      </c>
      <c r="T175" s="117">
        <f>MID(VLOOKUP($R175,'Dados ClubeFII'!$A:$AU,23,0),3,100)/1</f>
        <v>14543.45</v>
      </c>
      <c r="U175" s="118">
        <f t="shared" si="14"/>
        <v>94.0094</v>
      </c>
      <c r="V175" s="118">
        <f t="shared" si="15"/>
        <v>176.000176</v>
      </c>
      <c r="W175" s="118" t="str">
        <f t="shared" ref="W175:AS175" si="184">IF(AV175="","", RANK(AV175,AV$7:AV$405,0))</f>
        <v/>
      </c>
      <c r="X175" s="118" t="str">
        <f t="shared" si="184"/>
        <v/>
      </c>
      <c r="Y175" s="118" t="str">
        <f t="shared" si="184"/>
        <v/>
      </c>
      <c r="Z175" s="118" t="str">
        <f t="shared" si="184"/>
        <v/>
      </c>
      <c r="AA175" s="118" t="str">
        <f t="shared" si="184"/>
        <v/>
      </c>
      <c r="AB175" s="118" t="str">
        <f t="shared" si="184"/>
        <v/>
      </c>
      <c r="AC175" s="118" t="str">
        <f t="shared" si="184"/>
        <v/>
      </c>
      <c r="AD175" s="118" t="str">
        <f t="shared" si="184"/>
        <v/>
      </c>
      <c r="AE175" s="118" t="str">
        <f t="shared" si="184"/>
        <v/>
      </c>
      <c r="AF175" s="118" t="str">
        <f t="shared" si="184"/>
        <v/>
      </c>
      <c r="AG175" s="118" t="str">
        <f t="shared" si="184"/>
        <v/>
      </c>
      <c r="AH175" s="118" t="str">
        <f t="shared" si="184"/>
        <v/>
      </c>
      <c r="AI175" s="118" t="str">
        <f t="shared" si="184"/>
        <v/>
      </c>
      <c r="AJ175" s="118" t="str">
        <f t="shared" si="184"/>
        <v/>
      </c>
      <c r="AK175" s="118" t="str">
        <f t="shared" si="184"/>
        <v/>
      </c>
      <c r="AL175" s="118" t="str">
        <f t="shared" si="184"/>
        <v/>
      </c>
      <c r="AM175" s="118" t="str">
        <f t="shared" si="184"/>
        <v/>
      </c>
      <c r="AN175" s="118" t="str">
        <f t="shared" si="184"/>
        <v/>
      </c>
      <c r="AO175" s="118" t="str">
        <f t="shared" si="184"/>
        <v/>
      </c>
      <c r="AP175" s="118" t="str">
        <f t="shared" si="184"/>
        <v/>
      </c>
      <c r="AQ175" s="118" t="str">
        <f t="shared" si="184"/>
        <v/>
      </c>
      <c r="AR175" s="118" t="str">
        <f t="shared" si="184"/>
        <v/>
      </c>
      <c r="AS175" s="118" t="str">
        <f t="shared" si="184"/>
        <v/>
      </c>
      <c r="AT175" s="123">
        <f>IF(AT$6="","",IF(AT$3="Maior",iferror(VLOOKUP($R175,Capa!$A:$Z,AT$5,0),0),IF(ISERROR(1/VLOOKUP($R175,Capa!$A:$Z,AT$5,0)),0,1/VLOOKUP($R175,Capa!$A:$Z,AT$5,0))))</f>
        <v>1.206530493</v>
      </c>
      <c r="AU175" s="124">
        <f>IF(AU$6="","",IF(AU$3="Maior",iferror(VLOOKUP($R175,Capa!$A:$Z,AU$5,0),0),IF(ISERROR(1/VLOOKUP($R175,Capa!$A:$Z,AU$5,0)),0,1/VLOOKUP($R175,Capa!$A:$Z,AU$5,0))))</f>
        <v>0.0147663835</v>
      </c>
      <c r="AV175" s="124" t="str">
        <f>IF(AV$6="","",IF(AV$3="Maior",iferror(VLOOKUP($R173,Capa!$A:$Z,AV$5,0),0),IF(ISERROR(1/VLOOKUP($R173,Capa!$A:$Z,AV$5,0)),0,1/VLOOKUP($R173,Capa!$A:$Z,AV$5,0))))</f>
        <v/>
      </c>
      <c r="AW175" s="124" t="str">
        <f>IF(AW$6="","",IF(AW$3="Maior",iferror(VLOOKUP($R173,Capa!$A:$Z,AW$5,0),0),IF(ISERROR(1/VLOOKUP($R173,Capa!$A:$Z,AW$5,0)),0,1/VLOOKUP($R173,Capa!$A:$Z,AW$5,0))))</f>
        <v/>
      </c>
      <c r="AX175" s="124" t="str">
        <f>IF(AX$6="","",IF(AX$3="Maior",iferror(VLOOKUP($R173,Capa!$A:$Z,AX$5,0),0),IF(ISERROR(1/VLOOKUP($R173,Capa!$A:$Z,AX$5,0)),0,1/VLOOKUP($R173,Capa!$A:$Z,AX$5,0))))</f>
        <v/>
      </c>
      <c r="AY175" s="124" t="str">
        <f>IF(AY$6="","",IF(AY$3="Maior",iferror(VLOOKUP($R173,Capa!$A:$Z,AY$5,0),0),IF(ISERROR(1/VLOOKUP($R173,Capa!$A:$Z,AY$5,0)),0,1/VLOOKUP($R173,Capa!$A:$Z,AY$5,0))))</f>
        <v/>
      </c>
      <c r="AZ175" s="124" t="str">
        <f>IF(AZ$6="","",IF(AZ$3="Maior",iferror(VLOOKUP($R173,Capa!$A:$Z,AZ$5,0),0),IF(ISERROR(1/VLOOKUP($R173,Capa!$A:$Z,AZ$5,0)),0,1/VLOOKUP($R173,Capa!$A:$Z,AZ$5,0))))</f>
        <v/>
      </c>
      <c r="BA175" s="124" t="str">
        <f>IF(BA$6="","",IF(BA$3="Maior",iferror(VLOOKUP($R173,Capa!$A:$Z,BA$5,0),0),IF(ISERROR(1/VLOOKUP($R173,Capa!$A:$Z,BA$5,0)),0,1/VLOOKUP($R173,Capa!$A:$Z,BA$5,0))))</f>
        <v/>
      </c>
      <c r="BB175" s="124" t="str">
        <f>IF(BB$6="","",IF(BB$3="Maior",iferror(VLOOKUP($R173,Capa!$A:$Z,BB$5,0),0),IF(ISERROR(1/VLOOKUP($R173,Capa!$A:$Z,BB$5,0)),0,1/VLOOKUP($R173,Capa!$A:$Z,BB$5,0))))</f>
        <v/>
      </c>
      <c r="BC175" s="124" t="str">
        <f>IF(BC$6="","",IF(BC$3="Maior",iferror(VLOOKUP($R173,Capa!$A:$Z,BC$5,0),0),IF(ISERROR(1/VLOOKUP($R173,Capa!$A:$Z,BC$5,0)),0,1/VLOOKUP($R173,Capa!$A:$Z,BC$5,0))))</f>
        <v/>
      </c>
      <c r="BD175" s="124" t="str">
        <f>IF(BD$6="","",IF(BD$3="Maior",iferror(VLOOKUP($R173,Capa!$A:$Z,BD$5,0),0),IF(ISERROR(1/VLOOKUP($R173,Capa!$A:$Z,BD$5,0)),0,1/VLOOKUP($R173,Capa!$A:$Z,BD$5,0))))</f>
        <v/>
      </c>
      <c r="BE175" s="124" t="str">
        <f>IF(BE$6="","",IF(BE$3="Maior",iferror(VLOOKUP($R173,Capa!$A:$Z,BE$5,0),0),IF(ISERROR(1/VLOOKUP($R173,Capa!$A:$Z,BE$5,0)),0,1/VLOOKUP($R173,Capa!$A:$Z,BE$5,0))))</f>
        <v/>
      </c>
      <c r="BF175" s="124" t="str">
        <f>IF(BF$6="","",IF(BF$3="Maior",iferror(VLOOKUP($R173,Capa!$A:$Z,BF$5,0),0),IF(ISERROR(1/VLOOKUP($R173,Capa!$A:$Z,BF$5,0)),0,1/VLOOKUP($R173,Capa!$A:$Z,BF$5,0))))</f>
        <v/>
      </c>
      <c r="BG175" s="124" t="str">
        <f>IF(BG$6="","",IF(BG$3="Maior",iferror(VLOOKUP($R173,Capa!$A:$Z,BG$5,0),0),IF(ISERROR(1/VLOOKUP($R173,Capa!$A:$Z,BG$5,0)),0,1/VLOOKUP($R173,Capa!$A:$Z,BG$5,0))))</f>
        <v/>
      </c>
      <c r="BH175" s="124" t="str">
        <f>IF(BH$6="","",IF(BH$3="Maior",iferror(VLOOKUP($R173,Capa!$A:$Z,BH$5,0),0),IF(ISERROR(1/VLOOKUP($R173,Capa!$A:$Z,BH$5,0)),0,1/VLOOKUP($R173,Capa!$A:$Z,BH$5,0))))</f>
        <v/>
      </c>
      <c r="BI175" s="124" t="str">
        <f>IF(BI$6="","",IF(BI$3="Maior",iferror(VLOOKUP($R173,Capa!$A:$Z,BI$5,0),0),IF(ISERROR(1/VLOOKUP($R173,Capa!$A:$Z,BI$5,0)),0,1/VLOOKUP($R173,Capa!$A:$Z,BI$5,0))))</f>
        <v/>
      </c>
      <c r="BJ175" s="124" t="str">
        <f>IF(BJ$6="","",IF(BJ$3="Maior",iferror(VLOOKUP($R173,Capa!$A:$Z,BJ$5,0),0),IF(ISERROR(1/VLOOKUP($R173,Capa!$A:$Z,BJ$5,0)),0,1/VLOOKUP($R173,Capa!$A:$Z,BJ$5,0))))</f>
        <v/>
      </c>
      <c r="BK175" s="124" t="str">
        <f>IF(BK$6="","",IF(BK$3="Maior",iferror(VLOOKUP($R173,Capa!$A:$Z,BK$5,0),0),IF(ISERROR(1/VLOOKUP($R173,Capa!$A:$Z,BK$5,0)),0,1/VLOOKUP($R173,Capa!$A:$Z,BK$5,0))))</f>
        <v/>
      </c>
      <c r="BL175" s="124" t="str">
        <f>IF(BL$6="","",IF(BL$3="Maior",iferror(VLOOKUP($R173,Capa!$A:$Z,BL$5,0),0),IF(ISERROR(1/VLOOKUP($R173,Capa!$A:$Z,BL$5,0)),0,1/VLOOKUP($R173,Capa!$A:$Z,BL$5,0))))</f>
        <v/>
      </c>
      <c r="BM175" s="124" t="str">
        <f>IF(BM$6="","",IF(BM$3="Maior",iferror(VLOOKUP($R173,Capa!$A:$Z,BM$5,0),0),IF(ISERROR(1/VLOOKUP($R173,Capa!$A:$Z,BM$5,0)),0,1/VLOOKUP($R173,Capa!$A:$Z,BM$5,0))))</f>
        <v/>
      </c>
      <c r="BN175" s="124" t="str">
        <f>IF(BN$6="","",IF(BN$3="Maior",iferror(VLOOKUP($R173,Capa!$A:$Z,BN$5,0),0),IF(ISERROR(1/VLOOKUP($R173,Capa!$A:$Z,BN$5,0)),0,1/VLOOKUP($R173,Capa!$A:$Z,BN$5,0))))</f>
        <v/>
      </c>
      <c r="BO175" s="124" t="str">
        <f>IF(BO$6="","",IF(BO$3="Maior",iferror(VLOOKUP($R173,Capa!$A:$Z,BO$5,0),0),IF(ISERROR(1/VLOOKUP($R173,Capa!$A:$Z,BO$5,0)),0,1/VLOOKUP($R173,Capa!$A:$Z,BO$5,0))))</f>
        <v/>
      </c>
      <c r="BP175" s="124" t="str">
        <f>IF(BP$6="","",IF(BP$3="Maior",iferror(VLOOKUP($R173,Capa!$A:$Z,BP$5,0),0),IF(ISERROR(1/VLOOKUP($R173,Capa!$A:$Z,BP$5,0)),0,1/VLOOKUP($R173,Capa!$A:$Z,BP$5,0))))</f>
        <v/>
      </c>
      <c r="BQ175" s="124" t="str">
        <f>IF(BQ$6="","",IF(BQ$3="Maior",iferror(VLOOKUP($R173,Capa!$A:$Z,BQ$5,0),0),IF(ISERROR(1/VLOOKUP($R173,Capa!$A:$Z,BQ$5,0)),0,1/VLOOKUP($R173,Capa!$A:$Z,BQ$5,0))))</f>
        <v/>
      </c>
      <c r="BR175" s="125" t="str">
        <f>IF(BR$6="","",IF(BR$3="Maior",iferror(VLOOKUP($R173,Capa!$A:$Z,BR$5,0),0),IF(ISERROR(1/VLOOKUP($R173,Capa!$A:$Z,BR$5,0)),0,1/VLOOKUP($R173,Capa!$A:$Z,BR$5,0))))</f>
        <v/>
      </c>
      <c r="BS175" s="88"/>
    </row>
    <row r="176">
      <c r="G176" s="9"/>
      <c r="H176" s="7"/>
      <c r="I176" s="111"/>
      <c r="J176" s="112"/>
      <c r="K176" s="113"/>
      <c r="L176" s="113"/>
      <c r="M176" s="141"/>
      <c r="N176" s="141"/>
      <c r="O176" s="9"/>
      <c r="P176" s="9"/>
      <c r="Q176" s="9"/>
      <c r="R176" s="115" t="s">
        <v>191</v>
      </c>
      <c r="S176" s="116">
        <f t="shared" si="13"/>
        <v>1208.015256</v>
      </c>
      <c r="T176" s="117">
        <f>MID(VLOOKUP($R176,'Dados ClubeFII'!$A:$AU,23,0),3,100)/1</f>
        <v>0</v>
      </c>
      <c r="U176" s="118">
        <f t="shared" si="14"/>
        <v>152.0152</v>
      </c>
      <c r="V176" s="118">
        <f t="shared" si="15"/>
        <v>56.000056</v>
      </c>
      <c r="W176" s="118" t="str">
        <f t="shared" ref="W176:AS176" si="185">IF(AV176="","", RANK(AV176,AV$7:AV$405,0))</f>
        <v/>
      </c>
      <c r="X176" s="118" t="str">
        <f t="shared" si="185"/>
        <v/>
      </c>
      <c r="Y176" s="118" t="str">
        <f t="shared" si="185"/>
        <v/>
      </c>
      <c r="Z176" s="118" t="str">
        <f t="shared" si="185"/>
        <v/>
      </c>
      <c r="AA176" s="118" t="str">
        <f t="shared" si="185"/>
        <v/>
      </c>
      <c r="AB176" s="118" t="str">
        <f t="shared" si="185"/>
        <v/>
      </c>
      <c r="AC176" s="118" t="str">
        <f t="shared" si="185"/>
        <v/>
      </c>
      <c r="AD176" s="118" t="str">
        <f t="shared" si="185"/>
        <v/>
      </c>
      <c r="AE176" s="118" t="str">
        <f t="shared" si="185"/>
        <v/>
      </c>
      <c r="AF176" s="118" t="str">
        <f t="shared" si="185"/>
        <v/>
      </c>
      <c r="AG176" s="118" t="str">
        <f t="shared" si="185"/>
        <v/>
      </c>
      <c r="AH176" s="118" t="str">
        <f t="shared" si="185"/>
        <v/>
      </c>
      <c r="AI176" s="118" t="str">
        <f t="shared" si="185"/>
        <v/>
      </c>
      <c r="AJ176" s="118" t="str">
        <f t="shared" si="185"/>
        <v/>
      </c>
      <c r="AK176" s="118" t="str">
        <f t="shared" si="185"/>
        <v/>
      </c>
      <c r="AL176" s="118" t="str">
        <f t="shared" si="185"/>
        <v/>
      </c>
      <c r="AM176" s="118" t="str">
        <f t="shared" si="185"/>
        <v/>
      </c>
      <c r="AN176" s="118" t="str">
        <f t="shared" si="185"/>
        <v/>
      </c>
      <c r="AO176" s="118" t="str">
        <f t="shared" si="185"/>
        <v/>
      </c>
      <c r="AP176" s="118" t="str">
        <f t="shared" si="185"/>
        <v/>
      </c>
      <c r="AQ176" s="118" t="str">
        <f t="shared" si="185"/>
        <v/>
      </c>
      <c r="AR176" s="118" t="str">
        <f t="shared" si="185"/>
        <v/>
      </c>
      <c r="AS176" s="118" t="str">
        <f t="shared" si="185"/>
        <v/>
      </c>
      <c r="AT176" s="123">
        <f>IF(AT$6="","",IF(AT$3="Maior",iferror(VLOOKUP($R176,Capa!$A:$Z,AT$5,0),0),IF(ISERROR(1/VLOOKUP($R176,Capa!$A:$Z,AT$5,0)),0,1/VLOOKUP($R176,Capa!$A:$Z,AT$5,0))))</f>
        <v>1.063829787</v>
      </c>
      <c r="AU176" s="124">
        <f>IF(AU$6="","",IF(AU$3="Maior",iferror(VLOOKUP($R176,Capa!$A:$Z,AU$5,0),0),IF(ISERROR(1/VLOOKUP($R176,Capa!$A:$Z,AU$5,0)),0,1/VLOOKUP($R176,Capa!$A:$Z,AU$5,0))))</f>
        <v>0.1324</v>
      </c>
      <c r="AV176" s="124" t="str">
        <f>IF(AV$6="","",IF(AV$3="Maior",iferror(VLOOKUP($R174,Capa!$A:$Z,AV$5,0),0),IF(ISERROR(1/VLOOKUP($R174,Capa!$A:$Z,AV$5,0)),0,1/VLOOKUP($R174,Capa!$A:$Z,AV$5,0))))</f>
        <v/>
      </c>
      <c r="AW176" s="124" t="str">
        <f>IF(AW$6="","",IF(AW$3="Maior",iferror(VLOOKUP($R174,Capa!$A:$Z,AW$5,0),0),IF(ISERROR(1/VLOOKUP($R174,Capa!$A:$Z,AW$5,0)),0,1/VLOOKUP($R174,Capa!$A:$Z,AW$5,0))))</f>
        <v/>
      </c>
      <c r="AX176" s="124" t="str">
        <f>IF(AX$6="","",IF(AX$3="Maior",iferror(VLOOKUP($R174,Capa!$A:$Z,AX$5,0),0),IF(ISERROR(1/VLOOKUP($R174,Capa!$A:$Z,AX$5,0)),0,1/VLOOKUP($R174,Capa!$A:$Z,AX$5,0))))</f>
        <v/>
      </c>
      <c r="AY176" s="124" t="str">
        <f>IF(AY$6="","",IF(AY$3="Maior",iferror(VLOOKUP($R174,Capa!$A:$Z,AY$5,0),0),IF(ISERROR(1/VLOOKUP($R174,Capa!$A:$Z,AY$5,0)),0,1/VLOOKUP($R174,Capa!$A:$Z,AY$5,0))))</f>
        <v/>
      </c>
      <c r="AZ176" s="124" t="str">
        <f>IF(AZ$6="","",IF(AZ$3="Maior",iferror(VLOOKUP($R174,Capa!$A:$Z,AZ$5,0),0),IF(ISERROR(1/VLOOKUP($R174,Capa!$A:$Z,AZ$5,0)),0,1/VLOOKUP($R174,Capa!$A:$Z,AZ$5,0))))</f>
        <v/>
      </c>
      <c r="BA176" s="124" t="str">
        <f>IF(BA$6="","",IF(BA$3="Maior",iferror(VLOOKUP($R174,Capa!$A:$Z,BA$5,0),0),IF(ISERROR(1/VLOOKUP($R174,Capa!$A:$Z,BA$5,0)),0,1/VLOOKUP($R174,Capa!$A:$Z,BA$5,0))))</f>
        <v/>
      </c>
      <c r="BB176" s="124" t="str">
        <f>IF(BB$6="","",IF(BB$3="Maior",iferror(VLOOKUP($R174,Capa!$A:$Z,BB$5,0),0),IF(ISERROR(1/VLOOKUP($R174,Capa!$A:$Z,BB$5,0)),0,1/VLOOKUP($R174,Capa!$A:$Z,BB$5,0))))</f>
        <v/>
      </c>
      <c r="BC176" s="124" t="str">
        <f>IF(BC$6="","",IF(BC$3="Maior",iferror(VLOOKUP($R174,Capa!$A:$Z,BC$5,0),0),IF(ISERROR(1/VLOOKUP($R174,Capa!$A:$Z,BC$5,0)),0,1/VLOOKUP($R174,Capa!$A:$Z,BC$5,0))))</f>
        <v/>
      </c>
      <c r="BD176" s="124" t="str">
        <f>IF(BD$6="","",IF(BD$3="Maior",iferror(VLOOKUP($R174,Capa!$A:$Z,BD$5,0),0),IF(ISERROR(1/VLOOKUP($R174,Capa!$A:$Z,BD$5,0)),0,1/VLOOKUP($R174,Capa!$A:$Z,BD$5,0))))</f>
        <v/>
      </c>
      <c r="BE176" s="124" t="str">
        <f>IF(BE$6="","",IF(BE$3="Maior",iferror(VLOOKUP($R174,Capa!$A:$Z,BE$5,0),0),IF(ISERROR(1/VLOOKUP($R174,Capa!$A:$Z,BE$5,0)),0,1/VLOOKUP($R174,Capa!$A:$Z,BE$5,0))))</f>
        <v/>
      </c>
      <c r="BF176" s="124" t="str">
        <f>IF(BF$6="","",IF(BF$3="Maior",iferror(VLOOKUP($R174,Capa!$A:$Z,BF$5,0),0),IF(ISERROR(1/VLOOKUP($R174,Capa!$A:$Z,BF$5,0)),0,1/VLOOKUP($R174,Capa!$A:$Z,BF$5,0))))</f>
        <v/>
      </c>
      <c r="BG176" s="124" t="str">
        <f>IF(BG$6="","",IF(BG$3="Maior",iferror(VLOOKUP($R174,Capa!$A:$Z,BG$5,0),0),IF(ISERROR(1/VLOOKUP($R174,Capa!$A:$Z,BG$5,0)),0,1/VLOOKUP($R174,Capa!$A:$Z,BG$5,0))))</f>
        <v/>
      </c>
      <c r="BH176" s="124" t="str">
        <f>IF(BH$6="","",IF(BH$3="Maior",iferror(VLOOKUP($R174,Capa!$A:$Z,BH$5,0),0),IF(ISERROR(1/VLOOKUP($R174,Capa!$A:$Z,BH$5,0)),0,1/VLOOKUP($R174,Capa!$A:$Z,BH$5,0))))</f>
        <v/>
      </c>
      <c r="BI176" s="124" t="str">
        <f>IF(BI$6="","",IF(BI$3="Maior",iferror(VLOOKUP($R174,Capa!$A:$Z,BI$5,0),0),IF(ISERROR(1/VLOOKUP($R174,Capa!$A:$Z,BI$5,0)),0,1/VLOOKUP($R174,Capa!$A:$Z,BI$5,0))))</f>
        <v/>
      </c>
      <c r="BJ176" s="124" t="str">
        <f>IF(BJ$6="","",IF(BJ$3="Maior",iferror(VLOOKUP($R174,Capa!$A:$Z,BJ$5,0),0),IF(ISERROR(1/VLOOKUP($R174,Capa!$A:$Z,BJ$5,0)),0,1/VLOOKUP($R174,Capa!$A:$Z,BJ$5,0))))</f>
        <v/>
      </c>
      <c r="BK176" s="124" t="str">
        <f>IF(BK$6="","",IF(BK$3="Maior",iferror(VLOOKUP($R174,Capa!$A:$Z,BK$5,0),0),IF(ISERROR(1/VLOOKUP($R174,Capa!$A:$Z,BK$5,0)),0,1/VLOOKUP($R174,Capa!$A:$Z,BK$5,0))))</f>
        <v/>
      </c>
      <c r="BL176" s="124" t="str">
        <f>IF(BL$6="","",IF(BL$3="Maior",iferror(VLOOKUP($R174,Capa!$A:$Z,BL$5,0),0),IF(ISERROR(1/VLOOKUP($R174,Capa!$A:$Z,BL$5,0)),0,1/VLOOKUP($R174,Capa!$A:$Z,BL$5,0))))</f>
        <v/>
      </c>
      <c r="BM176" s="124" t="str">
        <f>IF(BM$6="","",IF(BM$3="Maior",iferror(VLOOKUP($R174,Capa!$A:$Z,BM$5,0),0),IF(ISERROR(1/VLOOKUP($R174,Capa!$A:$Z,BM$5,0)),0,1/VLOOKUP($R174,Capa!$A:$Z,BM$5,0))))</f>
        <v/>
      </c>
      <c r="BN176" s="124" t="str">
        <f>IF(BN$6="","",IF(BN$3="Maior",iferror(VLOOKUP($R174,Capa!$A:$Z,BN$5,0),0),IF(ISERROR(1/VLOOKUP($R174,Capa!$A:$Z,BN$5,0)),0,1/VLOOKUP($R174,Capa!$A:$Z,BN$5,0))))</f>
        <v/>
      </c>
      <c r="BO176" s="124" t="str">
        <f>IF(BO$6="","",IF(BO$3="Maior",iferror(VLOOKUP($R174,Capa!$A:$Z,BO$5,0),0),IF(ISERROR(1/VLOOKUP($R174,Capa!$A:$Z,BO$5,0)),0,1/VLOOKUP($R174,Capa!$A:$Z,BO$5,0))))</f>
        <v/>
      </c>
      <c r="BP176" s="124" t="str">
        <f>IF(BP$6="","",IF(BP$3="Maior",iferror(VLOOKUP($R174,Capa!$A:$Z,BP$5,0),0),IF(ISERROR(1/VLOOKUP($R174,Capa!$A:$Z,BP$5,0)),0,1/VLOOKUP($R174,Capa!$A:$Z,BP$5,0))))</f>
        <v/>
      </c>
      <c r="BQ176" s="124" t="str">
        <f>IF(BQ$6="","",IF(BQ$3="Maior",iferror(VLOOKUP($R174,Capa!$A:$Z,BQ$5,0),0),IF(ISERROR(1/VLOOKUP($R174,Capa!$A:$Z,BQ$5,0)),0,1/VLOOKUP($R174,Capa!$A:$Z,BQ$5,0))))</f>
        <v/>
      </c>
      <c r="BR176" s="125" t="str">
        <f>IF(BR$6="","",IF(BR$3="Maior",iferror(VLOOKUP($R174,Capa!$A:$Z,BR$5,0),0),IF(ISERROR(1/VLOOKUP($R174,Capa!$A:$Z,BR$5,0)),0,1/VLOOKUP($R174,Capa!$A:$Z,BR$5,0))))</f>
        <v/>
      </c>
      <c r="BS176" s="88"/>
    </row>
    <row r="177">
      <c r="G177" s="9"/>
      <c r="H177" s="7"/>
      <c r="I177" s="111"/>
      <c r="J177" s="112"/>
      <c r="K177" s="113"/>
      <c r="L177" s="113"/>
      <c r="M177" s="141"/>
      <c r="N177" s="141"/>
      <c r="O177" s="9"/>
      <c r="P177" s="9"/>
      <c r="Q177" s="9"/>
      <c r="R177" s="127" t="s">
        <v>192</v>
      </c>
      <c r="S177" s="116">
        <f t="shared" si="13"/>
        <v>1183.000381</v>
      </c>
      <c r="T177" s="117">
        <f>MID(VLOOKUP($R177,'Dados ClubeFII'!$A:$AU,23,0),3,100)/1</f>
        <v>11070.4</v>
      </c>
      <c r="U177" s="118">
        <f t="shared" si="14"/>
        <v>2.0002</v>
      </c>
      <c r="V177" s="118">
        <f t="shared" si="15"/>
        <v>181.000181</v>
      </c>
      <c r="W177" s="118" t="str">
        <f t="shared" ref="W177:AS177" si="186">IF(AV177="","", RANK(AV177,AV$7:AV$405,0))</f>
        <v/>
      </c>
      <c r="X177" s="118" t="str">
        <f t="shared" si="186"/>
        <v/>
      </c>
      <c r="Y177" s="118" t="str">
        <f t="shared" si="186"/>
        <v/>
      </c>
      <c r="Z177" s="118" t="str">
        <f t="shared" si="186"/>
        <v/>
      </c>
      <c r="AA177" s="118" t="str">
        <f t="shared" si="186"/>
        <v/>
      </c>
      <c r="AB177" s="118" t="str">
        <f t="shared" si="186"/>
        <v/>
      </c>
      <c r="AC177" s="118" t="str">
        <f t="shared" si="186"/>
        <v/>
      </c>
      <c r="AD177" s="118" t="str">
        <f t="shared" si="186"/>
        <v/>
      </c>
      <c r="AE177" s="118" t="str">
        <f t="shared" si="186"/>
        <v/>
      </c>
      <c r="AF177" s="118" t="str">
        <f t="shared" si="186"/>
        <v/>
      </c>
      <c r="AG177" s="118" t="str">
        <f t="shared" si="186"/>
        <v/>
      </c>
      <c r="AH177" s="118" t="str">
        <f t="shared" si="186"/>
        <v/>
      </c>
      <c r="AI177" s="118" t="str">
        <f t="shared" si="186"/>
        <v/>
      </c>
      <c r="AJ177" s="118" t="str">
        <f t="shared" si="186"/>
        <v/>
      </c>
      <c r="AK177" s="118" t="str">
        <f t="shared" si="186"/>
        <v/>
      </c>
      <c r="AL177" s="118" t="str">
        <f t="shared" si="186"/>
        <v/>
      </c>
      <c r="AM177" s="118" t="str">
        <f t="shared" si="186"/>
        <v/>
      </c>
      <c r="AN177" s="118" t="str">
        <f t="shared" si="186"/>
        <v/>
      </c>
      <c r="AO177" s="118" t="str">
        <f t="shared" si="186"/>
        <v/>
      </c>
      <c r="AP177" s="118" t="str">
        <f t="shared" si="186"/>
        <v/>
      </c>
      <c r="AQ177" s="118" t="str">
        <f t="shared" si="186"/>
        <v/>
      </c>
      <c r="AR177" s="118" t="str">
        <f t="shared" si="186"/>
        <v/>
      </c>
      <c r="AS177" s="118" t="str">
        <f t="shared" si="186"/>
        <v/>
      </c>
      <c r="AT177" s="123">
        <f>IF(AT$6="","",IF(AT$3="Maior",iferror(VLOOKUP($R177,Capa!$A:$Z,AT$5,0),0),IF(ISERROR(1/VLOOKUP($R177,Capa!$A:$Z,AT$5,0)),0,1/VLOOKUP($R177,Capa!$A:$Z,AT$5,0))))</f>
        <v>4.160591472</v>
      </c>
      <c r="AU177" s="124">
        <f>IF(AU$6="","",IF(AU$3="Maior",iferror(VLOOKUP($R177,Capa!$A:$Z,AU$5,0),0),IF(ISERROR(1/VLOOKUP($R177,Capa!$A:$Z,AU$5,0)),0,1/VLOOKUP($R177,Capa!$A:$Z,AU$5,0))))</f>
        <v>0</v>
      </c>
      <c r="AV177" s="124" t="str">
        <f>IF(AV$6="","",IF(AV$3="Maior",iferror(VLOOKUP($R175,Capa!$A:$Z,AV$5,0),0),IF(ISERROR(1/VLOOKUP($R175,Capa!$A:$Z,AV$5,0)),0,1/VLOOKUP($R175,Capa!$A:$Z,AV$5,0))))</f>
        <v/>
      </c>
      <c r="AW177" s="124" t="str">
        <f>IF(AW$6="","",IF(AW$3="Maior",iferror(VLOOKUP($R175,Capa!$A:$Z,AW$5,0),0),IF(ISERROR(1/VLOOKUP($R175,Capa!$A:$Z,AW$5,0)),0,1/VLOOKUP($R175,Capa!$A:$Z,AW$5,0))))</f>
        <v/>
      </c>
      <c r="AX177" s="124" t="str">
        <f>IF(AX$6="","",IF(AX$3="Maior",iferror(VLOOKUP($R175,Capa!$A:$Z,AX$5,0),0),IF(ISERROR(1/VLOOKUP($R175,Capa!$A:$Z,AX$5,0)),0,1/VLOOKUP($R175,Capa!$A:$Z,AX$5,0))))</f>
        <v/>
      </c>
      <c r="AY177" s="124" t="str">
        <f>IF(AY$6="","",IF(AY$3="Maior",iferror(VLOOKUP($R175,Capa!$A:$Z,AY$5,0),0),IF(ISERROR(1/VLOOKUP($R175,Capa!$A:$Z,AY$5,0)),0,1/VLOOKUP($R175,Capa!$A:$Z,AY$5,0))))</f>
        <v/>
      </c>
      <c r="AZ177" s="124" t="str">
        <f>IF(AZ$6="","",IF(AZ$3="Maior",iferror(VLOOKUP($R175,Capa!$A:$Z,AZ$5,0),0),IF(ISERROR(1/VLOOKUP($R175,Capa!$A:$Z,AZ$5,0)),0,1/VLOOKUP($R175,Capa!$A:$Z,AZ$5,0))))</f>
        <v/>
      </c>
      <c r="BA177" s="124" t="str">
        <f>IF(BA$6="","",IF(BA$3="Maior",iferror(VLOOKUP($R175,Capa!$A:$Z,BA$5,0),0),IF(ISERROR(1/VLOOKUP($R175,Capa!$A:$Z,BA$5,0)),0,1/VLOOKUP($R175,Capa!$A:$Z,BA$5,0))))</f>
        <v/>
      </c>
      <c r="BB177" s="124" t="str">
        <f>IF(BB$6="","",IF(BB$3="Maior",iferror(VLOOKUP($R175,Capa!$A:$Z,BB$5,0),0),IF(ISERROR(1/VLOOKUP($R175,Capa!$A:$Z,BB$5,0)),0,1/VLOOKUP($R175,Capa!$A:$Z,BB$5,0))))</f>
        <v/>
      </c>
      <c r="BC177" s="124" t="str">
        <f>IF(BC$6="","",IF(BC$3="Maior",iferror(VLOOKUP($R175,Capa!$A:$Z,BC$5,0),0),IF(ISERROR(1/VLOOKUP($R175,Capa!$A:$Z,BC$5,0)),0,1/VLOOKUP($R175,Capa!$A:$Z,BC$5,0))))</f>
        <v/>
      </c>
      <c r="BD177" s="124" t="str">
        <f>IF(BD$6="","",IF(BD$3="Maior",iferror(VLOOKUP($R175,Capa!$A:$Z,BD$5,0),0),IF(ISERROR(1/VLOOKUP($R175,Capa!$A:$Z,BD$5,0)),0,1/VLOOKUP($R175,Capa!$A:$Z,BD$5,0))))</f>
        <v/>
      </c>
      <c r="BE177" s="124" t="str">
        <f>IF(BE$6="","",IF(BE$3="Maior",iferror(VLOOKUP($R175,Capa!$A:$Z,BE$5,0),0),IF(ISERROR(1/VLOOKUP($R175,Capa!$A:$Z,BE$5,0)),0,1/VLOOKUP($R175,Capa!$A:$Z,BE$5,0))))</f>
        <v/>
      </c>
      <c r="BF177" s="124" t="str">
        <f>IF(BF$6="","",IF(BF$3="Maior",iferror(VLOOKUP($R175,Capa!$A:$Z,BF$5,0),0),IF(ISERROR(1/VLOOKUP($R175,Capa!$A:$Z,BF$5,0)),0,1/VLOOKUP($R175,Capa!$A:$Z,BF$5,0))))</f>
        <v/>
      </c>
      <c r="BG177" s="124" t="str">
        <f>IF(BG$6="","",IF(BG$3="Maior",iferror(VLOOKUP($R175,Capa!$A:$Z,BG$5,0),0),IF(ISERROR(1/VLOOKUP($R175,Capa!$A:$Z,BG$5,0)),0,1/VLOOKUP($R175,Capa!$A:$Z,BG$5,0))))</f>
        <v/>
      </c>
      <c r="BH177" s="124" t="str">
        <f>IF(BH$6="","",IF(BH$3="Maior",iferror(VLOOKUP($R175,Capa!$A:$Z,BH$5,0),0),IF(ISERROR(1/VLOOKUP($R175,Capa!$A:$Z,BH$5,0)),0,1/VLOOKUP($R175,Capa!$A:$Z,BH$5,0))))</f>
        <v/>
      </c>
      <c r="BI177" s="124" t="str">
        <f>IF(BI$6="","",IF(BI$3="Maior",iferror(VLOOKUP($R175,Capa!$A:$Z,BI$5,0),0),IF(ISERROR(1/VLOOKUP($R175,Capa!$A:$Z,BI$5,0)),0,1/VLOOKUP($R175,Capa!$A:$Z,BI$5,0))))</f>
        <v/>
      </c>
      <c r="BJ177" s="124" t="str">
        <f>IF(BJ$6="","",IF(BJ$3="Maior",iferror(VLOOKUP($R175,Capa!$A:$Z,BJ$5,0),0),IF(ISERROR(1/VLOOKUP($R175,Capa!$A:$Z,BJ$5,0)),0,1/VLOOKUP($R175,Capa!$A:$Z,BJ$5,0))))</f>
        <v/>
      </c>
      <c r="BK177" s="124" t="str">
        <f>IF(BK$6="","",IF(BK$3="Maior",iferror(VLOOKUP($R175,Capa!$A:$Z,BK$5,0),0),IF(ISERROR(1/VLOOKUP($R175,Capa!$A:$Z,BK$5,0)),0,1/VLOOKUP($R175,Capa!$A:$Z,BK$5,0))))</f>
        <v/>
      </c>
      <c r="BL177" s="124" t="str">
        <f>IF(BL$6="","",IF(BL$3="Maior",iferror(VLOOKUP($R175,Capa!$A:$Z,BL$5,0),0),IF(ISERROR(1/VLOOKUP($R175,Capa!$A:$Z,BL$5,0)),0,1/VLOOKUP($R175,Capa!$A:$Z,BL$5,0))))</f>
        <v/>
      </c>
      <c r="BM177" s="124" t="str">
        <f>IF(BM$6="","",IF(BM$3="Maior",iferror(VLOOKUP($R175,Capa!$A:$Z,BM$5,0),0),IF(ISERROR(1/VLOOKUP($R175,Capa!$A:$Z,BM$5,0)),0,1/VLOOKUP($R175,Capa!$A:$Z,BM$5,0))))</f>
        <v/>
      </c>
      <c r="BN177" s="124" t="str">
        <f>IF(BN$6="","",IF(BN$3="Maior",iferror(VLOOKUP($R175,Capa!$A:$Z,BN$5,0),0),IF(ISERROR(1/VLOOKUP($R175,Capa!$A:$Z,BN$5,0)),0,1/VLOOKUP($R175,Capa!$A:$Z,BN$5,0))))</f>
        <v/>
      </c>
      <c r="BO177" s="124" t="str">
        <f>IF(BO$6="","",IF(BO$3="Maior",iferror(VLOOKUP($R175,Capa!$A:$Z,BO$5,0),0),IF(ISERROR(1/VLOOKUP($R175,Capa!$A:$Z,BO$5,0)),0,1/VLOOKUP($R175,Capa!$A:$Z,BO$5,0))))</f>
        <v/>
      </c>
      <c r="BP177" s="124" t="str">
        <f>IF(BP$6="","",IF(BP$3="Maior",iferror(VLOOKUP($R175,Capa!$A:$Z,BP$5,0),0),IF(ISERROR(1/VLOOKUP($R175,Capa!$A:$Z,BP$5,0)),0,1/VLOOKUP($R175,Capa!$A:$Z,BP$5,0))))</f>
        <v/>
      </c>
      <c r="BQ177" s="124" t="str">
        <f>IF(BQ$6="","",IF(BQ$3="Maior",iferror(VLOOKUP($R175,Capa!$A:$Z,BQ$5,0),0),IF(ISERROR(1/VLOOKUP($R175,Capa!$A:$Z,BQ$5,0)),0,1/VLOOKUP($R175,Capa!$A:$Z,BQ$5,0))))</f>
        <v/>
      </c>
      <c r="BR177" s="125" t="str">
        <f>IF(BR$6="","",IF(BR$3="Maior",iferror(VLOOKUP($R175,Capa!$A:$Z,BR$5,0),0),IF(ISERROR(1/VLOOKUP($R175,Capa!$A:$Z,BR$5,0)),0,1/VLOOKUP($R175,Capa!$A:$Z,BR$5,0))))</f>
        <v/>
      </c>
      <c r="BS177" s="88"/>
    </row>
    <row r="178">
      <c r="G178" s="9"/>
      <c r="H178" s="7"/>
      <c r="I178" s="111"/>
      <c r="J178" s="112"/>
      <c r="K178" s="113"/>
      <c r="L178" s="113"/>
      <c r="M178" s="141"/>
      <c r="N178" s="141"/>
      <c r="O178" s="9"/>
      <c r="P178" s="9"/>
      <c r="Q178" s="9"/>
      <c r="R178" s="126" t="s">
        <v>207</v>
      </c>
      <c r="S178" s="116">
        <f t="shared" si="13"/>
        <v>166.01264</v>
      </c>
      <c r="T178" s="117">
        <f>MID(VLOOKUP($R178,'Dados ClubeFII'!$A:$AU,23,0),3,100)/1</f>
        <v>6490215.97</v>
      </c>
      <c r="U178" s="118">
        <f t="shared" si="14"/>
        <v>126.0126</v>
      </c>
      <c r="V178" s="118">
        <f t="shared" si="15"/>
        <v>40.00004</v>
      </c>
      <c r="W178" s="118" t="str">
        <f t="shared" ref="W178:AS178" si="187">IF(AV178="","", RANK(AV178,AV$7:AV$405,0))</f>
        <v/>
      </c>
      <c r="X178" s="118" t="str">
        <f t="shared" si="187"/>
        <v/>
      </c>
      <c r="Y178" s="118" t="str">
        <f t="shared" si="187"/>
        <v/>
      </c>
      <c r="Z178" s="118" t="str">
        <f t="shared" si="187"/>
        <v/>
      </c>
      <c r="AA178" s="118" t="str">
        <f t="shared" si="187"/>
        <v/>
      </c>
      <c r="AB178" s="118" t="str">
        <f t="shared" si="187"/>
        <v/>
      </c>
      <c r="AC178" s="118" t="str">
        <f t="shared" si="187"/>
        <v/>
      </c>
      <c r="AD178" s="118" t="str">
        <f t="shared" si="187"/>
        <v/>
      </c>
      <c r="AE178" s="118" t="str">
        <f t="shared" si="187"/>
        <v/>
      </c>
      <c r="AF178" s="118" t="str">
        <f t="shared" si="187"/>
        <v/>
      </c>
      <c r="AG178" s="118" t="str">
        <f t="shared" si="187"/>
        <v/>
      </c>
      <c r="AH178" s="118" t="str">
        <f t="shared" si="187"/>
        <v/>
      </c>
      <c r="AI178" s="118" t="str">
        <f t="shared" si="187"/>
        <v/>
      </c>
      <c r="AJ178" s="118" t="str">
        <f t="shared" si="187"/>
        <v/>
      </c>
      <c r="AK178" s="118" t="str">
        <f t="shared" si="187"/>
        <v/>
      </c>
      <c r="AL178" s="118" t="str">
        <f t="shared" si="187"/>
        <v/>
      </c>
      <c r="AM178" s="118" t="str">
        <f t="shared" si="187"/>
        <v/>
      </c>
      <c r="AN178" s="118" t="str">
        <f t="shared" si="187"/>
        <v/>
      </c>
      <c r="AO178" s="118" t="str">
        <f t="shared" si="187"/>
        <v/>
      </c>
      <c r="AP178" s="118" t="str">
        <f t="shared" si="187"/>
        <v/>
      </c>
      <c r="AQ178" s="118" t="str">
        <f t="shared" si="187"/>
        <v/>
      </c>
      <c r="AR178" s="118" t="str">
        <f t="shared" si="187"/>
        <v/>
      </c>
      <c r="AS178" s="118" t="str">
        <f t="shared" si="187"/>
        <v/>
      </c>
      <c r="AT178" s="123">
        <f>IF(AT$6="","",IF(AT$3="Maior",iferror(VLOOKUP($R178,Capa!$A:$Z,AT$5,0),0),IF(ISERROR(1/VLOOKUP($R178,Capa!$A:$Z,AT$5,0)),0,1/VLOOKUP($R178,Capa!$A:$Z,AT$5,0))))</f>
        <v>1.137741757</v>
      </c>
      <c r="AU178" s="124">
        <f>IF(AU$6="","",IF(AU$3="Maior",iferror(VLOOKUP($R178,Capa!$A:$Z,AU$5,0),0),IF(ISERROR(1/VLOOKUP($R178,Capa!$A:$Z,AU$5,0)),0,1/VLOOKUP($R178,Capa!$A:$Z,AU$5,0))))</f>
        <v>0.1427033415</v>
      </c>
      <c r="AV178" s="124" t="str">
        <f>IF(AV$6="","",IF(AV$3="Maior",iferror(VLOOKUP($R176,Capa!$A:$Z,AV$5,0),0),IF(ISERROR(1/VLOOKUP($R176,Capa!$A:$Z,AV$5,0)),0,1/VLOOKUP($R176,Capa!$A:$Z,AV$5,0))))</f>
        <v/>
      </c>
      <c r="AW178" s="124" t="str">
        <f>IF(AW$6="","",IF(AW$3="Maior",iferror(VLOOKUP($R176,Capa!$A:$Z,AW$5,0),0),IF(ISERROR(1/VLOOKUP($R176,Capa!$A:$Z,AW$5,0)),0,1/VLOOKUP($R176,Capa!$A:$Z,AW$5,0))))</f>
        <v/>
      </c>
      <c r="AX178" s="124" t="str">
        <f>IF(AX$6="","",IF(AX$3="Maior",iferror(VLOOKUP($R176,Capa!$A:$Z,AX$5,0),0),IF(ISERROR(1/VLOOKUP($R176,Capa!$A:$Z,AX$5,0)),0,1/VLOOKUP($R176,Capa!$A:$Z,AX$5,0))))</f>
        <v/>
      </c>
      <c r="AY178" s="124" t="str">
        <f>IF(AY$6="","",IF(AY$3="Maior",iferror(VLOOKUP($R176,Capa!$A:$Z,AY$5,0),0),IF(ISERROR(1/VLOOKUP($R176,Capa!$A:$Z,AY$5,0)),0,1/VLOOKUP($R176,Capa!$A:$Z,AY$5,0))))</f>
        <v/>
      </c>
      <c r="AZ178" s="124" t="str">
        <f>IF(AZ$6="","",IF(AZ$3="Maior",iferror(VLOOKUP($R176,Capa!$A:$Z,AZ$5,0),0),IF(ISERROR(1/VLOOKUP($R176,Capa!$A:$Z,AZ$5,0)),0,1/VLOOKUP($R176,Capa!$A:$Z,AZ$5,0))))</f>
        <v/>
      </c>
      <c r="BA178" s="124" t="str">
        <f>IF(BA$6="","",IF(BA$3="Maior",iferror(VLOOKUP($R176,Capa!$A:$Z,BA$5,0),0),IF(ISERROR(1/VLOOKUP($R176,Capa!$A:$Z,BA$5,0)),0,1/VLOOKUP($R176,Capa!$A:$Z,BA$5,0))))</f>
        <v/>
      </c>
      <c r="BB178" s="124" t="str">
        <f>IF(BB$6="","",IF(BB$3="Maior",iferror(VLOOKUP($R176,Capa!$A:$Z,BB$5,0),0),IF(ISERROR(1/VLOOKUP($R176,Capa!$A:$Z,BB$5,0)),0,1/VLOOKUP($R176,Capa!$A:$Z,BB$5,0))))</f>
        <v/>
      </c>
      <c r="BC178" s="124" t="str">
        <f>IF(BC$6="","",IF(BC$3="Maior",iferror(VLOOKUP($R176,Capa!$A:$Z,BC$5,0),0),IF(ISERROR(1/VLOOKUP($R176,Capa!$A:$Z,BC$5,0)),0,1/VLOOKUP($R176,Capa!$A:$Z,BC$5,0))))</f>
        <v/>
      </c>
      <c r="BD178" s="124" t="str">
        <f>IF(BD$6="","",IF(BD$3="Maior",iferror(VLOOKUP($R176,Capa!$A:$Z,BD$5,0),0),IF(ISERROR(1/VLOOKUP($R176,Capa!$A:$Z,BD$5,0)),0,1/VLOOKUP($R176,Capa!$A:$Z,BD$5,0))))</f>
        <v/>
      </c>
      <c r="BE178" s="124" t="str">
        <f>IF(BE$6="","",IF(BE$3="Maior",iferror(VLOOKUP($R176,Capa!$A:$Z,BE$5,0),0),IF(ISERROR(1/VLOOKUP($R176,Capa!$A:$Z,BE$5,0)),0,1/VLOOKUP($R176,Capa!$A:$Z,BE$5,0))))</f>
        <v/>
      </c>
      <c r="BF178" s="124" t="str">
        <f>IF(BF$6="","",IF(BF$3="Maior",iferror(VLOOKUP($R176,Capa!$A:$Z,BF$5,0),0),IF(ISERROR(1/VLOOKUP($R176,Capa!$A:$Z,BF$5,0)),0,1/VLOOKUP($R176,Capa!$A:$Z,BF$5,0))))</f>
        <v/>
      </c>
      <c r="BG178" s="124" t="str">
        <f>IF(BG$6="","",IF(BG$3="Maior",iferror(VLOOKUP($R176,Capa!$A:$Z,BG$5,0),0),IF(ISERROR(1/VLOOKUP($R176,Capa!$A:$Z,BG$5,0)),0,1/VLOOKUP($R176,Capa!$A:$Z,BG$5,0))))</f>
        <v/>
      </c>
      <c r="BH178" s="124" t="str">
        <f>IF(BH$6="","",IF(BH$3="Maior",iferror(VLOOKUP($R176,Capa!$A:$Z,BH$5,0),0),IF(ISERROR(1/VLOOKUP($R176,Capa!$A:$Z,BH$5,0)),0,1/VLOOKUP($R176,Capa!$A:$Z,BH$5,0))))</f>
        <v/>
      </c>
      <c r="BI178" s="124" t="str">
        <f>IF(BI$6="","",IF(BI$3="Maior",iferror(VLOOKUP($R176,Capa!$A:$Z,BI$5,0),0),IF(ISERROR(1/VLOOKUP($R176,Capa!$A:$Z,BI$5,0)),0,1/VLOOKUP($R176,Capa!$A:$Z,BI$5,0))))</f>
        <v/>
      </c>
      <c r="BJ178" s="124" t="str">
        <f>IF(BJ$6="","",IF(BJ$3="Maior",iferror(VLOOKUP($R176,Capa!$A:$Z,BJ$5,0),0),IF(ISERROR(1/VLOOKUP($R176,Capa!$A:$Z,BJ$5,0)),0,1/VLOOKUP($R176,Capa!$A:$Z,BJ$5,0))))</f>
        <v/>
      </c>
      <c r="BK178" s="124" t="str">
        <f>IF(BK$6="","",IF(BK$3="Maior",iferror(VLOOKUP($R176,Capa!$A:$Z,BK$5,0),0),IF(ISERROR(1/VLOOKUP($R176,Capa!$A:$Z,BK$5,0)),0,1/VLOOKUP($R176,Capa!$A:$Z,BK$5,0))))</f>
        <v/>
      </c>
      <c r="BL178" s="124" t="str">
        <f>IF(BL$6="","",IF(BL$3="Maior",iferror(VLOOKUP($R176,Capa!$A:$Z,BL$5,0),0),IF(ISERROR(1/VLOOKUP($R176,Capa!$A:$Z,BL$5,0)),0,1/VLOOKUP($R176,Capa!$A:$Z,BL$5,0))))</f>
        <v/>
      </c>
      <c r="BM178" s="124" t="str">
        <f>IF(BM$6="","",IF(BM$3="Maior",iferror(VLOOKUP($R176,Capa!$A:$Z,BM$5,0),0),IF(ISERROR(1/VLOOKUP($R176,Capa!$A:$Z,BM$5,0)),0,1/VLOOKUP($R176,Capa!$A:$Z,BM$5,0))))</f>
        <v/>
      </c>
      <c r="BN178" s="124" t="str">
        <f>IF(BN$6="","",IF(BN$3="Maior",iferror(VLOOKUP($R176,Capa!$A:$Z,BN$5,0),0),IF(ISERROR(1/VLOOKUP($R176,Capa!$A:$Z,BN$5,0)),0,1/VLOOKUP($R176,Capa!$A:$Z,BN$5,0))))</f>
        <v/>
      </c>
      <c r="BO178" s="124" t="str">
        <f>IF(BO$6="","",IF(BO$3="Maior",iferror(VLOOKUP($R176,Capa!$A:$Z,BO$5,0),0),IF(ISERROR(1/VLOOKUP($R176,Capa!$A:$Z,BO$5,0)),0,1/VLOOKUP($R176,Capa!$A:$Z,BO$5,0))))</f>
        <v/>
      </c>
      <c r="BP178" s="124" t="str">
        <f>IF(BP$6="","",IF(BP$3="Maior",iferror(VLOOKUP($R176,Capa!$A:$Z,BP$5,0),0),IF(ISERROR(1/VLOOKUP($R176,Capa!$A:$Z,BP$5,0)),0,1/VLOOKUP($R176,Capa!$A:$Z,BP$5,0))))</f>
        <v/>
      </c>
      <c r="BQ178" s="124" t="str">
        <f>IF(BQ$6="","",IF(BQ$3="Maior",iferror(VLOOKUP($R176,Capa!$A:$Z,BQ$5,0),0),IF(ISERROR(1/VLOOKUP($R176,Capa!$A:$Z,BQ$5,0)),0,1/VLOOKUP($R176,Capa!$A:$Z,BQ$5,0))))</f>
        <v/>
      </c>
      <c r="BR178" s="125" t="str">
        <f>IF(BR$6="","",IF(BR$3="Maior",iferror(VLOOKUP($R176,Capa!$A:$Z,BR$5,0),0),IF(ISERROR(1/VLOOKUP($R176,Capa!$A:$Z,BR$5,0)),0,1/VLOOKUP($R176,Capa!$A:$Z,BR$5,0))))</f>
        <v/>
      </c>
      <c r="BS178" s="88"/>
    </row>
    <row r="179">
      <c r="G179" s="9"/>
      <c r="H179" s="7"/>
      <c r="I179" s="111"/>
      <c r="J179" s="112"/>
      <c r="K179" s="113"/>
      <c r="L179" s="113"/>
      <c r="M179" s="141"/>
      <c r="N179" s="141"/>
      <c r="O179" s="9"/>
      <c r="P179" s="9"/>
      <c r="Q179" s="9"/>
      <c r="R179" s="126" t="s">
        <v>208</v>
      </c>
      <c r="S179" s="116">
        <f t="shared" si="13"/>
        <v>1179.017405</v>
      </c>
      <c r="T179" s="117">
        <f>MID(VLOOKUP($R179,'Dados ClubeFII'!$A:$AU,23,0),3,100)/1</f>
        <v>466072.26</v>
      </c>
      <c r="U179" s="118">
        <f t="shared" si="14"/>
        <v>174.0174</v>
      </c>
      <c r="V179" s="118">
        <f t="shared" si="15"/>
        <v>5.000005</v>
      </c>
      <c r="W179" s="118" t="str">
        <f t="shared" ref="W179:AS179" si="188">IF(AV179="","", RANK(AV179,AV$7:AV$405,0))</f>
        <v/>
      </c>
      <c r="X179" s="118" t="str">
        <f t="shared" si="188"/>
        <v/>
      </c>
      <c r="Y179" s="118" t="str">
        <f t="shared" si="188"/>
        <v/>
      </c>
      <c r="Z179" s="118" t="str">
        <f t="shared" si="188"/>
        <v/>
      </c>
      <c r="AA179" s="118" t="str">
        <f t="shared" si="188"/>
        <v/>
      </c>
      <c r="AB179" s="118" t="str">
        <f t="shared" si="188"/>
        <v/>
      </c>
      <c r="AC179" s="118" t="str">
        <f t="shared" si="188"/>
        <v/>
      </c>
      <c r="AD179" s="118" t="str">
        <f t="shared" si="188"/>
        <v/>
      </c>
      <c r="AE179" s="118" t="str">
        <f t="shared" si="188"/>
        <v/>
      </c>
      <c r="AF179" s="118" t="str">
        <f t="shared" si="188"/>
        <v/>
      </c>
      <c r="AG179" s="118" t="str">
        <f t="shared" si="188"/>
        <v/>
      </c>
      <c r="AH179" s="118" t="str">
        <f t="shared" si="188"/>
        <v/>
      </c>
      <c r="AI179" s="118" t="str">
        <f t="shared" si="188"/>
        <v/>
      </c>
      <c r="AJ179" s="118" t="str">
        <f t="shared" si="188"/>
        <v/>
      </c>
      <c r="AK179" s="118" t="str">
        <f t="shared" si="188"/>
        <v/>
      </c>
      <c r="AL179" s="118" t="str">
        <f t="shared" si="188"/>
        <v/>
      </c>
      <c r="AM179" s="118" t="str">
        <f t="shared" si="188"/>
        <v/>
      </c>
      <c r="AN179" s="118" t="str">
        <f t="shared" si="188"/>
        <v/>
      </c>
      <c r="AO179" s="118" t="str">
        <f t="shared" si="188"/>
        <v/>
      </c>
      <c r="AP179" s="118" t="str">
        <f t="shared" si="188"/>
        <v/>
      </c>
      <c r="AQ179" s="118" t="str">
        <f t="shared" si="188"/>
        <v/>
      </c>
      <c r="AR179" s="118" t="str">
        <f t="shared" si="188"/>
        <v/>
      </c>
      <c r="AS179" s="118" t="str">
        <f t="shared" si="188"/>
        <v/>
      </c>
      <c r="AT179" s="123">
        <f>IF(AT$6="","",IF(AT$3="Maior",iferror(VLOOKUP($R179,Capa!$A:$Z,AT$5,0),0),IF(ISERROR(1/VLOOKUP($R179,Capa!$A:$Z,AT$5,0)),0,1/VLOOKUP($R179,Capa!$A:$Z,AT$5,0))))</f>
        <v>0.9937947494</v>
      </c>
      <c r="AU179" s="124">
        <f>IF(AU$6="","",IF(AU$3="Maior",iferror(VLOOKUP($R179,Capa!$A:$Z,AU$5,0),0),IF(ISERROR(1/VLOOKUP($R179,Capa!$A:$Z,AU$5,0)),0,1/VLOOKUP($R179,Capa!$A:$Z,AU$5,0))))</f>
        <v>0.1696527378</v>
      </c>
      <c r="AV179" s="124" t="str">
        <f>IF(AV$6="","",IF(AV$3="Maior",iferror(VLOOKUP($R177,Capa!$A:$Z,AV$5,0),0),IF(ISERROR(1/VLOOKUP($R177,Capa!$A:$Z,AV$5,0)),0,1/VLOOKUP($R177,Capa!$A:$Z,AV$5,0))))</f>
        <v/>
      </c>
      <c r="AW179" s="124" t="str">
        <f>IF(AW$6="","",IF(AW$3="Maior",iferror(VLOOKUP($R177,Capa!$A:$Z,AW$5,0),0),IF(ISERROR(1/VLOOKUP($R177,Capa!$A:$Z,AW$5,0)),0,1/VLOOKUP($R177,Capa!$A:$Z,AW$5,0))))</f>
        <v/>
      </c>
      <c r="AX179" s="124" t="str">
        <f>IF(AX$6="","",IF(AX$3="Maior",iferror(VLOOKUP($R177,Capa!$A:$Z,AX$5,0),0),IF(ISERROR(1/VLOOKUP($R177,Capa!$A:$Z,AX$5,0)),0,1/VLOOKUP($R177,Capa!$A:$Z,AX$5,0))))</f>
        <v/>
      </c>
      <c r="AY179" s="124" t="str">
        <f>IF(AY$6="","",IF(AY$3="Maior",iferror(VLOOKUP($R177,Capa!$A:$Z,AY$5,0),0),IF(ISERROR(1/VLOOKUP($R177,Capa!$A:$Z,AY$5,0)),0,1/VLOOKUP($R177,Capa!$A:$Z,AY$5,0))))</f>
        <v/>
      </c>
      <c r="AZ179" s="124" t="str">
        <f>IF(AZ$6="","",IF(AZ$3="Maior",iferror(VLOOKUP($R177,Capa!$A:$Z,AZ$5,0),0),IF(ISERROR(1/VLOOKUP($R177,Capa!$A:$Z,AZ$5,0)),0,1/VLOOKUP($R177,Capa!$A:$Z,AZ$5,0))))</f>
        <v/>
      </c>
      <c r="BA179" s="124" t="str">
        <f>IF(BA$6="","",IF(BA$3="Maior",iferror(VLOOKUP($R177,Capa!$A:$Z,BA$5,0),0),IF(ISERROR(1/VLOOKUP($R177,Capa!$A:$Z,BA$5,0)),0,1/VLOOKUP($R177,Capa!$A:$Z,BA$5,0))))</f>
        <v/>
      </c>
      <c r="BB179" s="124" t="str">
        <f>IF(BB$6="","",IF(BB$3="Maior",iferror(VLOOKUP($R177,Capa!$A:$Z,BB$5,0),0),IF(ISERROR(1/VLOOKUP($R177,Capa!$A:$Z,BB$5,0)),0,1/VLOOKUP($R177,Capa!$A:$Z,BB$5,0))))</f>
        <v/>
      </c>
      <c r="BC179" s="124" t="str">
        <f>IF(BC$6="","",IF(BC$3="Maior",iferror(VLOOKUP($R177,Capa!$A:$Z,BC$5,0),0),IF(ISERROR(1/VLOOKUP($R177,Capa!$A:$Z,BC$5,0)),0,1/VLOOKUP($R177,Capa!$A:$Z,BC$5,0))))</f>
        <v/>
      </c>
      <c r="BD179" s="124" t="str">
        <f>IF(BD$6="","",IF(BD$3="Maior",iferror(VLOOKUP($R177,Capa!$A:$Z,BD$5,0),0),IF(ISERROR(1/VLOOKUP($R177,Capa!$A:$Z,BD$5,0)),0,1/VLOOKUP($R177,Capa!$A:$Z,BD$5,0))))</f>
        <v/>
      </c>
      <c r="BE179" s="124" t="str">
        <f>IF(BE$6="","",IF(BE$3="Maior",iferror(VLOOKUP($R177,Capa!$A:$Z,BE$5,0),0),IF(ISERROR(1/VLOOKUP($R177,Capa!$A:$Z,BE$5,0)),0,1/VLOOKUP($R177,Capa!$A:$Z,BE$5,0))))</f>
        <v/>
      </c>
      <c r="BF179" s="124" t="str">
        <f>IF(BF$6="","",IF(BF$3="Maior",iferror(VLOOKUP($R177,Capa!$A:$Z,BF$5,0),0),IF(ISERROR(1/VLOOKUP($R177,Capa!$A:$Z,BF$5,0)),0,1/VLOOKUP($R177,Capa!$A:$Z,BF$5,0))))</f>
        <v/>
      </c>
      <c r="BG179" s="124" t="str">
        <f>IF(BG$6="","",IF(BG$3="Maior",iferror(VLOOKUP($R177,Capa!$A:$Z,BG$5,0),0),IF(ISERROR(1/VLOOKUP($R177,Capa!$A:$Z,BG$5,0)),0,1/VLOOKUP($R177,Capa!$A:$Z,BG$5,0))))</f>
        <v/>
      </c>
      <c r="BH179" s="124" t="str">
        <f>IF(BH$6="","",IF(BH$3="Maior",iferror(VLOOKUP($R177,Capa!$A:$Z,BH$5,0),0),IF(ISERROR(1/VLOOKUP($R177,Capa!$A:$Z,BH$5,0)),0,1/VLOOKUP($R177,Capa!$A:$Z,BH$5,0))))</f>
        <v/>
      </c>
      <c r="BI179" s="124" t="str">
        <f>IF(BI$6="","",IF(BI$3="Maior",iferror(VLOOKUP($R177,Capa!$A:$Z,BI$5,0),0),IF(ISERROR(1/VLOOKUP($R177,Capa!$A:$Z,BI$5,0)),0,1/VLOOKUP($R177,Capa!$A:$Z,BI$5,0))))</f>
        <v/>
      </c>
      <c r="BJ179" s="124" t="str">
        <f>IF(BJ$6="","",IF(BJ$3="Maior",iferror(VLOOKUP($R177,Capa!$A:$Z,BJ$5,0),0),IF(ISERROR(1/VLOOKUP($R177,Capa!$A:$Z,BJ$5,0)),0,1/VLOOKUP($R177,Capa!$A:$Z,BJ$5,0))))</f>
        <v/>
      </c>
      <c r="BK179" s="124" t="str">
        <f>IF(BK$6="","",IF(BK$3="Maior",iferror(VLOOKUP($R177,Capa!$A:$Z,BK$5,0),0),IF(ISERROR(1/VLOOKUP($R177,Capa!$A:$Z,BK$5,0)),0,1/VLOOKUP($R177,Capa!$A:$Z,BK$5,0))))</f>
        <v/>
      </c>
      <c r="BL179" s="124" t="str">
        <f>IF(BL$6="","",IF(BL$3="Maior",iferror(VLOOKUP($R177,Capa!$A:$Z,BL$5,0),0),IF(ISERROR(1/VLOOKUP($R177,Capa!$A:$Z,BL$5,0)),0,1/VLOOKUP($R177,Capa!$A:$Z,BL$5,0))))</f>
        <v/>
      </c>
      <c r="BM179" s="124" t="str">
        <f>IF(BM$6="","",IF(BM$3="Maior",iferror(VLOOKUP($R177,Capa!$A:$Z,BM$5,0),0),IF(ISERROR(1/VLOOKUP($R177,Capa!$A:$Z,BM$5,0)),0,1/VLOOKUP($R177,Capa!$A:$Z,BM$5,0))))</f>
        <v/>
      </c>
      <c r="BN179" s="124" t="str">
        <f>IF(BN$6="","",IF(BN$3="Maior",iferror(VLOOKUP($R177,Capa!$A:$Z,BN$5,0),0),IF(ISERROR(1/VLOOKUP($R177,Capa!$A:$Z,BN$5,0)),0,1/VLOOKUP($R177,Capa!$A:$Z,BN$5,0))))</f>
        <v/>
      </c>
      <c r="BO179" s="124" t="str">
        <f>IF(BO$6="","",IF(BO$3="Maior",iferror(VLOOKUP($R177,Capa!$A:$Z,BO$5,0),0),IF(ISERROR(1/VLOOKUP($R177,Capa!$A:$Z,BO$5,0)),0,1/VLOOKUP($R177,Capa!$A:$Z,BO$5,0))))</f>
        <v/>
      </c>
      <c r="BP179" s="124" t="str">
        <f>IF(BP$6="","",IF(BP$3="Maior",iferror(VLOOKUP($R177,Capa!$A:$Z,BP$5,0),0),IF(ISERROR(1/VLOOKUP($R177,Capa!$A:$Z,BP$5,0)),0,1/VLOOKUP($R177,Capa!$A:$Z,BP$5,0))))</f>
        <v/>
      </c>
      <c r="BQ179" s="124" t="str">
        <f>IF(BQ$6="","",IF(BQ$3="Maior",iferror(VLOOKUP($R177,Capa!$A:$Z,BQ$5,0),0),IF(ISERROR(1/VLOOKUP($R177,Capa!$A:$Z,BQ$5,0)),0,1/VLOOKUP($R177,Capa!$A:$Z,BQ$5,0))))</f>
        <v/>
      </c>
      <c r="BR179" s="125" t="str">
        <f>IF(BR$6="","",IF(BR$3="Maior",iferror(VLOOKUP($R177,Capa!$A:$Z,BR$5,0),0),IF(ISERROR(1/VLOOKUP($R177,Capa!$A:$Z,BR$5,0)),0,1/VLOOKUP($R177,Capa!$A:$Z,BR$5,0))))</f>
        <v/>
      </c>
      <c r="BS179" s="88"/>
    </row>
    <row r="180">
      <c r="G180" s="9"/>
      <c r="H180" s="7"/>
      <c r="I180" s="111"/>
      <c r="J180" s="112"/>
      <c r="K180" s="113"/>
      <c r="L180" s="113"/>
      <c r="M180" s="141"/>
      <c r="N180" s="141"/>
      <c r="O180" s="9"/>
      <c r="P180" s="9"/>
      <c r="Q180" s="9"/>
      <c r="R180" s="126" t="s">
        <v>209</v>
      </c>
      <c r="S180" s="116">
        <f t="shared" si="13"/>
        <v>1200.017129</v>
      </c>
      <c r="T180" s="117">
        <f>MID(VLOOKUP($R180,'Dados ClubeFII'!$A:$AU,23,0),3,100)/1</f>
        <v>841361.77</v>
      </c>
      <c r="U180" s="118">
        <f t="shared" si="14"/>
        <v>171.0171</v>
      </c>
      <c r="V180" s="118">
        <f t="shared" si="15"/>
        <v>29.000029</v>
      </c>
      <c r="W180" s="118" t="str">
        <f t="shared" ref="W180:AS180" si="189">IF(AV180="","", RANK(AV180,AV$7:AV$405,0))</f>
        <v/>
      </c>
      <c r="X180" s="118" t="str">
        <f t="shared" si="189"/>
        <v/>
      </c>
      <c r="Y180" s="118" t="str">
        <f t="shared" si="189"/>
        <v/>
      </c>
      <c r="Z180" s="118" t="str">
        <f t="shared" si="189"/>
        <v/>
      </c>
      <c r="AA180" s="118" t="str">
        <f t="shared" si="189"/>
        <v/>
      </c>
      <c r="AB180" s="118" t="str">
        <f t="shared" si="189"/>
        <v/>
      </c>
      <c r="AC180" s="118" t="str">
        <f t="shared" si="189"/>
        <v/>
      </c>
      <c r="AD180" s="118" t="str">
        <f t="shared" si="189"/>
        <v/>
      </c>
      <c r="AE180" s="118" t="str">
        <f t="shared" si="189"/>
        <v/>
      </c>
      <c r="AF180" s="118" t="str">
        <f t="shared" si="189"/>
        <v/>
      </c>
      <c r="AG180" s="118" t="str">
        <f t="shared" si="189"/>
        <v/>
      </c>
      <c r="AH180" s="118" t="str">
        <f t="shared" si="189"/>
        <v/>
      </c>
      <c r="AI180" s="118" t="str">
        <f t="shared" si="189"/>
        <v/>
      </c>
      <c r="AJ180" s="118" t="str">
        <f t="shared" si="189"/>
        <v/>
      </c>
      <c r="AK180" s="118" t="str">
        <f t="shared" si="189"/>
        <v/>
      </c>
      <c r="AL180" s="118" t="str">
        <f t="shared" si="189"/>
        <v/>
      </c>
      <c r="AM180" s="118" t="str">
        <f t="shared" si="189"/>
        <v/>
      </c>
      <c r="AN180" s="118" t="str">
        <f t="shared" si="189"/>
        <v/>
      </c>
      <c r="AO180" s="118" t="str">
        <f t="shared" si="189"/>
        <v/>
      </c>
      <c r="AP180" s="118" t="str">
        <f t="shared" si="189"/>
        <v/>
      </c>
      <c r="AQ180" s="118" t="str">
        <f t="shared" si="189"/>
        <v/>
      </c>
      <c r="AR180" s="118" t="str">
        <f t="shared" si="189"/>
        <v/>
      </c>
      <c r="AS180" s="118" t="str">
        <f t="shared" si="189"/>
        <v/>
      </c>
      <c r="AT180" s="123">
        <f>IF(AT$6="","",IF(AT$3="Maior",iferror(VLOOKUP($R180,Capa!$A:$Z,AT$5,0),0),IF(ISERROR(1/VLOOKUP($R180,Capa!$A:$Z,AT$5,0)),0,1/VLOOKUP($R180,Capa!$A:$Z,AT$5,0))))</f>
        <v>1.008332443</v>
      </c>
      <c r="AU180" s="124">
        <f>IF(AU$6="","",IF(AU$3="Maior",iferror(VLOOKUP($R180,Capa!$A:$Z,AU$5,0),0),IF(ISERROR(1/VLOOKUP($R180,Capa!$A:$Z,AU$5,0)),0,1/VLOOKUP($R180,Capa!$A:$Z,AU$5,0))))</f>
        <v>0.1489588092</v>
      </c>
      <c r="AV180" s="124" t="str">
        <f>IF(AV$6="","",IF(AV$3="Maior",iferror(VLOOKUP($R178,Capa!$A:$Z,AV$5,0),0),IF(ISERROR(1/VLOOKUP($R178,Capa!$A:$Z,AV$5,0)),0,1/VLOOKUP($R178,Capa!$A:$Z,AV$5,0))))</f>
        <v/>
      </c>
      <c r="AW180" s="124" t="str">
        <f>IF(AW$6="","",IF(AW$3="Maior",iferror(VLOOKUP($R178,Capa!$A:$Z,AW$5,0),0),IF(ISERROR(1/VLOOKUP($R178,Capa!$A:$Z,AW$5,0)),0,1/VLOOKUP($R178,Capa!$A:$Z,AW$5,0))))</f>
        <v/>
      </c>
      <c r="AX180" s="124" t="str">
        <f>IF(AX$6="","",IF(AX$3="Maior",iferror(VLOOKUP($R178,Capa!$A:$Z,AX$5,0),0),IF(ISERROR(1/VLOOKUP($R178,Capa!$A:$Z,AX$5,0)),0,1/VLOOKUP($R178,Capa!$A:$Z,AX$5,0))))</f>
        <v/>
      </c>
      <c r="AY180" s="124" t="str">
        <f>IF(AY$6="","",IF(AY$3="Maior",iferror(VLOOKUP($R178,Capa!$A:$Z,AY$5,0),0),IF(ISERROR(1/VLOOKUP($R178,Capa!$A:$Z,AY$5,0)),0,1/VLOOKUP($R178,Capa!$A:$Z,AY$5,0))))</f>
        <v/>
      </c>
      <c r="AZ180" s="124" t="str">
        <f>IF(AZ$6="","",IF(AZ$3="Maior",iferror(VLOOKUP($R178,Capa!$A:$Z,AZ$5,0),0),IF(ISERROR(1/VLOOKUP($R178,Capa!$A:$Z,AZ$5,0)),0,1/VLOOKUP($R178,Capa!$A:$Z,AZ$5,0))))</f>
        <v/>
      </c>
      <c r="BA180" s="124" t="str">
        <f>IF(BA$6="","",IF(BA$3="Maior",iferror(VLOOKUP($R178,Capa!$A:$Z,BA$5,0),0),IF(ISERROR(1/VLOOKUP($R178,Capa!$A:$Z,BA$5,0)),0,1/VLOOKUP($R178,Capa!$A:$Z,BA$5,0))))</f>
        <v/>
      </c>
      <c r="BB180" s="124" t="str">
        <f>IF(BB$6="","",IF(BB$3="Maior",iferror(VLOOKUP($R178,Capa!$A:$Z,BB$5,0),0),IF(ISERROR(1/VLOOKUP($R178,Capa!$A:$Z,BB$5,0)),0,1/VLOOKUP($R178,Capa!$A:$Z,BB$5,0))))</f>
        <v/>
      </c>
      <c r="BC180" s="124" t="str">
        <f>IF(BC$6="","",IF(BC$3="Maior",iferror(VLOOKUP($R178,Capa!$A:$Z,BC$5,0),0),IF(ISERROR(1/VLOOKUP($R178,Capa!$A:$Z,BC$5,0)),0,1/VLOOKUP($R178,Capa!$A:$Z,BC$5,0))))</f>
        <v/>
      </c>
      <c r="BD180" s="124" t="str">
        <f>IF(BD$6="","",IF(BD$3="Maior",iferror(VLOOKUP($R178,Capa!$A:$Z,BD$5,0),0),IF(ISERROR(1/VLOOKUP($R178,Capa!$A:$Z,BD$5,0)),0,1/VLOOKUP($R178,Capa!$A:$Z,BD$5,0))))</f>
        <v/>
      </c>
      <c r="BE180" s="124" t="str">
        <f>IF(BE$6="","",IF(BE$3="Maior",iferror(VLOOKUP($R178,Capa!$A:$Z,BE$5,0),0),IF(ISERROR(1/VLOOKUP($R178,Capa!$A:$Z,BE$5,0)),0,1/VLOOKUP($R178,Capa!$A:$Z,BE$5,0))))</f>
        <v/>
      </c>
      <c r="BF180" s="124" t="str">
        <f>IF(BF$6="","",IF(BF$3="Maior",iferror(VLOOKUP($R178,Capa!$A:$Z,BF$5,0),0),IF(ISERROR(1/VLOOKUP($R178,Capa!$A:$Z,BF$5,0)),0,1/VLOOKUP($R178,Capa!$A:$Z,BF$5,0))))</f>
        <v/>
      </c>
      <c r="BG180" s="124" t="str">
        <f>IF(BG$6="","",IF(BG$3="Maior",iferror(VLOOKUP($R178,Capa!$A:$Z,BG$5,0),0),IF(ISERROR(1/VLOOKUP($R178,Capa!$A:$Z,BG$5,0)),0,1/VLOOKUP($R178,Capa!$A:$Z,BG$5,0))))</f>
        <v/>
      </c>
      <c r="BH180" s="124" t="str">
        <f>IF(BH$6="","",IF(BH$3="Maior",iferror(VLOOKUP($R178,Capa!$A:$Z,BH$5,0),0),IF(ISERROR(1/VLOOKUP($R178,Capa!$A:$Z,BH$5,0)),0,1/VLOOKUP($R178,Capa!$A:$Z,BH$5,0))))</f>
        <v/>
      </c>
      <c r="BI180" s="124" t="str">
        <f>IF(BI$6="","",IF(BI$3="Maior",iferror(VLOOKUP($R178,Capa!$A:$Z,BI$5,0),0),IF(ISERROR(1/VLOOKUP($R178,Capa!$A:$Z,BI$5,0)),0,1/VLOOKUP($R178,Capa!$A:$Z,BI$5,0))))</f>
        <v/>
      </c>
      <c r="BJ180" s="124" t="str">
        <f>IF(BJ$6="","",IF(BJ$3="Maior",iferror(VLOOKUP($R178,Capa!$A:$Z,BJ$5,0),0),IF(ISERROR(1/VLOOKUP($R178,Capa!$A:$Z,BJ$5,0)),0,1/VLOOKUP($R178,Capa!$A:$Z,BJ$5,0))))</f>
        <v/>
      </c>
      <c r="BK180" s="124" t="str">
        <f>IF(BK$6="","",IF(BK$3="Maior",iferror(VLOOKUP($R178,Capa!$A:$Z,BK$5,0),0),IF(ISERROR(1/VLOOKUP($R178,Capa!$A:$Z,BK$5,0)),0,1/VLOOKUP($R178,Capa!$A:$Z,BK$5,0))))</f>
        <v/>
      </c>
      <c r="BL180" s="124" t="str">
        <f>IF(BL$6="","",IF(BL$3="Maior",iferror(VLOOKUP($R178,Capa!$A:$Z,BL$5,0),0),IF(ISERROR(1/VLOOKUP($R178,Capa!$A:$Z,BL$5,0)),0,1/VLOOKUP($R178,Capa!$A:$Z,BL$5,0))))</f>
        <v/>
      </c>
      <c r="BM180" s="124" t="str">
        <f>IF(BM$6="","",IF(BM$3="Maior",iferror(VLOOKUP($R178,Capa!$A:$Z,BM$5,0),0),IF(ISERROR(1/VLOOKUP($R178,Capa!$A:$Z,BM$5,0)),0,1/VLOOKUP($R178,Capa!$A:$Z,BM$5,0))))</f>
        <v/>
      </c>
      <c r="BN180" s="124" t="str">
        <f>IF(BN$6="","",IF(BN$3="Maior",iferror(VLOOKUP($R178,Capa!$A:$Z,BN$5,0),0),IF(ISERROR(1/VLOOKUP($R178,Capa!$A:$Z,BN$5,0)),0,1/VLOOKUP($R178,Capa!$A:$Z,BN$5,0))))</f>
        <v/>
      </c>
      <c r="BO180" s="124" t="str">
        <f>IF(BO$6="","",IF(BO$3="Maior",iferror(VLOOKUP($R178,Capa!$A:$Z,BO$5,0),0),IF(ISERROR(1/VLOOKUP($R178,Capa!$A:$Z,BO$5,0)),0,1/VLOOKUP($R178,Capa!$A:$Z,BO$5,0))))</f>
        <v/>
      </c>
      <c r="BP180" s="124" t="str">
        <f>IF(BP$6="","",IF(BP$3="Maior",iferror(VLOOKUP($R178,Capa!$A:$Z,BP$5,0),0),IF(ISERROR(1/VLOOKUP($R178,Capa!$A:$Z,BP$5,0)),0,1/VLOOKUP($R178,Capa!$A:$Z,BP$5,0))))</f>
        <v/>
      </c>
      <c r="BQ180" s="124" t="str">
        <f>IF(BQ$6="","",IF(BQ$3="Maior",iferror(VLOOKUP($R178,Capa!$A:$Z,BQ$5,0),0),IF(ISERROR(1/VLOOKUP($R178,Capa!$A:$Z,BQ$5,0)),0,1/VLOOKUP($R178,Capa!$A:$Z,BQ$5,0))))</f>
        <v/>
      </c>
      <c r="BR180" s="125" t="str">
        <f>IF(BR$6="","",IF(BR$3="Maior",iferror(VLOOKUP($R178,Capa!$A:$Z,BR$5,0),0),IF(ISERROR(1/VLOOKUP($R178,Capa!$A:$Z,BR$5,0)),0,1/VLOOKUP($R178,Capa!$A:$Z,BR$5,0))))</f>
        <v/>
      </c>
      <c r="BS180" s="88"/>
    </row>
    <row r="181">
      <c r="G181" s="9"/>
      <c r="H181" s="7"/>
      <c r="I181" s="111"/>
      <c r="J181" s="112"/>
      <c r="K181" s="113"/>
      <c r="L181" s="113"/>
      <c r="M181" s="141"/>
      <c r="N181" s="141"/>
      <c r="O181" s="9"/>
      <c r="P181" s="9"/>
      <c r="Q181" s="9"/>
      <c r="R181" s="126" t="s">
        <v>210</v>
      </c>
      <c r="S181" s="116">
        <f t="shared" si="13"/>
        <v>1194.00851</v>
      </c>
      <c r="T181" s="117">
        <f>MID(VLOOKUP($R181,'Dados ClubeFII'!$A:$AU,23,0),3,100)/1</f>
        <v>281723.26</v>
      </c>
      <c r="U181" s="118">
        <f t="shared" si="14"/>
        <v>84.0084</v>
      </c>
      <c r="V181" s="118">
        <f t="shared" si="15"/>
        <v>110.00011</v>
      </c>
      <c r="W181" s="118" t="str">
        <f t="shared" ref="W181:AS181" si="190">IF(AV181="","", RANK(AV181,AV$7:AV$405,0))</f>
        <v/>
      </c>
      <c r="X181" s="118" t="str">
        <f t="shared" si="190"/>
        <v/>
      </c>
      <c r="Y181" s="118" t="str">
        <f t="shared" si="190"/>
        <v/>
      </c>
      <c r="Z181" s="118" t="str">
        <f t="shared" si="190"/>
        <v/>
      </c>
      <c r="AA181" s="118" t="str">
        <f t="shared" si="190"/>
        <v/>
      </c>
      <c r="AB181" s="118" t="str">
        <f t="shared" si="190"/>
        <v/>
      </c>
      <c r="AC181" s="118" t="str">
        <f t="shared" si="190"/>
        <v/>
      </c>
      <c r="AD181" s="118" t="str">
        <f t="shared" si="190"/>
        <v/>
      </c>
      <c r="AE181" s="118" t="str">
        <f t="shared" si="190"/>
        <v/>
      </c>
      <c r="AF181" s="118" t="str">
        <f t="shared" si="190"/>
        <v/>
      </c>
      <c r="AG181" s="118" t="str">
        <f t="shared" si="190"/>
        <v/>
      </c>
      <c r="AH181" s="118" t="str">
        <f t="shared" si="190"/>
        <v/>
      </c>
      <c r="AI181" s="118" t="str">
        <f t="shared" si="190"/>
        <v/>
      </c>
      <c r="AJ181" s="118" t="str">
        <f t="shared" si="190"/>
        <v/>
      </c>
      <c r="AK181" s="118" t="str">
        <f t="shared" si="190"/>
        <v/>
      </c>
      <c r="AL181" s="118" t="str">
        <f t="shared" si="190"/>
        <v/>
      </c>
      <c r="AM181" s="118" t="str">
        <f t="shared" si="190"/>
        <v/>
      </c>
      <c r="AN181" s="118" t="str">
        <f t="shared" si="190"/>
        <v/>
      </c>
      <c r="AO181" s="118" t="str">
        <f t="shared" si="190"/>
        <v/>
      </c>
      <c r="AP181" s="118" t="str">
        <f t="shared" si="190"/>
        <v/>
      </c>
      <c r="AQ181" s="118" t="str">
        <f t="shared" si="190"/>
        <v/>
      </c>
      <c r="AR181" s="118" t="str">
        <f t="shared" si="190"/>
        <v/>
      </c>
      <c r="AS181" s="118" t="str">
        <f t="shared" si="190"/>
        <v/>
      </c>
      <c r="AT181" s="123">
        <f>IF(AT$6="","",IF(AT$3="Maior",iferror(VLOOKUP($R181,Capa!$A:$Z,AT$5,0),0),IF(ISERROR(1/VLOOKUP($R181,Capa!$A:$Z,AT$5,0)),0,1/VLOOKUP($R181,Capa!$A:$Z,AT$5,0))))</f>
        <v>1.222934334</v>
      </c>
      <c r="AU181" s="124">
        <f>IF(AU$6="","",IF(AU$3="Maior",iferror(VLOOKUP($R181,Capa!$A:$Z,AU$5,0),0),IF(ISERROR(1/VLOOKUP($R181,Capa!$A:$Z,AU$5,0)),0,1/VLOOKUP($R181,Capa!$A:$Z,AU$5,0))))</f>
        <v>0.1045494752</v>
      </c>
      <c r="AV181" s="124" t="str">
        <f>IF(AV$6="","",IF(AV$3="Maior",iferror(VLOOKUP($R179,Capa!$A:$Z,AV$5,0),0),IF(ISERROR(1/VLOOKUP($R179,Capa!$A:$Z,AV$5,0)),0,1/VLOOKUP($R179,Capa!$A:$Z,AV$5,0))))</f>
        <v/>
      </c>
      <c r="AW181" s="124" t="str">
        <f>IF(AW$6="","",IF(AW$3="Maior",iferror(VLOOKUP($R179,Capa!$A:$Z,AW$5,0),0),IF(ISERROR(1/VLOOKUP($R179,Capa!$A:$Z,AW$5,0)),0,1/VLOOKUP($R179,Capa!$A:$Z,AW$5,0))))</f>
        <v/>
      </c>
      <c r="AX181" s="124" t="str">
        <f>IF(AX$6="","",IF(AX$3="Maior",iferror(VLOOKUP($R179,Capa!$A:$Z,AX$5,0),0),IF(ISERROR(1/VLOOKUP($R179,Capa!$A:$Z,AX$5,0)),0,1/VLOOKUP($R179,Capa!$A:$Z,AX$5,0))))</f>
        <v/>
      </c>
      <c r="AY181" s="124" t="str">
        <f>IF(AY$6="","",IF(AY$3="Maior",iferror(VLOOKUP($R179,Capa!$A:$Z,AY$5,0),0),IF(ISERROR(1/VLOOKUP($R179,Capa!$A:$Z,AY$5,0)),0,1/VLOOKUP($R179,Capa!$A:$Z,AY$5,0))))</f>
        <v/>
      </c>
      <c r="AZ181" s="124" t="str">
        <f>IF(AZ$6="","",IF(AZ$3="Maior",iferror(VLOOKUP($R179,Capa!$A:$Z,AZ$5,0),0),IF(ISERROR(1/VLOOKUP($R179,Capa!$A:$Z,AZ$5,0)),0,1/VLOOKUP($R179,Capa!$A:$Z,AZ$5,0))))</f>
        <v/>
      </c>
      <c r="BA181" s="124" t="str">
        <f>IF(BA$6="","",IF(BA$3="Maior",iferror(VLOOKUP($R179,Capa!$A:$Z,BA$5,0),0),IF(ISERROR(1/VLOOKUP($R179,Capa!$A:$Z,BA$5,0)),0,1/VLOOKUP($R179,Capa!$A:$Z,BA$5,0))))</f>
        <v/>
      </c>
      <c r="BB181" s="124" t="str">
        <f>IF(BB$6="","",IF(BB$3="Maior",iferror(VLOOKUP($R179,Capa!$A:$Z,BB$5,0),0),IF(ISERROR(1/VLOOKUP($R179,Capa!$A:$Z,BB$5,0)),0,1/VLOOKUP($R179,Capa!$A:$Z,BB$5,0))))</f>
        <v/>
      </c>
      <c r="BC181" s="124" t="str">
        <f>IF(BC$6="","",IF(BC$3="Maior",iferror(VLOOKUP($R179,Capa!$A:$Z,BC$5,0),0),IF(ISERROR(1/VLOOKUP($R179,Capa!$A:$Z,BC$5,0)),0,1/VLOOKUP($R179,Capa!$A:$Z,BC$5,0))))</f>
        <v/>
      </c>
      <c r="BD181" s="124" t="str">
        <f>IF(BD$6="","",IF(BD$3="Maior",iferror(VLOOKUP($R179,Capa!$A:$Z,BD$5,0),0),IF(ISERROR(1/VLOOKUP($R179,Capa!$A:$Z,BD$5,0)),0,1/VLOOKUP($R179,Capa!$A:$Z,BD$5,0))))</f>
        <v/>
      </c>
      <c r="BE181" s="124" t="str">
        <f>IF(BE$6="","",IF(BE$3="Maior",iferror(VLOOKUP($R179,Capa!$A:$Z,BE$5,0),0),IF(ISERROR(1/VLOOKUP($R179,Capa!$A:$Z,BE$5,0)),0,1/VLOOKUP($R179,Capa!$A:$Z,BE$5,0))))</f>
        <v/>
      </c>
      <c r="BF181" s="124" t="str">
        <f>IF(BF$6="","",IF(BF$3="Maior",iferror(VLOOKUP($R179,Capa!$A:$Z,BF$5,0),0),IF(ISERROR(1/VLOOKUP($R179,Capa!$A:$Z,BF$5,0)),0,1/VLOOKUP($R179,Capa!$A:$Z,BF$5,0))))</f>
        <v/>
      </c>
      <c r="BG181" s="124" t="str">
        <f>IF(BG$6="","",IF(BG$3="Maior",iferror(VLOOKUP($R179,Capa!$A:$Z,BG$5,0),0),IF(ISERROR(1/VLOOKUP($R179,Capa!$A:$Z,BG$5,0)),0,1/VLOOKUP($R179,Capa!$A:$Z,BG$5,0))))</f>
        <v/>
      </c>
      <c r="BH181" s="124" t="str">
        <f>IF(BH$6="","",IF(BH$3="Maior",iferror(VLOOKUP($R179,Capa!$A:$Z,BH$5,0),0),IF(ISERROR(1/VLOOKUP($R179,Capa!$A:$Z,BH$5,0)),0,1/VLOOKUP($R179,Capa!$A:$Z,BH$5,0))))</f>
        <v/>
      </c>
      <c r="BI181" s="124" t="str">
        <f>IF(BI$6="","",IF(BI$3="Maior",iferror(VLOOKUP($R179,Capa!$A:$Z,BI$5,0),0),IF(ISERROR(1/VLOOKUP($R179,Capa!$A:$Z,BI$5,0)),0,1/VLOOKUP($R179,Capa!$A:$Z,BI$5,0))))</f>
        <v/>
      </c>
      <c r="BJ181" s="124" t="str">
        <f>IF(BJ$6="","",IF(BJ$3="Maior",iferror(VLOOKUP($R179,Capa!$A:$Z,BJ$5,0),0),IF(ISERROR(1/VLOOKUP($R179,Capa!$A:$Z,BJ$5,0)),0,1/VLOOKUP($R179,Capa!$A:$Z,BJ$5,0))))</f>
        <v/>
      </c>
      <c r="BK181" s="124" t="str">
        <f>IF(BK$6="","",IF(BK$3="Maior",iferror(VLOOKUP($R179,Capa!$A:$Z,BK$5,0),0),IF(ISERROR(1/VLOOKUP($R179,Capa!$A:$Z,BK$5,0)),0,1/VLOOKUP($R179,Capa!$A:$Z,BK$5,0))))</f>
        <v/>
      </c>
      <c r="BL181" s="124" t="str">
        <f>IF(BL$6="","",IF(BL$3="Maior",iferror(VLOOKUP($R179,Capa!$A:$Z,BL$5,0),0),IF(ISERROR(1/VLOOKUP($R179,Capa!$A:$Z,BL$5,0)),0,1/VLOOKUP($R179,Capa!$A:$Z,BL$5,0))))</f>
        <v/>
      </c>
      <c r="BM181" s="124" t="str">
        <f>IF(BM$6="","",IF(BM$3="Maior",iferror(VLOOKUP($R179,Capa!$A:$Z,BM$5,0),0),IF(ISERROR(1/VLOOKUP($R179,Capa!$A:$Z,BM$5,0)),0,1/VLOOKUP($R179,Capa!$A:$Z,BM$5,0))))</f>
        <v/>
      </c>
      <c r="BN181" s="124" t="str">
        <f>IF(BN$6="","",IF(BN$3="Maior",iferror(VLOOKUP($R179,Capa!$A:$Z,BN$5,0),0),IF(ISERROR(1/VLOOKUP($R179,Capa!$A:$Z,BN$5,0)),0,1/VLOOKUP($R179,Capa!$A:$Z,BN$5,0))))</f>
        <v/>
      </c>
      <c r="BO181" s="124" t="str">
        <f>IF(BO$6="","",IF(BO$3="Maior",iferror(VLOOKUP($R179,Capa!$A:$Z,BO$5,0),0),IF(ISERROR(1/VLOOKUP($R179,Capa!$A:$Z,BO$5,0)),0,1/VLOOKUP($R179,Capa!$A:$Z,BO$5,0))))</f>
        <v/>
      </c>
      <c r="BP181" s="124" t="str">
        <f>IF(BP$6="","",IF(BP$3="Maior",iferror(VLOOKUP($R179,Capa!$A:$Z,BP$5,0),0),IF(ISERROR(1/VLOOKUP($R179,Capa!$A:$Z,BP$5,0)),0,1/VLOOKUP($R179,Capa!$A:$Z,BP$5,0))))</f>
        <v/>
      </c>
      <c r="BQ181" s="124" t="str">
        <f>IF(BQ$6="","",IF(BQ$3="Maior",iferror(VLOOKUP($R179,Capa!$A:$Z,BQ$5,0),0),IF(ISERROR(1/VLOOKUP($R179,Capa!$A:$Z,BQ$5,0)),0,1/VLOOKUP($R179,Capa!$A:$Z,BQ$5,0))))</f>
        <v/>
      </c>
      <c r="BR181" s="125" t="str">
        <f>IF(BR$6="","",IF(BR$3="Maior",iferror(VLOOKUP($R179,Capa!$A:$Z,BR$5,0),0),IF(ISERROR(1/VLOOKUP($R179,Capa!$A:$Z,BR$5,0)),0,1/VLOOKUP($R179,Capa!$A:$Z,BR$5,0))))</f>
        <v/>
      </c>
      <c r="BS181" s="88"/>
    </row>
    <row r="182">
      <c r="G182" s="9"/>
      <c r="H182" s="7"/>
      <c r="I182" s="111"/>
      <c r="J182" s="112"/>
      <c r="K182" s="113"/>
      <c r="L182" s="113"/>
      <c r="M182" s="141"/>
      <c r="N182" s="141"/>
      <c r="O182" s="9"/>
      <c r="P182" s="9"/>
      <c r="Q182" s="9"/>
      <c r="R182" s="126" t="s">
        <v>211</v>
      </c>
      <c r="S182" s="116">
        <f t="shared" si="13"/>
        <v>1141.009744</v>
      </c>
      <c r="T182" s="117">
        <f>MID(VLOOKUP($R182,'Dados ClubeFII'!$A:$AU,23,0),3,100)/1</f>
        <v>532304.01</v>
      </c>
      <c r="U182" s="118">
        <f t="shared" si="14"/>
        <v>97.0097</v>
      </c>
      <c r="V182" s="118">
        <f t="shared" si="15"/>
        <v>44.000044</v>
      </c>
      <c r="W182" s="118" t="str">
        <f t="shared" ref="W182:AS182" si="191">IF(AV182="","", RANK(AV182,AV$7:AV$405,0))</f>
        <v/>
      </c>
      <c r="X182" s="118" t="str">
        <f t="shared" si="191"/>
        <v/>
      </c>
      <c r="Y182" s="118" t="str">
        <f t="shared" si="191"/>
        <v/>
      </c>
      <c r="Z182" s="118" t="str">
        <f t="shared" si="191"/>
        <v/>
      </c>
      <c r="AA182" s="118" t="str">
        <f t="shared" si="191"/>
        <v/>
      </c>
      <c r="AB182" s="118" t="str">
        <f t="shared" si="191"/>
        <v/>
      </c>
      <c r="AC182" s="118" t="str">
        <f t="shared" si="191"/>
        <v/>
      </c>
      <c r="AD182" s="118" t="str">
        <f t="shared" si="191"/>
        <v/>
      </c>
      <c r="AE182" s="118" t="str">
        <f t="shared" si="191"/>
        <v/>
      </c>
      <c r="AF182" s="118" t="str">
        <f t="shared" si="191"/>
        <v/>
      </c>
      <c r="AG182" s="118" t="str">
        <f t="shared" si="191"/>
        <v/>
      </c>
      <c r="AH182" s="118" t="str">
        <f t="shared" si="191"/>
        <v/>
      </c>
      <c r="AI182" s="118" t="str">
        <f t="shared" si="191"/>
        <v/>
      </c>
      <c r="AJ182" s="118" t="str">
        <f t="shared" si="191"/>
        <v/>
      </c>
      <c r="AK182" s="118" t="str">
        <f t="shared" si="191"/>
        <v/>
      </c>
      <c r="AL182" s="118" t="str">
        <f t="shared" si="191"/>
        <v/>
      </c>
      <c r="AM182" s="118" t="str">
        <f t="shared" si="191"/>
        <v/>
      </c>
      <c r="AN182" s="118" t="str">
        <f t="shared" si="191"/>
        <v/>
      </c>
      <c r="AO182" s="118" t="str">
        <f t="shared" si="191"/>
        <v/>
      </c>
      <c r="AP182" s="118" t="str">
        <f t="shared" si="191"/>
        <v/>
      </c>
      <c r="AQ182" s="118" t="str">
        <f t="shared" si="191"/>
        <v/>
      </c>
      <c r="AR182" s="118" t="str">
        <f t="shared" si="191"/>
        <v/>
      </c>
      <c r="AS182" s="118" t="str">
        <f t="shared" si="191"/>
        <v/>
      </c>
      <c r="AT182" s="123">
        <f>IF(AT$6="","",IF(AT$3="Maior",iferror(VLOOKUP($R182,Capa!$A:$Z,AT$5,0),0),IF(ISERROR(1/VLOOKUP($R182,Capa!$A:$Z,AT$5,0)),0,1/VLOOKUP($R182,Capa!$A:$Z,AT$5,0))))</f>
        <v>1.199835618</v>
      </c>
      <c r="AU182" s="124">
        <f>IF(AU$6="","",IF(AU$3="Maior",iferror(VLOOKUP($R182,Capa!$A:$Z,AU$5,0),0),IF(ISERROR(1/VLOOKUP($R182,Capa!$A:$Z,AU$5,0)),0,1/VLOOKUP($R182,Capa!$A:$Z,AU$5,0))))</f>
        <v>0.1398937153</v>
      </c>
      <c r="AV182" s="124" t="str">
        <f>IF(AV$6="","",IF(AV$3="Maior",iferror(VLOOKUP($R180,Capa!$A:$Z,AV$5,0),0),IF(ISERROR(1/VLOOKUP($R180,Capa!$A:$Z,AV$5,0)),0,1/VLOOKUP($R180,Capa!$A:$Z,AV$5,0))))</f>
        <v/>
      </c>
      <c r="AW182" s="124" t="str">
        <f>IF(AW$6="","",IF(AW$3="Maior",iferror(VLOOKUP($R180,Capa!$A:$Z,AW$5,0),0),IF(ISERROR(1/VLOOKUP($R180,Capa!$A:$Z,AW$5,0)),0,1/VLOOKUP($R180,Capa!$A:$Z,AW$5,0))))</f>
        <v/>
      </c>
      <c r="AX182" s="124" t="str">
        <f>IF(AX$6="","",IF(AX$3="Maior",iferror(VLOOKUP($R180,Capa!$A:$Z,AX$5,0),0),IF(ISERROR(1/VLOOKUP($R180,Capa!$A:$Z,AX$5,0)),0,1/VLOOKUP($R180,Capa!$A:$Z,AX$5,0))))</f>
        <v/>
      </c>
      <c r="AY182" s="124" t="str">
        <f>IF(AY$6="","",IF(AY$3="Maior",iferror(VLOOKUP($R180,Capa!$A:$Z,AY$5,0),0),IF(ISERROR(1/VLOOKUP($R180,Capa!$A:$Z,AY$5,0)),0,1/VLOOKUP($R180,Capa!$A:$Z,AY$5,0))))</f>
        <v/>
      </c>
      <c r="AZ182" s="124" t="str">
        <f>IF(AZ$6="","",IF(AZ$3="Maior",iferror(VLOOKUP($R180,Capa!$A:$Z,AZ$5,0),0),IF(ISERROR(1/VLOOKUP($R180,Capa!$A:$Z,AZ$5,0)),0,1/VLOOKUP($R180,Capa!$A:$Z,AZ$5,0))))</f>
        <v/>
      </c>
      <c r="BA182" s="124" t="str">
        <f>IF(BA$6="","",IF(BA$3="Maior",iferror(VLOOKUP($R180,Capa!$A:$Z,BA$5,0),0),IF(ISERROR(1/VLOOKUP($R180,Capa!$A:$Z,BA$5,0)),0,1/VLOOKUP($R180,Capa!$A:$Z,BA$5,0))))</f>
        <v/>
      </c>
      <c r="BB182" s="124" t="str">
        <f>IF(BB$6="","",IF(BB$3="Maior",iferror(VLOOKUP($R180,Capa!$A:$Z,BB$5,0),0),IF(ISERROR(1/VLOOKUP($R180,Capa!$A:$Z,BB$5,0)),0,1/VLOOKUP($R180,Capa!$A:$Z,BB$5,0))))</f>
        <v/>
      </c>
      <c r="BC182" s="124" t="str">
        <f>IF(BC$6="","",IF(BC$3="Maior",iferror(VLOOKUP($R180,Capa!$A:$Z,BC$5,0),0),IF(ISERROR(1/VLOOKUP($R180,Capa!$A:$Z,BC$5,0)),0,1/VLOOKUP($R180,Capa!$A:$Z,BC$5,0))))</f>
        <v/>
      </c>
      <c r="BD182" s="124" t="str">
        <f>IF(BD$6="","",IF(BD$3="Maior",iferror(VLOOKUP($R180,Capa!$A:$Z,BD$5,0),0),IF(ISERROR(1/VLOOKUP($R180,Capa!$A:$Z,BD$5,0)),0,1/VLOOKUP($R180,Capa!$A:$Z,BD$5,0))))</f>
        <v/>
      </c>
      <c r="BE182" s="124" t="str">
        <f>IF(BE$6="","",IF(BE$3="Maior",iferror(VLOOKUP($R180,Capa!$A:$Z,BE$5,0),0),IF(ISERROR(1/VLOOKUP($R180,Capa!$A:$Z,BE$5,0)),0,1/VLOOKUP($R180,Capa!$A:$Z,BE$5,0))))</f>
        <v/>
      </c>
      <c r="BF182" s="124" t="str">
        <f>IF(BF$6="","",IF(BF$3="Maior",iferror(VLOOKUP($R180,Capa!$A:$Z,BF$5,0),0),IF(ISERROR(1/VLOOKUP($R180,Capa!$A:$Z,BF$5,0)),0,1/VLOOKUP($R180,Capa!$A:$Z,BF$5,0))))</f>
        <v/>
      </c>
      <c r="BG182" s="124" t="str">
        <f>IF(BG$6="","",IF(BG$3="Maior",iferror(VLOOKUP($R180,Capa!$A:$Z,BG$5,0),0),IF(ISERROR(1/VLOOKUP($R180,Capa!$A:$Z,BG$5,0)),0,1/VLOOKUP($R180,Capa!$A:$Z,BG$5,0))))</f>
        <v/>
      </c>
      <c r="BH182" s="124" t="str">
        <f>IF(BH$6="","",IF(BH$3="Maior",iferror(VLOOKUP($R180,Capa!$A:$Z,BH$5,0),0),IF(ISERROR(1/VLOOKUP($R180,Capa!$A:$Z,BH$5,0)),0,1/VLOOKUP($R180,Capa!$A:$Z,BH$5,0))))</f>
        <v/>
      </c>
      <c r="BI182" s="124" t="str">
        <f>IF(BI$6="","",IF(BI$3="Maior",iferror(VLOOKUP($R180,Capa!$A:$Z,BI$5,0),0),IF(ISERROR(1/VLOOKUP($R180,Capa!$A:$Z,BI$5,0)),0,1/VLOOKUP($R180,Capa!$A:$Z,BI$5,0))))</f>
        <v/>
      </c>
      <c r="BJ182" s="124" t="str">
        <f>IF(BJ$6="","",IF(BJ$3="Maior",iferror(VLOOKUP($R180,Capa!$A:$Z,BJ$5,0),0),IF(ISERROR(1/VLOOKUP($R180,Capa!$A:$Z,BJ$5,0)),0,1/VLOOKUP($R180,Capa!$A:$Z,BJ$5,0))))</f>
        <v/>
      </c>
      <c r="BK182" s="124" t="str">
        <f>IF(BK$6="","",IF(BK$3="Maior",iferror(VLOOKUP($R180,Capa!$A:$Z,BK$5,0),0),IF(ISERROR(1/VLOOKUP($R180,Capa!$A:$Z,BK$5,0)),0,1/VLOOKUP($R180,Capa!$A:$Z,BK$5,0))))</f>
        <v/>
      </c>
      <c r="BL182" s="124" t="str">
        <f>IF(BL$6="","",IF(BL$3="Maior",iferror(VLOOKUP($R180,Capa!$A:$Z,BL$5,0),0),IF(ISERROR(1/VLOOKUP($R180,Capa!$A:$Z,BL$5,0)),0,1/VLOOKUP($R180,Capa!$A:$Z,BL$5,0))))</f>
        <v/>
      </c>
      <c r="BM182" s="124" t="str">
        <f>IF(BM$6="","",IF(BM$3="Maior",iferror(VLOOKUP($R180,Capa!$A:$Z,BM$5,0),0),IF(ISERROR(1/VLOOKUP($R180,Capa!$A:$Z,BM$5,0)),0,1/VLOOKUP($R180,Capa!$A:$Z,BM$5,0))))</f>
        <v/>
      </c>
      <c r="BN182" s="124" t="str">
        <f>IF(BN$6="","",IF(BN$3="Maior",iferror(VLOOKUP($R180,Capa!$A:$Z,BN$5,0),0),IF(ISERROR(1/VLOOKUP($R180,Capa!$A:$Z,BN$5,0)),0,1/VLOOKUP($R180,Capa!$A:$Z,BN$5,0))))</f>
        <v/>
      </c>
      <c r="BO182" s="124" t="str">
        <f>IF(BO$6="","",IF(BO$3="Maior",iferror(VLOOKUP($R180,Capa!$A:$Z,BO$5,0),0),IF(ISERROR(1/VLOOKUP($R180,Capa!$A:$Z,BO$5,0)),0,1/VLOOKUP($R180,Capa!$A:$Z,BO$5,0))))</f>
        <v/>
      </c>
      <c r="BP182" s="124" t="str">
        <f>IF(BP$6="","",IF(BP$3="Maior",iferror(VLOOKUP($R180,Capa!$A:$Z,BP$5,0),0),IF(ISERROR(1/VLOOKUP($R180,Capa!$A:$Z,BP$5,0)),0,1/VLOOKUP($R180,Capa!$A:$Z,BP$5,0))))</f>
        <v/>
      </c>
      <c r="BQ182" s="124" t="str">
        <f>IF(BQ$6="","",IF(BQ$3="Maior",iferror(VLOOKUP($R180,Capa!$A:$Z,BQ$5,0),0),IF(ISERROR(1/VLOOKUP($R180,Capa!$A:$Z,BQ$5,0)),0,1/VLOOKUP($R180,Capa!$A:$Z,BQ$5,0))))</f>
        <v/>
      </c>
      <c r="BR182" s="125" t="str">
        <f>IF(BR$6="","",IF(BR$3="Maior",iferror(VLOOKUP($R180,Capa!$A:$Z,BR$5,0),0),IF(ISERROR(1/VLOOKUP($R180,Capa!$A:$Z,BR$5,0)),0,1/VLOOKUP($R180,Capa!$A:$Z,BR$5,0))))</f>
        <v/>
      </c>
      <c r="BS182" s="88"/>
    </row>
    <row r="183">
      <c r="G183" s="9"/>
      <c r="H183" s="7"/>
      <c r="I183" s="111"/>
      <c r="J183" s="112"/>
      <c r="K183" s="113"/>
      <c r="L183" s="113"/>
      <c r="M183" s="141"/>
      <c r="N183" s="141"/>
      <c r="O183" s="9"/>
      <c r="P183" s="9"/>
      <c r="Q183" s="9"/>
      <c r="R183" s="126" t="s">
        <v>212</v>
      </c>
      <c r="S183" s="116">
        <f t="shared" si="13"/>
        <v>1136.009541</v>
      </c>
      <c r="T183" s="117">
        <f>MID(VLOOKUP($R183,'Dados ClubeFII'!$A:$AU,23,0),3,100)/1</f>
        <v>370154.11</v>
      </c>
      <c r="U183" s="118">
        <f t="shared" si="14"/>
        <v>95.0095</v>
      </c>
      <c r="V183" s="118">
        <f t="shared" si="15"/>
        <v>41.000041</v>
      </c>
      <c r="W183" s="118" t="str">
        <f t="shared" ref="W183:AS183" si="192">IF(AV183="","", RANK(AV183,AV$7:AV$405,0))</f>
        <v/>
      </c>
      <c r="X183" s="118" t="str">
        <f t="shared" si="192"/>
        <v/>
      </c>
      <c r="Y183" s="118" t="str">
        <f t="shared" si="192"/>
        <v/>
      </c>
      <c r="Z183" s="118" t="str">
        <f t="shared" si="192"/>
        <v/>
      </c>
      <c r="AA183" s="118" t="str">
        <f t="shared" si="192"/>
        <v/>
      </c>
      <c r="AB183" s="118" t="str">
        <f t="shared" si="192"/>
        <v/>
      </c>
      <c r="AC183" s="118" t="str">
        <f t="shared" si="192"/>
        <v/>
      </c>
      <c r="AD183" s="118" t="str">
        <f t="shared" si="192"/>
        <v/>
      </c>
      <c r="AE183" s="118" t="str">
        <f t="shared" si="192"/>
        <v/>
      </c>
      <c r="AF183" s="118" t="str">
        <f t="shared" si="192"/>
        <v/>
      </c>
      <c r="AG183" s="118" t="str">
        <f t="shared" si="192"/>
        <v/>
      </c>
      <c r="AH183" s="118" t="str">
        <f t="shared" si="192"/>
        <v/>
      </c>
      <c r="AI183" s="118" t="str">
        <f t="shared" si="192"/>
        <v/>
      </c>
      <c r="AJ183" s="118" t="str">
        <f t="shared" si="192"/>
        <v/>
      </c>
      <c r="AK183" s="118" t="str">
        <f t="shared" si="192"/>
        <v/>
      </c>
      <c r="AL183" s="118" t="str">
        <f t="shared" si="192"/>
        <v/>
      </c>
      <c r="AM183" s="118" t="str">
        <f t="shared" si="192"/>
        <v/>
      </c>
      <c r="AN183" s="118" t="str">
        <f t="shared" si="192"/>
        <v/>
      </c>
      <c r="AO183" s="118" t="str">
        <f t="shared" si="192"/>
        <v/>
      </c>
      <c r="AP183" s="118" t="str">
        <f t="shared" si="192"/>
        <v/>
      </c>
      <c r="AQ183" s="118" t="str">
        <f t="shared" si="192"/>
        <v/>
      </c>
      <c r="AR183" s="118" t="str">
        <f t="shared" si="192"/>
        <v/>
      </c>
      <c r="AS183" s="118" t="str">
        <f t="shared" si="192"/>
        <v/>
      </c>
      <c r="AT183" s="123">
        <f>IF(AT$6="","",IF(AT$3="Maior",iferror(VLOOKUP($R183,Capa!$A:$Z,AT$5,0),0),IF(ISERROR(1/VLOOKUP($R183,Capa!$A:$Z,AT$5,0)),0,1/VLOOKUP($R183,Capa!$A:$Z,AT$5,0))))</f>
        <v>1.204819277</v>
      </c>
      <c r="AU183" s="124">
        <f>IF(AU$6="","",IF(AU$3="Maior",iferror(VLOOKUP($R183,Capa!$A:$Z,AU$5,0),0),IF(ISERROR(1/VLOOKUP($R183,Capa!$A:$Z,AU$5,0)),0,1/VLOOKUP($R183,Capa!$A:$Z,AU$5,0))))</f>
        <v>0.1422</v>
      </c>
      <c r="AV183" s="124" t="str">
        <f>IF(AV$6="","",IF(AV$3="Maior",iferror(VLOOKUP($R181,Capa!$A:$Z,AV$5,0),0),IF(ISERROR(1/VLOOKUP($R181,Capa!$A:$Z,AV$5,0)),0,1/VLOOKUP($R181,Capa!$A:$Z,AV$5,0))))</f>
        <v/>
      </c>
      <c r="AW183" s="124" t="str">
        <f>IF(AW$6="","",IF(AW$3="Maior",iferror(VLOOKUP($R181,Capa!$A:$Z,AW$5,0),0),IF(ISERROR(1/VLOOKUP($R181,Capa!$A:$Z,AW$5,0)),0,1/VLOOKUP($R181,Capa!$A:$Z,AW$5,0))))</f>
        <v/>
      </c>
      <c r="AX183" s="124" t="str">
        <f>IF(AX$6="","",IF(AX$3="Maior",iferror(VLOOKUP($R181,Capa!$A:$Z,AX$5,0),0),IF(ISERROR(1/VLOOKUP($R181,Capa!$A:$Z,AX$5,0)),0,1/VLOOKUP($R181,Capa!$A:$Z,AX$5,0))))</f>
        <v/>
      </c>
      <c r="AY183" s="124" t="str">
        <f>IF(AY$6="","",IF(AY$3="Maior",iferror(VLOOKUP($R181,Capa!$A:$Z,AY$5,0),0),IF(ISERROR(1/VLOOKUP($R181,Capa!$A:$Z,AY$5,0)),0,1/VLOOKUP($R181,Capa!$A:$Z,AY$5,0))))</f>
        <v/>
      </c>
      <c r="AZ183" s="124" t="str">
        <f>IF(AZ$6="","",IF(AZ$3="Maior",iferror(VLOOKUP($R181,Capa!$A:$Z,AZ$5,0),0),IF(ISERROR(1/VLOOKUP($R181,Capa!$A:$Z,AZ$5,0)),0,1/VLOOKUP($R181,Capa!$A:$Z,AZ$5,0))))</f>
        <v/>
      </c>
      <c r="BA183" s="124" t="str">
        <f>IF(BA$6="","",IF(BA$3="Maior",iferror(VLOOKUP($R181,Capa!$A:$Z,BA$5,0),0),IF(ISERROR(1/VLOOKUP($R181,Capa!$A:$Z,BA$5,0)),0,1/VLOOKUP($R181,Capa!$A:$Z,BA$5,0))))</f>
        <v/>
      </c>
      <c r="BB183" s="124" t="str">
        <f>IF(BB$6="","",IF(BB$3="Maior",iferror(VLOOKUP($R181,Capa!$A:$Z,BB$5,0),0),IF(ISERROR(1/VLOOKUP($R181,Capa!$A:$Z,BB$5,0)),0,1/VLOOKUP($R181,Capa!$A:$Z,BB$5,0))))</f>
        <v/>
      </c>
      <c r="BC183" s="124" t="str">
        <f>IF(BC$6="","",IF(BC$3="Maior",iferror(VLOOKUP($R181,Capa!$A:$Z,BC$5,0),0),IF(ISERROR(1/VLOOKUP($R181,Capa!$A:$Z,BC$5,0)),0,1/VLOOKUP($R181,Capa!$A:$Z,BC$5,0))))</f>
        <v/>
      </c>
      <c r="BD183" s="124" t="str">
        <f>IF(BD$6="","",IF(BD$3="Maior",iferror(VLOOKUP($R181,Capa!$A:$Z,BD$5,0),0),IF(ISERROR(1/VLOOKUP($R181,Capa!$A:$Z,BD$5,0)),0,1/VLOOKUP($R181,Capa!$A:$Z,BD$5,0))))</f>
        <v/>
      </c>
      <c r="BE183" s="124" t="str">
        <f>IF(BE$6="","",IF(BE$3="Maior",iferror(VLOOKUP($R181,Capa!$A:$Z,BE$5,0),0),IF(ISERROR(1/VLOOKUP($R181,Capa!$A:$Z,BE$5,0)),0,1/VLOOKUP($R181,Capa!$A:$Z,BE$5,0))))</f>
        <v/>
      </c>
      <c r="BF183" s="124" t="str">
        <f>IF(BF$6="","",IF(BF$3="Maior",iferror(VLOOKUP($R181,Capa!$A:$Z,BF$5,0),0),IF(ISERROR(1/VLOOKUP($R181,Capa!$A:$Z,BF$5,0)),0,1/VLOOKUP($R181,Capa!$A:$Z,BF$5,0))))</f>
        <v/>
      </c>
      <c r="BG183" s="124" t="str">
        <f>IF(BG$6="","",IF(BG$3="Maior",iferror(VLOOKUP($R181,Capa!$A:$Z,BG$5,0),0),IF(ISERROR(1/VLOOKUP($R181,Capa!$A:$Z,BG$5,0)),0,1/VLOOKUP($R181,Capa!$A:$Z,BG$5,0))))</f>
        <v/>
      </c>
      <c r="BH183" s="124" t="str">
        <f>IF(BH$6="","",IF(BH$3="Maior",iferror(VLOOKUP($R181,Capa!$A:$Z,BH$5,0),0),IF(ISERROR(1/VLOOKUP($R181,Capa!$A:$Z,BH$5,0)),0,1/VLOOKUP($R181,Capa!$A:$Z,BH$5,0))))</f>
        <v/>
      </c>
      <c r="BI183" s="124" t="str">
        <f>IF(BI$6="","",IF(BI$3="Maior",iferror(VLOOKUP($R181,Capa!$A:$Z,BI$5,0),0),IF(ISERROR(1/VLOOKUP($R181,Capa!$A:$Z,BI$5,0)),0,1/VLOOKUP($R181,Capa!$A:$Z,BI$5,0))))</f>
        <v/>
      </c>
      <c r="BJ183" s="124" t="str">
        <f>IF(BJ$6="","",IF(BJ$3="Maior",iferror(VLOOKUP($R181,Capa!$A:$Z,BJ$5,0),0),IF(ISERROR(1/VLOOKUP($R181,Capa!$A:$Z,BJ$5,0)),0,1/VLOOKUP($R181,Capa!$A:$Z,BJ$5,0))))</f>
        <v/>
      </c>
      <c r="BK183" s="124" t="str">
        <f>IF(BK$6="","",IF(BK$3="Maior",iferror(VLOOKUP($R181,Capa!$A:$Z,BK$5,0),0),IF(ISERROR(1/VLOOKUP($R181,Capa!$A:$Z,BK$5,0)),0,1/VLOOKUP($R181,Capa!$A:$Z,BK$5,0))))</f>
        <v/>
      </c>
      <c r="BL183" s="124" t="str">
        <f>IF(BL$6="","",IF(BL$3="Maior",iferror(VLOOKUP($R181,Capa!$A:$Z,BL$5,0),0),IF(ISERROR(1/VLOOKUP($R181,Capa!$A:$Z,BL$5,0)),0,1/VLOOKUP($R181,Capa!$A:$Z,BL$5,0))))</f>
        <v/>
      </c>
      <c r="BM183" s="124" t="str">
        <f>IF(BM$6="","",IF(BM$3="Maior",iferror(VLOOKUP($R181,Capa!$A:$Z,BM$5,0),0),IF(ISERROR(1/VLOOKUP($R181,Capa!$A:$Z,BM$5,0)),0,1/VLOOKUP($R181,Capa!$A:$Z,BM$5,0))))</f>
        <v/>
      </c>
      <c r="BN183" s="124" t="str">
        <f>IF(BN$6="","",IF(BN$3="Maior",iferror(VLOOKUP($R181,Capa!$A:$Z,BN$5,0),0),IF(ISERROR(1/VLOOKUP($R181,Capa!$A:$Z,BN$5,0)),0,1/VLOOKUP($R181,Capa!$A:$Z,BN$5,0))))</f>
        <v/>
      </c>
      <c r="BO183" s="124" t="str">
        <f>IF(BO$6="","",IF(BO$3="Maior",iferror(VLOOKUP($R181,Capa!$A:$Z,BO$5,0),0),IF(ISERROR(1/VLOOKUP($R181,Capa!$A:$Z,BO$5,0)),0,1/VLOOKUP($R181,Capa!$A:$Z,BO$5,0))))</f>
        <v/>
      </c>
      <c r="BP183" s="124" t="str">
        <f>IF(BP$6="","",IF(BP$3="Maior",iferror(VLOOKUP($R181,Capa!$A:$Z,BP$5,0),0),IF(ISERROR(1/VLOOKUP($R181,Capa!$A:$Z,BP$5,0)),0,1/VLOOKUP($R181,Capa!$A:$Z,BP$5,0))))</f>
        <v/>
      </c>
      <c r="BQ183" s="124" t="str">
        <f>IF(BQ$6="","",IF(BQ$3="Maior",iferror(VLOOKUP($R181,Capa!$A:$Z,BQ$5,0),0),IF(ISERROR(1/VLOOKUP($R181,Capa!$A:$Z,BQ$5,0)),0,1/VLOOKUP($R181,Capa!$A:$Z,BQ$5,0))))</f>
        <v/>
      </c>
      <c r="BR183" s="125" t="str">
        <f>IF(BR$6="","",IF(BR$3="Maior",iferror(VLOOKUP($R181,Capa!$A:$Z,BR$5,0),0),IF(ISERROR(1/VLOOKUP($R181,Capa!$A:$Z,BR$5,0)),0,1/VLOOKUP($R181,Capa!$A:$Z,BR$5,0))))</f>
        <v/>
      </c>
      <c r="BS183" s="88"/>
    </row>
    <row r="184">
      <c r="G184" s="9"/>
      <c r="H184" s="7"/>
      <c r="I184" s="111"/>
      <c r="J184" s="112"/>
      <c r="K184" s="113"/>
      <c r="L184" s="113"/>
      <c r="M184" s="141"/>
      <c r="N184" s="141"/>
      <c r="O184" s="9"/>
      <c r="P184" s="9"/>
      <c r="Q184" s="9"/>
      <c r="R184" s="126" t="s">
        <v>213</v>
      </c>
      <c r="S184" s="116">
        <f t="shared" si="13"/>
        <v>1094.00445</v>
      </c>
      <c r="T184" s="117">
        <f>MID(VLOOKUP($R184,'Dados ClubeFII'!$A:$AU,23,0),3,100)/1</f>
        <v>542664.59</v>
      </c>
      <c r="U184" s="118">
        <f t="shared" si="14"/>
        <v>44.0044</v>
      </c>
      <c r="V184" s="118">
        <f t="shared" si="15"/>
        <v>50.00005</v>
      </c>
      <c r="W184" s="118" t="str">
        <f t="shared" ref="W184:AS184" si="193">IF(AV184="","", RANK(AV184,AV$7:AV$405,0))</f>
        <v/>
      </c>
      <c r="X184" s="118" t="str">
        <f t="shared" si="193"/>
        <v/>
      </c>
      <c r="Y184" s="118" t="str">
        <f t="shared" si="193"/>
        <v/>
      </c>
      <c r="Z184" s="118" t="str">
        <f t="shared" si="193"/>
        <v/>
      </c>
      <c r="AA184" s="118" t="str">
        <f t="shared" si="193"/>
        <v/>
      </c>
      <c r="AB184" s="118" t="str">
        <f t="shared" si="193"/>
        <v/>
      </c>
      <c r="AC184" s="118" t="str">
        <f t="shared" si="193"/>
        <v/>
      </c>
      <c r="AD184" s="118" t="str">
        <f t="shared" si="193"/>
        <v/>
      </c>
      <c r="AE184" s="118" t="str">
        <f t="shared" si="193"/>
        <v/>
      </c>
      <c r="AF184" s="118" t="str">
        <f t="shared" si="193"/>
        <v/>
      </c>
      <c r="AG184" s="118" t="str">
        <f t="shared" si="193"/>
        <v/>
      </c>
      <c r="AH184" s="118" t="str">
        <f t="shared" si="193"/>
        <v/>
      </c>
      <c r="AI184" s="118" t="str">
        <f t="shared" si="193"/>
        <v/>
      </c>
      <c r="AJ184" s="118" t="str">
        <f t="shared" si="193"/>
        <v/>
      </c>
      <c r="AK184" s="118" t="str">
        <f t="shared" si="193"/>
        <v/>
      </c>
      <c r="AL184" s="118" t="str">
        <f t="shared" si="193"/>
        <v/>
      </c>
      <c r="AM184" s="118" t="str">
        <f t="shared" si="193"/>
        <v/>
      </c>
      <c r="AN184" s="118" t="str">
        <f t="shared" si="193"/>
        <v/>
      </c>
      <c r="AO184" s="118" t="str">
        <f t="shared" si="193"/>
        <v/>
      </c>
      <c r="AP184" s="118" t="str">
        <f t="shared" si="193"/>
        <v/>
      </c>
      <c r="AQ184" s="118" t="str">
        <f t="shared" si="193"/>
        <v/>
      </c>
      <c r="AR184" s="118" t="str">
        <f t="shared" si="193"/>
        <v/>
      </c>
      <c r="AS184" s="118" t="str">
        <f t="shared" si="193"/>
        <v/>
      </c>
      <c r="AT184" s="123">
        <f>IF(AT$6="","",IF(AT$3="Maior",iferror(VLOOKUP($R184,Capa!$A:$Z,AT$5,0),0),IF(ISERROR(1/VLOOKUP($R184,Capa!$A:$Z,AT$5,0)),0,1/VLOOKUP($R184,Capa!$A:$Z,AT$5,0))))</f>
        <v>1.469640184</v>
      </c>
      <c r="AU184" s="124">
        <f>IF(AU$6="","",IF(AU$3="Maior",iferror(VLOOKUP($R184,Capa!$A:$Z,AU$5,0),0),IF(ISERROR(1/VLOOKUP($R184,Capa!$A:$Z,AU$5,0)),0,1/VLOOKUP($R184,Capa!$A:$Z,AU$5,0))))</f>
        <v>0.1371419331</v>
      </c>
      <c r="AV184" s="124" t="str">
        <f>IF(AV$6="","",IF(AV$3="Maior",iferror(VLOOKUP($R182,Capa!$A:$Z,AV$5,0),0),IF(ISERROR(1/VLOOKUP($R182,Capa!$A:$Z,AV$5,0)),0,1/VLOOKUP($R182,Capa!$A:$Z,AV$5,0))))</f>
        <v/>
      </c>
      <c r="AW184" s="124" t="str">
        <f>IF(AW$6="","",IF(AW$3="Maior",iferror(VLOOKUP($R182,Capa!$A:$Z,AW$5,0),0),IF(ISERROR(1/VLOOKUP($R182,Capa!$A:$Z,AW$5,0)),0,1/VLOOKUP($R182,Capa!$A:$Z,AW$5,0))))</f>
        <v/>
      </c>
      <c r="AX184" s="124" t="str">
        <f>IF(AX$6="","",IF(AX$3="Maior",iferror(VLOOKUP($R182,Capa!$A:$Z,AX$5,0),0),IF(ISERROR(1/VLOOKUP($R182,Capa!$A:$Z,AX$5,0)),0,1/VLOOKUP($R182,Capa!$A:$Z,AX$5,0))))</f>
        <v/>
      </c>
      <c r="AY184" s="124" t="str">
        <f>IF(AY$6="","",IF(AY$3="Maior",iferror(VLOOKUP($R182,Capa!$A:$Z,AY$5,0),0),IF(ISERROR(1/VLOOKUP($R182,Capa!$A:$Z,AY$5,0)),0,1/VLOOKUP($R182,Capa!$A:$Z,AY$5,0))))</f>
        <v/>
      </c>
      <c r="AZ184" s="124" t="str">
        <f>IF(AZ$6="","",IF(AZ$3="Maior",iferror(VLOOKUP($R182,Capa!$A:$Z,AZ$5,0),0),IF(ISERROR(1/VLOOKUP($R182,Capa!$A:$Z,AZ$5,0)),0,1/VLOOKUP($R182,Capa!$A:$Z,AZ$5,0))))</f>
        <v/>
      </c>
      <c r="BA184" s="124" t="str">
        <f>IF(BA$6="","",IF(BA$3="Maior",iferror(VLOOKUP($R182,Capa!$A:$Z,BA$5,0),0),IF(ISERROR(1/VLOOKUP($R182,Capa!$A:$Z,BA$5,0)),0,1/VLOOKUP($R182,Capa!$A:$Z,BA$5,0))))</f>
        <v/>
      </c>
      <c r="BB184" s="124" t="str">
        <f>IF(BB$6="","",IF(BB$3="Maior",iferror(VLOOKUP($R182,Capa!$A:$Z,BB$5,0),0),IF(ISERROR(1/VLOOKUP($R182,Capa!$A:$Z,BB$5,0)),0,1/VLOOKUP($R182,Capa!$A:$Z,BB$5,0))))</f>
        <v/>
      </c>
      <c r="BC184" s="124" t="str">
        <f>IF(BC$6="","",IF(BC$3="Maior",iferror(VLOOKUP($R182,Capa!$A:$Z,BC$5,0),0),IF(ISERROR(1/VLOOKUP($R182,Capa!$A:$Z,BC$5,0)),0,1/VLOOKUP($R182,Capa!$A:$Z,BC$5,0))))</f>
        <v/>
      </c>
      <c r="BD184" s="124" t="str">
        <f>IF(BD$6="","",IF(BD$3="Maior",iferror(VLOOKUP($R182,Capa!$A:$Z,BD$5,0),0),IF(ISERROR(1/VLOOKUP($R182,Capa!$A:$Z,BD$5,0)),0,1/VLOOKUP($R182,Capa!$A:$Z,BD$5,0))))</f>
        <v/>
      </c>
      <c r="BE184" s="124" t="str">
        <f>IF(BE$6="","",IF(BE$3="Maior",iferror(VLOOKUP($R182,Capa!$A:$Z,BE$5,0),0),IF(ISERROR(1/VLOOKUP($R182,Capa!$A:$Z,BE$5,0)),0,1/VLOOKUP($R182,Capa!$A:$Z,BE$5,0))))</f>
        <v/>
      </c>
      <c r="BF184" s="124" t="str">
        <f>IF(BF$6="","",IF(BF$3="Maior",iferror(VLOOKUP($R182,Capa!$A:$Z,BF$5,0),0),IF(ISERROR(1/VLOOKUP($R182,Capa!$A:$Z,BF$5,0)),0,1/VLOOKUP($R182,Capa!$A:$Z,BF$5,0))))</f>
        <v/>
      </c>
      <c r="BG184" s="124" t="str">
        <f>IF(BG$6="","",IF(BG$3="Maior",iferror(VLOOKUP($R182,Capa!$A:$Z,BG$5,0),0),IF(ISERROR(1/VLOOKUP($R182,Capa!$A:$Z,BG$5,0)),0,1/VLOOKUP($R182,Capa!$A:$Z,BG$5,0))))</f>
        <v/>
      </c>
      <c r="BH184" s="124" t="str">
        <f>IF(BH$6="","",IF(BH$3="Maior",iferror(VLOOKUP($R182,Capa!$A:$Z,BH$5,0),0),IF(ISERROR(1/VLOOKUP($R182,Capa!$A:$Z,BH$5,0)),0,1/VLOOKUP($R182,Capa!$A:$Z,BH$5,0))))</f>
        <v/>
      </c>
      <c r="BI184" s="124" t="str">
        <f>IF(BI$6="","",IF(BI$3="Maior",iferror(VLOOKUP($R182,Capa!$A:$Z,BI$5,0),0),IF(ISERROR(1/VLOOKUP($R182,Capa!$A:$Z,BI$5,0)),0,1/VLOOKUP($R182,Capa!$A:$Z,BI$5,0))))</f>
        <v/>
      </c>
      <c r="BJ184" s="124" t="str">
        <f>IF(BJ$6="","",IF(BJ$3="Maior",iferror(VLOOKUP($R182,Capa!$A:$Z,BJ$5,0),0),IF(ISERROR(1/VLOOKUP($R182,Capa!$A:$Z,BJ$5,0)),0,1/VLOOKUP($R182,Capa!$A:$Z,BJ$5,0))))</f>
        <v/>
      </c>
      <c r="BK184" s="124" t="str">
        <f>IF(BK$6="","",IF(BK$3="Maior",iferror(VLOOKUP($R182,Capa!$A:$Z,BK$5,0),0),IF(ISERROR(1/VLOOKUP($R182,Capa!$A:$Z,BK$5,0)),0,1/VLOOKUP($R182,Capa!$A:$Z,BK$5,0))))</f>
        <v/>
      </c>
      <c r="BL184" s="124" t="str">
        <f>IF(BL$6="","",IF(BL$3="Maior",iferror(VLOOKUP($R182,Capa!$A:$Z,BL$5,0),0),IF(ISERROR(1/VLOOKUP($R182,Capa!$A:$Z,BL$5,0)),0,1/VLOOKUP($R182,Capa!$A:$Z,BL$5,0))))</f>
        <v/>
      </c>
      <c r="BM184" s="124" t="str">
        <f>IF(BM$6="","",IF(BM$3="Maior",iferror(VLOOKUP($R182,Capa!$A:$Z,BM$5,0),0),IF(ISERROR(1/VLOOKUP($R182,Capa!$A:$Z,BM$5,0)),0,1/VLOOKUP($R182,Capa!$A:$Z,BM$5,0))))</f>
        <v/>
      </c>
      <c r="BN184" s="124" t="str">
        <f>IF(BN$6="","",IF(BN$3="Maior",iferror(VLOOKUP($R182,Capa!$A:$Z,BN$5,0),0),IF(ISERROR(1/VLOOKUP($R182,Capa!$A:$Z,BN$5,0)),0,1/VLOOKUP($R182,Capa!$A:$Z,BN$5,0))))</f>
        <v/>
      </c>
      <c r="BO184" s="124" t="str">
        <f>IF(BO$6="","",IF(BO$3="Maior",iferror(VLOOKUP($R182,Capa!$A:$Z,BO$5,0),0),IF(ISERROR(1/VLOOKUP($R182,Capa!$A:$Z,BO$5,0)),0,1/VLOOKUP($R182,Capa!$A:$Z,BO$5,0))))</f>
        <v/>
      </c>
      <c r="BP184" s="124" t="str">
        <f>IF(BP$6="","",IF(BP$3="Maior",iferror(VLOOKUP($R182,Capa!$A:$Z,BP$5,0),0),IF(ISERROR(1/VLOOKUP($R182,Capa!$A:$Z,BP$5,0)),0,1/VLOOKUP($R182,Capa!$A:$Z,BP$5,0))))</f>
        <v/>
      </c>
      <c r="BQ184" s="124" t="str">
        <f>IF(BQ$6="","",IF(BQ$3="Maior",iferror(VLOOKUP($R182,Capa!$A:$Z,BQ$5,0),0),IF(ISERROR(1/VLOOKUP($R182,Capa!$A:$Z,BQ$5,0)),0,1/VLOOKUP($R182,Capa!$A:$Z,BQ$5,0))))</f>
        <v/>
      </c>
      <c r="BR184" s="125" t="str">
        <f>IF(BR$6="","",IF(BR$3="Maior",iferror(VLOOKUP($R182,Capa!$A:$Z,BR$5,0),0),IF(ISERROR(1/VLOOKUP($R182,Capa!$A:$Z,BR$5,0)),0,1/VLOOKUP($R182,Capa!$A:$Z,BR$5,0))))</f>
        <v/>
      </c>
      <c r="BS184" s="88"/>
    </row>
    <row r="185">
      <c r="G185" s="9"/>
      <c r="H185" s="7"/>
      <c r="I185" s="111"/>
      <c r="J185" s="112"/>
      <c r="K185" s="113"/>
      <c r="L185" s="113"/>
      <c r="M185" s="141"/>
      <c r="N185" s="141"/>
      <c r="O185" s="9"/>
      <c r="P185" s="9"/>
      <c r="Q185" s="9"/>
      <c r="R185" s="126" t="s">
        <v>214</v>
      </c>
      <c r="S185" s="116">
        <f t="shared" si="13"/>
        <v>191.0092</v>
      </c>
      <c r="T185" s="117">
        <f>MID(VLOOKUP($R185,'Dados ClubeFII'!$A:$AU,23,0),3,100)/1</f>
        <v>1150158.07</v>
      </c>
      <c r="U185" s="118">
        <f t="shared" si="14"/>
        <v>91.0091</v>
      </c>
      <c r="V185" s="118">
        <f t="shared" si="15"/>
        <v>100.0001</v>
      </c>
      <c r="W185" s="118" t="str">
        <f t="shared" ref="W185:AS185" si="194">IF(AV185="","", RANK(AV185,AV$7:AV$405,0))</f>
        <v/>
      </c>
      <c r="X185" s="118" t="str">
        <f t="shared" si="194"/>
        <v/>
      </c>
      <c r="Y185" s="118" t="str">
        <f t="shared" si="194"/>
        <v/>
      </c>
      <c r="Z185" s="118" t="str">
        <f t="shared" si="194"/>
        <v/>
      </c>
      <c r="AA185" s="118" t="str">
        <f t="shared" si="194"/>
        <v/>
      </c>
      <c r="AB185" s="118" t="str">
        <f t="shared" si="194"/>
        <v/>
      </c>
      <c r="AC185" s="118" t="str">
        <f t="shared" si="194"/>
        <v/>
      </c>
      <c r="AD185" s="118" t="str">
        <f t="shared" si="194"/>
        <v/>
      </c>
      <c r="AE185" s="118" t="str">
        <f t="shared" si="194"/>
        <v/>
      </c>
      <c r="AF185" s="118" t="str">
        <f t="shared" si="194"/>
        <v/>
      </c>
      <c r="AG185" s="118" t="str">
        <f t="shared" si="194"/>
        <v/>
      </c>
      <c r="AH185" s="118" t="str">
        <f t="shared" si="194"/>
        <v/>
      </c>
      <c r="AI185" s="118" t="str">
        <f t="shared" si="194"/>
        <v/>
      </c>
      <c r="AJ185" s="118" t="str">
        <f t="shared" si="194"/>
        <v/>
      </c>
      <c r="AK185" s="118" t="str">
        <f t="shared" si="194"/>
        <v/>
      </c>
      <c r="AL185" s="118" t="str">
        <f t="shared" si="194"/>
        <v/>
      </c>
      <c r="AM185" s="118" t="str">
        <f t="shared" si="194"/>
        <v/>
      </c>
      <c r="AN185" s="118" t="str">
        <f t="shared" si="194"/>
        <v/>
      </c>
      <c r="AO185" s="118" t="str">
        <f t="shared" si="194"/>
        <v/>
      </c>
      <c r="AP185" s="118" t="str">
        <f t="shared" si="194"/>
        <v/>
      </c>
      <c r="AQ185" s="118" t="str">
        <f t="shared" si="194"/>
        <v/>
      </c>
      <c r="AR185" s="118" t="str">
        <f t="shared" si="194"/>
        <v/>
      </c>
      <c r="AS185" s="118" t="str">
        <f t="shared" si="194"/>
        <v/>
      </c>
      <c r="AT185" s="123">
        <f>IF(AT$6="","",IF(AT$3="Maior",iferror(VLOOKUP($R185,Capa!$A:$Z,AT$5,0),0),IF(ISERROR(1/VLOOKUP($R185,Capa!$A:$Z,AT$5,0)),0,1/VLOOKUP($R185,Capa!$A:$Z,AT$5,0))))</f>
        <v>1.209150327</v>
      </c>
      <c r="AU185" s="124">
        <f>IF(AU$6="","",IF(AU$3="Maior",iferror(VLOOKUP($R185,Capa!$A:$Z,AU$5,0),0),IF(ISERROR(1/VLOOKUP($R185,Capa!$A:$Z,AU$5,0)),0,1/VLOOKUP($R185,Capa!$A:$Z,AU$5,0))))</f>
        <v>0.1086810811</v>
      </c>
      <c r="AV185" s="124" t="str">
        <f>IF(AV$6="","",IF(AV$3="Maior",iferror(VLOOKUP($R183,Capa!$A:$Z,AV$5,0),0),IF(ISERROR(1/VLOOKUP($R183,Capa!$A:$Z,AV$5,0)),0,1/VLOOKUP($R183,Capa!$A:$Z,AV$5,0))))</f>
        <v/>
      </c>
      <c r="AW185" s="124" t="str">
        <f>IF(AW$6="","",IF(AW$3="Maior",iferror(VLOOKUP($R183,Capa!$A:$Z,AW$5,0),0),IF(ISERROR(1/VLOOKUP($R183,Capa!$A:$Z,AW$5,0)),0,1/VLOOKUP($R183,Capa!$A:$Z,AW$5,0))))</f>
        <v/>
      </c>
      <c r="AX185" s="124" t="str">
        <f>IF(AX$6="","",IF(AX$3="Maior",iferror(VLOOKUP($R183,Capa!$A:$Z,AX$5,0),0),IF(ISERROR(1/VLOOKUP($R183,Capa!$A:$Z,AX$5,0)),0,1/VLOOKUP($R183,Capa!$A:$Z,AX$5,0))))</f>
        <v/>
      </c>
      <c r="AY185" s="124" t="str">
        <f>IF(AY$6="","",IF(AY$3="Maior",iferror(VLOOKUP($R183,Capa!$A:$Z,AY$5,0),0),IF(ISERROR(1/VLOOKUP($R183,Capa!$A:$Z,AY$5,0)),0,1/VLOOKUP($R183,Capa!$A:$Z,AY$5,0))))</f>
        <v/>
      </c>
      <c r="AZ185" s="124" t="str">
        <f>IF(AZ$6="","",IF(AZ$3="Maior",iferror(VLOOKUP($R183,Capa!$A:$Z,AZ$5,0),0),IF(ISERROR(1/VLOOKUP($R183,Capa!$A:$Z,AZ$5,0)),0,1/VLOOKUP($R183,Capa!$A:$Z,AZ$5,0))))</f>
        <v/>
      </c>
      <c r="BA185" s="124" t="str">
        <f>IF(BA$6="","",IF(BA$3="Maior",iferror(VLOOKUP($R183,Capa!$A:$Z,BA$5,0),0),IF(ISERROR(1/VLOOKUP($R183,Capa!$A:$Z,BA$5,0)),0,1/VLOOKUP($R183,Capa!$A:$Z,BA$5,0))))</f>
        <v/>
      </c>
      <c r="BB185" s="124" t="str">
        <f>IF(BB$6="","",IF(BB$3="Maior",iferror(VLOOKUP($R183,Capa!$A:$Z,BB$5,0),0),IF(ISERROR(1/VLOOKUP($R183,Capa!$A:$Z,BB$5,0)),0,1/VLOOKUP($R183,Capa!$A:$Z,BB$5,0))))</f>
        <v/>
      </c>
      <c r="BC185" s="124" t="str">
        <f>IF(BC$6="","",IF(BC$3="Maior",iferror(VLOOKUP($R183,Capa!$A:$Z,BC$5,0),0),IF(ISERROR(1/VLOOKUP($R183,Capa!$A:$Z,BC$5,0)),0,1/VLOOKUP($R183,Capa!$A:$Z,BC$5,0))))</f>
        <v/>
      </c>
      <c r="BD185" s="124" t="str">
        <f>IF(BD$6="","",IF(BD$3="Maior",iferror(VLOOKUP($R183,Capa!$A:$Z,BD$5,0),0),IF(ISERROR(1/VLOOKUP($R183,Capa!$A:$Z,BD$5,0)),0,1/VLOOKUP($R183,Capa!$A:$Z,BD$5,0))))</f>
        <v/>
      </c>
      <c r="BE185" s="124" t="str">
        <f>IF(BE$6="","",IF(BE$3="Maior",iferror(VLOOKUP($R183,Capa!$A:$Z,BE$5,0),0),IF(ISERROR(1/VLOOKUP($R183,Capa!$A:$Z,BE$5,0)),0,1/VLOOKUP($R183,Capa!$A:$Z,BE$5,0))))</f>
        <v/>
      </c>
      <c r="BF185" s="124" t="str">
        <f>IF(BF$6="","",IF(BF$3="Maior",iferror(VLOOKUP($R183,Capa!$A:$Z,BF$5,0),0),IF(ISERROR(1/VLOOKUP($R183,Capa!$A:$Z,BF$5,0)),0,1/VLOOKUP($R183,Capa!$A:$Z,BF$5,0))))</f>
        <v/>
      </c>
      <c r="BG185" s="124" t="str">
        <f>IF(BG$6="","",IF(BG$3="Maior",iferror(VLOOKUP($R183,Capa!$A:$Z,BG$5,0),0),IF(ISERROR(1/VLOOKUP($R183,Capa!$A:$Z,BG$5,0)),0,1/VLOOKUP($R183,Capa!$A:$Z,BG$5,0))))</f>
        <v/>
      </c>
      <c r="BH185" s="124" t="str">
        <f>IF(BH$6="","",IF(BH$3="Maior",iferror(VLOOKUP($R183,Capa!$A:$Z,BH$5,0),0),IF(ISERROR(1/VLOOKUP($R183,Capa!$A:$Z,BH$5,0)),0,1/VLOOKUP($R183,Capa!$A:$Z,BH$5,0))))</f>
        <v/>
      </c>
      <c r="BI185" s="124" t="str">
        <f>IF(BI$6="","",IF(BI$3="Maior",iferror(VLOOKUP($R183,Capa!$A:$Z,BI$5,0),0),IF(ISERROR(1/VLOOKUP($R183,Capa!$A:$Z,BI$5,0)),0,1/VLOOKUP($R183,Capa!$A:$Z,BI$5,0))))</f>
        <v/>
      </c>
      <c r="BJ185" s="124" t="str">
        <f>IF(BJ$6="","",IF(BJ$3="Maior",iferror(VLOOKUP($R183,Capa!$A:$Z,BJ$5,0),0),IF(ISERROR(1/VLOOKUP($R183,Capa!$A:$Z,BJ$5,0)),0,1/VLOOKUP($R183,Capa!$A:$Z,BJ$5,0))))</f>
        <v/>
      </c>
      <c r="BK185" s="124" t="str">
        <f>IF(BK$6="","",IF(BK$3="Maior",iferror(VLOOKUP($R183,Capa!$A:$Z,BK$5,0),0),IF(ISERROR(1/VLOOKUP($R183,Capa!$A:$Z,BK$5,0)),0,1/VLOOKUP($R183,Capa!$A:$Z,BK$5,0))))</f>
        <v/>
      </c>
      <c r="BL185" s="124" t="str">
        <f>IF(BL$6="","",IF(BL$3="Maior",iferror(VLOOKUP($R183,Capa!$A:$Z,BL$5,0),0),IF(ISERROR(1/VLOOKUP($R183,Capa!$A:$Z,BL$5,0)),0,1/VLOOKUP($R183,Capa!$A:$Z,BL$5,0))))</f>
        <v/>
      </c>
      <c r="BM185" s="124" t="str">
        <f>IF(BM$6="","",IF(BM$3="Maior",iferror(VLOOKUP($R183,Capa!$A:$Z,BM$5,0),0),IF(ISERROR(1/VLOOKUP($R183,Capa!$A:$Z,BM$5,0)),0,1/VLOOKUP($R183,Capa!$A:$Z,BM$5,0))))</f>
        <v/>
      </c>
      <c r="BN185" s="124" t="str">
        <f>IF(BN$6="","",IF(BN$3="Maior",iferror(VLOOKUP($R183,Capa!$A:$Z,BN$5,0),0),IF(ISERROR(1/VLOOKUP($R183,Capa!$A:$Z,BN$5,0)),0,1/VLOOKUP($R183,Capa!$A:$Z,BN$5,0))))</f>
        <v/>
      </c>
      <c r="BO185" s="124" t="str">
        <f>IF(BO$6="","",IF(BO$3="Maior",iferror(VLOOKUP($R183,Capa!$A:$Z,BO$5,0),0),IF(ISERROR(1/VLOOKUP($R183,Capa!$A:$Z,BO$5,0)),0,1/VLOOKUP($R183,Capa!$A:$Z,BO$5,0))))</f>
        <v/>
      </c>
      <c r="BP185" s="124" t="str">
        <f>IF(BP$6="","",IF(BP$3="Maior",iferror(VLOOKUP($R183,Capa!$A:$Z,BP$5,0),0),IF(ISERROR(1/VLOOKUP($R183,Capa!$A:$Z,BP$5,0)),0,1/VLOOKUP($R183,Capa!$A:$Z,BP$5,0))))</f>
        <v/>
      </c>
      <c r="BQ185" s="124" t="str">
        <f>IF(BQ$6="","",IF(BQ$3="Maior",iferror(VLOOKUP($R183,Capa!$A:$Z,BQ$5,0),0),IF(ISERROR(1/VLOOKUP($R183,Capa!$A:$Z,BQ$5,0)),0,1/VLOOKUP($R183,Capa!$A:$Z,BQ$5,0))))</f>
        <v/>
      </c>
      <c r="BR185" s="125" t="str">
        <f>IF(BR$6="","",IF(BR$3="Maior",iferror(VLOOKUP($R183,Capa!$A:$Z,BR$5,0),0),IF(ISERROR(1/VLOOKUP($R183,Capa!$A:$Z,BR$5,0)),0,1/VLOOKUP($R183,Capa!$A:$Z,BR$5,0))))</f>
        <v/>
      </c>
      <c r="BS185" s="88"/>
    </row>
    <row r="186">
      <c r="G186" s="9"/>
      <c r="H186" s="7"/>
      <c r="I186" s="111"/>
      <c r="J186" s="112"/>
      <c r="K186" s="113"/>
      <c r="L186" s="113"/>
      <c r="M186" s="141"/>
      <c r="N186" s="141"/>
      <c r="O186" s="9"/>
      <c r="P186" s="9"/>
      <c r="Q186" s="9"/>
      <c r="R186" s="126" t="s">
        <v>215</v>
      </c>
      <c r="S186" s="116">
        <f t="shared" si="13"/>
        <v>1110.00308</v>
      </c>
      <c r="T186" s="117">
        <f>MID(VLOOKUP($R186,'Dados ClubeFII'!$A:$AU,23,0),3,100)/1</f>
        <v>565577.63</v>
      </c>
      <c r="U186" s="118">
        <f t="shared" si="14"/>
        <v>30.003</v>
      </c>
      <c r="V186" s="118">
        <f t="shared" si="15"/>
        <v>80.00008</v>
      </c>
      <c r="W186" s="118" t="str">
        <f t="shared" ref="W186:AS186" si="195">IF(AV186="","", RANK(AV186,AV$7:AV$405,0))</f>
        <v/>
      </c>
      <c r="X186" s="118" t="str">
        <f t="shared" si="195"/>
        <v/>
      </c>
      <c r="Y186" s="118" t="str">
        <f t="shared" si="195"/>
        <v/>
      </c>
      <c r="Z186" s="118" t="str">
        <f t="shared" si="195"/>
        <v/>
      </c>
      <c r="AA186" s="118" t="str">
        <f t="shared" si="195"/>
        <v/>
      </c>
      <c r="AB186" s="118" t="str">
        <f t="shared" si="195"/>
        <v/>
      </c>
      <c r="AC186" s="118" t="str">
        <f t="shared" si="195"/>
        <v/>
      </c>
      <c r="AD186" s="118" t="str">
        <f t="shared" si="195"/>
        <v/>
      </c>
      <c r="AE186" s="118" t="str">
        <f t="shared" si="195"/>
        <v/>
      </c>
      <c r="AF186" s="118" t="str">
        <f t="shared" si="195"/>
        <v/>
      </c>
      <c r="AG186" s="118" t="str">
        <f t="shared" si="195"/>
        <v/>
      </c>
      <c r="AH186" s="118" t="str">
        <f t="shared" si="195"/>
        <v/>
      </c>
      <c r="AI186" s="118" t="str">
        <f t="shared" si="195"/>
        <v/>
      </c>
      <c r="AJ186" s="118" t="str">
        <f t="shared" si="195"/>
        <v/>
      </c>
      <c r="AK186" s="118" t="str">
        <f t="shared" si="195"/>
        <v/>
      </c>
      <c r="AL186" s="118" t="str">
        <f t="shared" si="195"/>
        <v/>
      </c>
      <c r="AM186" s="118" t="str">
        <f t="shared" si="195"/>
        <v/>
      </c>
      <c r="AN186" s="118" t="str">
        <f t="shared" si="195"/>
        <v/>
      </c>
      <c r="AO186" s="118" t="str">
        <f t="shared" si="195"/>
        <v/>
      </c>
      <c r="AP186" s="118" t="str">
        <f t="shared" si="195"/>
        <v/>
      </c>
      <c r="AQ186" s="118" t="str">
        <f t="shared" si="195"/>
        <v/>
      </c>
      <c r="AR186" s="118" t="str">
        <f t="shared" si="195"/>
        <v/>
      </c>
      <c r="AS186" s="118" t="str">
        <f t="shared" si="195"/>
        <v/>
      </c>
      <c r="AT186" s="123">
        <f>IF(AT$6="","",IF(AT$3="Maior",iferror(VLOOKUP($R186,Capa!$A:$Z,AT$5,0),0),IF(ISERROR(1/VLOOKUP($R186,Capa!$A:$Z,AT$5,0)),0,1/VLOOKUP($R186,Capa!$A:$Z,AT$5,0))))</f>
        <v>1.633981295</v>
      </c>
      <c r="AU186" s="124">
        <f>IF(AU$6="","",IF(AU$3="Maior",iferror(VLOOKUP($R186,Capa!$A:$Z,AU$5,0),0),IF(ISERROR(1/VLOOKUP($R186,Capa!$A:$Z,AU$5,0)),0,1/VLOOKUP($R186,Capa!$A:$Z,AU$5,0))))</f>
        <v>0.1179859805</v>
      </c>
      <c r="AV186" s="124" t="str">
        <f>IF(AV$6="","",IF(AV$3="Maior",iferror(VLOOKUP($R184,Capa!$A:$Z,AV$5,0),0),IF(ISERROR(1/VLOOKUP($R184,Capa!$A:$Z,AV$5,0)),0,1/VLOOKUP($R184,Capa!$A:$Z,AV$5,0))))</f>
        <v/>
      </c>
      <c r="AW186" s="124" t="str">
        <f>IF(AW$6="","",IF(AW$3="Maior",iferror(VLOOKUP($R184,Capa!$A:$Z,AW$5,0),0),IF(ISERROR(1/VLOOKUP($R184,Capa!$A:$Z,AW$5,0)),0,1/VLOOKUP($R184,Capa!$A:$Z,AW$5,0))))</f>
        <v/>
      </c>
      <c r="AX186" s="124" t="str">
        <f>IF(AX$6="","",IF(AX$3="Maior",iferror(VLOOKUP($R184,Capa!$A:$Z,AX$5,0),0),IF(ISERROR(1/VLOOKUP($R184,Capa!$A:$Z,AX$5,0)),0,1/VLOOKUP($R184,Capa!$A:$Z,AX$5,0))))</f>
        <v/>
      </c>
      <c r="AY186" s="124" t="str">
        <f>IF(AY$6="","",IF(AY$3="Maior",iferror(VLOOKUP($R184,Capa!$A:$Z,AY$5,0),0),IF(ISERROR(1/VLOOKUP($R184,Capa!$A:$Z,AY$5,0)),0,1/VLOOKUP($R184,Capa!$A:$Z,AY$5,0))))</f>
        <v/>
      </c>
      <c r="AZ186" s="124" t="str">
        <f>IF(AZ$6="","",IF(AZ$3="Maior",iferror(VLOOKUP($R184,Capa!$A:$Z,AZ$5,0),0),IF(ISERROR(1/VLOOKUP($R184,Capa!$A:$Z,AZ$5,0)),0,1/VLOOKUP($R184,Capa!$A:$Z,AZ$5,0))))</f>
        <v/>
      </c>
      <c r="BA186" s="124" t="str">
        <f>IF(BA$6="","",IF(BA$3="Maior",iferror(VLOOKUP($R184,Capa!$A:$Z,BA$5,0),0),IF(ISERROR(1/VLOOKUP($R184,Capa!$A:$Z,BA$5,0)),0,1/VLOOKUP($R184,Capa!$A:$Z,BA$5,0))))</f>
        <v/>
      </c>
      <c r="BB186" s="124" t="str">
        <f>IF(BB$6="","",IF(BB$3="Maior",iferror(VLOOKUP($R184,Capa!$A:$Z,BB$5,0),0),IF(ISERROR(1/VLOOKUP($R184,Capa!$A:$Z,BB$5,0)),0,1/VLOOKUP($R184,Capa!$A:$Z,BB$5,0))))</f>
        <v/>
      </c>
      <c r="BC186" s="124" t="str">
        <f>IF(BC$6="","",IF(BC$3="Maior",iferror(VLOOKUP($R184,Capa!$A:$Z,BC$5,0),0),IF(ISERROR(1/VLOOKUP($R184,Capa!$A:$Z,BC$5,0)),0,1/VLOOKUP($R184,Capa!$A:$Z,BC$5,0))))</f>
        <v/>
      </c>
      <c r="BD186" s="124" t="str">
        <f>IF(BD$6="","",IF(BD$3="Maior",iferror(VLOOKUP($R184,Capa!$A:$Z,BD$5,0),0),IF(ISERROR(1/VLOOKUP($R184,Capa!$A:$Z,BD$5,0)),0,1/VLOOKUP($R184,Capa!$A:$Z,BD$5,0))))</f>
        <v/>
      </c>
      <c r="BE186" s="124" t="str">
        <f>IF(BE$6="","",IF(BE$3="Maior",iferror(VLOOKUP($R184,Capa!$A:$Z,BE$5,0),0),IF(ISERROR(1/VLOOKUP($R184,Capa!$A:$Z,BE$5,0)),0,1/VLOOKUP($R184,Capa!$A:$Z,BE$5,0))))</f>
        <v/>
      </c>
      <c r="BF186" s="124" t="str">
        <f>IF(BF$6="","",IF(BF$3="Maior",iferror(VLOOKUP($R184,Capa!$A:$Z,BF$5,0),0),IF(ISERROR(1/VLOOKUP($R184,Capa!$A:$Z,BF$5,0)),0,1/VLOOKUP($R184,Capa!$A:$Z,BF$5,0))))</f>
        <v/>
      </c>
      <c r="BG186" s="124" t="str">
        <f>IF(BG$6="","",IF(BG$3="Maior",iferror(VLOOKUP($R184,Capa!$A:$Z,BG$5,0),0),IF(ISERROR(1/VLOOKUP($R184,Capa!$A:$Z,BG$5,0)),0,1/VLOOKUP($R184,Capa!$A:$Z,BG$5,0))))</f>
        <v/>
      </c>
      <c r="BH186" s="124" t="str">
        <f>IF(BH$6="","",IF(BH$3="Maior",iferror(VLOOKUP($R184,Capa!$A:$Z,BH$5,0),0),IF(ISERROR(1/VLOOKUP($R184,Capa!$A:$Z,BH$5,0)),0,1/VLOOKUP($R184,Capa!$A:$Z,BH$5,0))))</f>
        <v/>
      </c>
      <c r="BI186" s="124" t="str">
        <f>IF(BI$6="","",IF(BI$3="Maior",iferror(VLOOKUP($R184,Capa!$A:$Z,BI$5,0),0),IF(ISERROR(1/VLOOKUP($R184,Capa!$A:$Z,BI$5,0)),0,1/VLOOKUP($R184,Capa!$A:$Z,BI$5,0))))</f>
        <v/>
      </c>
      <c r="BJ186" s="124" t="str">
        <f>IF(BJ$6="","",IF(BJ$3="Maior",iferror(VLOOKUP($R184,Capa!$A:$Z,BJ$5,0),0),IF(ISERROR(1/VLOOKUP($R184,Capa!$A:$Z,BJ$5,0)),0,1/VLOOKUP($R184,Capa!$A:$Z,BJ$5,0))))</f>
        <v/>
      </c>
      <c r="BK186" s="124" t="str">
        <f>IF(BK$6="","",IF(BK$3="Maior",iferror(VLOOKUP($R184,Capa!$A:$Z,BK$5,0),0),IF(ISERROR(1/VLOOKUP($R184,Capa!$A:$Z,BK$5,0)),0,1/VLOOKUP($R184,Capa!$A:$Z,BK$5,0))))</f>
        <v/>
      </c>
      <c r="BL186" s="124" t="str">
        <f>IF(BL$6="","",IF(BL$3="Maior",iferror(VLOOKUP($R184,Capa!$A:$Z,BL$5,0),0),IF(ISERROR(1/VLOOKUP($R184,Capa!$A:$Z,BL$5,0)),0,1/VLOOKUP($R184,Capa!$A:$Z,BL$5,0))))</f>
        <v/>
      </c>
      <c r="BM186" s="124" t="str">
        <f>IF(BM$6="","",IF(BM$3="Maior",iferror(VLOOKUP($R184,Capa!$A:$Z,BM$5,0),0),IF(ISERROR(1/VLOOKUP($R184,Capa!$A:$Z,BM$5,0)),0,1/VLOOKUP($R184,Capa!$A:$Z,BM$5,0))))</f>
        <v/>
      </c>
      <c r="BN186" s="124" t="str">
        <f>IF(BN$6="","",IF(BN$3="Maior",iferror(VLOOKUP($R184,Capa!$A:$Z,BN$5,0),0),IF(ISERROR(1/VLOOKUP($R184,Capa!$A:$Z,BN$5,0)),0,1/VLOOKUP($R184,Capa!$A:$Z,BN$5,0))))</f>
        <v/>
      </c>
      <c r="BO186" s="124" t="str">
        <f>IF(BO$6="","",IF(BO$3="Maior",iferror(VLOOKUP($R184,Capa!$A:$Z,BO$5,0),0),IF(ISERROR(1/VLOOKUP($R184,Capa!$A:$Z,BO$5,0)),0,1/VLOOKUP($R184,Capa!$A:$Z,BO$5,0))))</f>
        <v/>
      </c>
      <c r="BP186" s="124" t="str">
        <f>IF(BP$6="","",IF(BP$3="Maior",iferror(VLOOKUP($R184,Capa!$A:$Z,BP$5,0),0),IF(ISERROR(1/VLOOKUP($R184,Capa!$A:$Z,BP$5,0)),0,1/VLOOKUP($R184,Capa!$A:$Z,BP$5,0))))</f>
        <v/>
      </c>
      <c r="BQ186" s="124" t="str">
        <f>IF(BQ$6="","",IF(BQ$3="Maior",iferror(VLOOKUP($R184,Capa!$A:$Z,BQ$5,0),0),IF(ISERROR(1/VLOOKUP($R184,Capa!$A:$Z,BQ$5,0)),0,1/VLOOKUP($R184,Capa!$A:$Z,BQ$5,0))))</f>
        <v/>
      </c>
      <c r="BR186" s="125" t="str">
        <f>IF(BR$6="","",IF(BR$3="Maior",iferror(VLOOKUP($R184,Capa!$A:$Z,BR$5,0),0),IF(ISERROR(1/VLOOKUP($R184,Capa!$A:$Z,BR$5,0)),0,1/VLOOKUP($R184,Capa!$A:$Z,BR$5,0))))</f>
        <v/>
      </c>
      <c r="BS186" s="88"/>
    </row>
    <row r="187">
      <c r="G187" s="9"/>
      <c r="H187" s="7"/>
      <c r="I187" s="111"/>
      <c r="J187" s="112"/>
      <c r="K187" s="113"/>
      <c r="L187" s="113"/>
      <c r="M187" s="141"/>
      <c r="N187" s="141"/>
      <c r="O187" s="9"/>
      <c r="P187" s="9"/>
      <c r="Q187" s="9"/>
      <c r="R187" s="126" t="s">
        <v>216</v>
      </c>
      <c r="S187" s="116">
        <f t="shared" si="13"/>
        <v>1184.000481</v>
      </c>
      <c r="T187" s="117">
        <f>MID(VLOOKUP($R187,'Dados ClubeFII'!$A:$AU,23,0),3,100)/1</f>
        <v>18070.45</v>
      </c>
      <c r="U187" s="118">
        <f t="shared" si="14"/>
        <v>3.0003</v>
      </c>
      <c r="V187" s="118">
        <f t="shared" si="15"/>
        <v>181.000181</v>
      </c>
      <c r="W187" s="118" t="str">
        <f t="shared" ref="W187:AS187" si="196">IF(AV187="","", RANK(AV187,AV$7:AV$405,0))</f>
        <v/>
      </c>
      <c r="X187" s="118" t="str">
        <f t="shared" si="196"/>
        <v/>
      </c>
      <c r="Y187" s="118" t="str">
        <f t="shared" si="196"/>
        <v/>
      </c>
      <c r="Z187" s="118" t="str">
        <f t="shared" si="196"/>
        <v/>
      </c>
      <c r="AA187" s="118" t="str">
        <f t="shared" si="196"/>
        <v/>
      </c>
      <c r="AB187" s="118" t="str">
        <f t="shared" si="196"/>
        <v/>
      </c>
      <c r="AC187" s="118" t="str">
        <f t="shared" si="196"/>
        <v/>
      </c>
      <c r="AD187" s="118" t="str">
        <f t="shared" si="196"/>
        <v/>
      </c>
      <c r="AE187" s="118" t="str">
        <f t="shared" si="196"/>
        <v/>
      </c>
      <c r="AF187" s="118" t="str">
        <f t="shared" si="196"/>
        <v/>
      </c>
      <c r="AG187" s="118" t="str">
        <f t="shared" si="196"/>
        <v/>
      </c>
      <c r="AH187" s="118" t="str">
        <f t="shared" si="196"/>
        <v/>
      </c>
      <c r="AI187" s="118" t="str">
        <f t="shared" si="196"/>
        <v/>
      </c>
      <c r="AJ187" s="118" t="str">
        <f t="shared" si="196"/>
        <v/>
      </c>
      <c r="AK187" s="118" t="str">
        <f t="shared" si="196"/>
        <v/>
      </c>
      <c r="AL187" s="118" t="str">
        <f t="shared" si="196"/>
        <v/>
      </c>
      <c r="AM187" s="118" t="str">
        <f t="shared" si="196"/>
        <v/>
      </c>
      <c r="AN187" s="118" t="str">
        <f t="shared" si="196"/>
        <v/>
      </c>
      <c r="AO187" s="118" t="str">
        <f t="shared" si="196"/>
        <v/>
      </c>
      <c r="AP187" s="118" t="str">
        <f t="shared" si="196"/>
        <v/>
      </c>
      <c r="AQ187" s="118" t="str">
        <f t="shared" si="196"/>
        <v/>
      </c>
      <c r="AR187" s="118" t="str">
        <f t="shared" si="196"/>
        <v/>
      </c>
      <c r="AS187" s="118" t="str">
        <f t="shared" si="196"/>
        <v/>
      </c>
      <c r="AT187" s="123">
        <f>IF(AT$6="","",IF(AT$3="Maior",iferror(VLOOKUP($R187,Capa!$A:$Z,AT$5,0),0),IF(ISERROR(1/VLOOKUP($R187,Capa!$A:$Z,AT$5,0)),0,1/VLOOKUP($R187,Capa!$A:$Z,AT$5,0))))</f>
        <v>3.840496813</v>
      </c>
      <c r="AU187" s="124">
        <f>IF(AU$6="","",IF(AU$3="Maior",iferror(VLOOKUP($R187,Capa!$A:$Z,AU$5,0),0),IF(ISERROR(1/VLOOKUP($R187,Capa!$A:$Z,AU$5,0)),0,1/VLOOKUP($R187,Capa!$A:$Z,AU$5,0))))</f>
        <v>0</v>
      </c>
      <c r="AV187" s="124" t="str">
        <f>IF(AV$6="","",IF(AV$3="Maior",iferror(VLOOKUP($R185,Capa!$A:$Z,AV$5,0),0),IF(ISERROR(1/VLOOKUP($R185,Capa!$A:$Z,AV$5,0)),0,1/VLOOKUP($R185,Capa!$A:$Z,AV$5,0))))</f>
        <v/>
      </c>
      <c r="AW187" s="124" t="str">
        <f>IF(AW$6="","",IF(AW$3="Maior",iferror(VLOOKUP($R185,Capa!$A:$Z,AW$5,0),0),IF(ISERROR(1/VLOOKUP($R185,Capa!$A:$Z,AW$5,0)),0,1/VLOOKUP($R185,Capa!$A:$Z,AW$5,0))))</f>
        <v/>
      </c>
      <c r="AX187" s="124" t="str">
        <f>IF(AX$6="","",IF(AX$3="Maior",iferror(VLOOKUP($R185,Capa!$A:$Z,AX$5,0),0),IF(ISERROR(1/VLOOKUP($R185,Capa!$A:$Z,AX$5,0)),0,1/VLOOKUP($R185,Capa!$A:$Z,AX$5,0))))</f>
        <v/>
      </c>
      <c r="AY187" s="124" t="str">
        <f>IF(AY$6="","",IF(AY$3="Maior",iferror(VLOOKUP($R185,Capa!$A:$Z,AY$5,0),0),IF(ISERROR(1/VLOOKUP($R185,Capa!$A:$Z,AY$5,0)),0,1/VLOOKUP($R185,Capa!$A:$Z,AY$5,0))))</f>
        <v/>
      </c>
      <c r="AZ187" s="124" t="str">
        <f>IF(AZ$6="","",IF(AZ$3="Maior",iferror(VLOOKUP($R185,Capa!$A:$Z,AZ$5,0),0),IF(ISERROR(1/VLOOKUP($R185,Capa!$A:$Z,AZ$5,0)),0,1/VLOOKUP($R185,Capa!$A:$Z,AZ$5,0))))</f>
        <v/>
      </c>
      <c r="BA187" s="124" t="str">
        <f>IF(BA$6="","",IF(BA$3="Maior",iferror(VLOOKUP($R185,Capa!$A:$Z,BA$5,0),0),IF(ISERROR(1/VLOOKUP($R185,Capa!$A:$Z,BA$5,0)),0,1/VLOOKUP($R185,Capa!$A:$Z,BA$5,0))))</f>
        <v/>
      </c>
      <c r="BB187" s="124" t="str">
        <f>IF(BB$6="","",IF(BB$3="Maior",iferror(VLOOKUP($R185,Capa!$A:$Z,BB$5,0),0),IF(ISERROR(1/VLOOKUP($R185,Capa!$A:$Z,BB$5,0)),0,1/VLOOKUP($R185,Capa!$A:$Z,BB$5,0))))</f>
        <v/>
      </c>
      <c r="BC187" s="124" t="str">
        <f>IF(BC$6="","",IF(BC$3="Maior",iferror(VLOOKUP($R185,Capa!$A:$Z,BC$5,0),0),IF(ISERROR(1/VLOOKUP($R185,Capa!$A:$Z,BC$5,0)),0,1/VLOOKUP($R185,Capa!$A:$Z,BC$5,0))))</f>
        <v/>
      </c>
      <c r="BD187" s="124" t="str">
        <f>IF(BD$6="","",IF(BD$3="Maior",iferror(VLOOKUP($R185,Capa!$A:$Z,BD$5,0),0),IF(ISERROR(1/VLOOKUP($R185,Capa!$A:$Z,BD$5,0)),0,1/VLOOKUP($R185,Capa!$A:$Z,BD$5,0))))</f>
        <v/>
      </c>
      <c r="BE187" s="124" t="str">
        <f>IF(BE$6="","",IF(BE$3="Maior",iferror(VLOOKUP($R185,Capa!$A:$Z,BE$5,0),0),IF(ISERROR(1/VLOOKUP($R185,Capa!$A:$Z,BE$5,0)),0,1/VLOOKUP($R185,Capa!$A:$Z,BE$5,0))))</f>
        <v/>
      </c>
      <c r="BF187" s="124" t="str">
        <f>IF(BF$6="","",IF(BF$3="Maior",iferror(VLOOKUP($R185,Capa!$A:$Z,BF$5,0),0),IF(ISERROR(1/VLOOKUP($R185,Capa!$A:$Z,BF$5,0)),0,1/VLOOKUP($R185,Capa!$A:$Z,BF$5,0))))</f>
        <v/>
      </c>
      <c r="BG187" s="124" t="str">
        <f>IF(BG$6="","",IF(BG$3="Maior",iferror(VLOOKUP($R185,Capa!$A:$Z,BG$5,0),0),IF(ISERROR(1/VLOOKUP($R185,Capa!$A:$Z,BG$5,0)),0,1/VLOOKUP($R185,Capa!$A:$Z,BG$5,0))))</f>
        <v/>
      </c>
      <c r="BH187" s="124" t="str">
        <f>IF(BH$6="","",IF(BH$3="Maior",iferror(VLOOKUP($R185,Capa!$A:$Z,BH$5,0),0),IF(ISERROR(1/VLOOKUP($R185,Capa!$A:$Z,BH$5,0)),0,1/VLOOKUP($R185,Capa!$A:$Z,BH$5,0))))</f>
        <v/>
      </c>
      <c r="BI187" s="124" t="str">
        <f>IF(BI$6="","",IF(BI$3="Maior",iferror(VLOOKUP($R185,Capa!$A:$Z,BI$5,0),0),IF(ISERROR(1/VLOOKUP($R185,Capa!$A:$Z,BI$5,0)),0,1/VLOOKUP($R185,Capa!$A:$Z,BI$5,0))))</f>
        <v/>
      </c>
      <c r="BJ187" s="124" t="str">
        <f>IF(BJ$6="","",IF(BJ$3="Maior",iferror(VLOOKUP($R185,Capa!$A:$Z,BJ$5,0),0),IF(ISERROR(1/VLOOKUP($R185,Capa!$A:$Z,BJ$5,0)),0,1/VLOOKUP($R185,Capa!$A:$Z,BJ$5,0))))</f>
        <v/>
      </c>
      <c r="BK187" s="124" t="str">
        <f>IF(BK$6="","",IF(BK$3="Maior",iferror(VLOOKUP($R185,Capa!$A:$Z,BK$5,0),0),IF(ISERROR(1/VLOOKUP($R185,Capa!$A:$Z,BK$5,0)),0,1/VLOOKUP($R185,Capa!$A:$Z,BK$5,0))))</f>
        <v/>
      </c>
      <c r="BL187" s="124" t="str">
        <f>IF(BL$6="","",IF(BL$3="Maior",iferror(VLOOKUP($R185,Capa!$A:$Z,BL$5,0),0),IF(ISERROR(1/VLOOKUP($R185,Capa!$A:$Z,BL$5,0)),0,1/VLOOKUP($R185,Capa!$A:$Z,BL$5,0))))</f>
        <v/>
      </c>
      <c r="BM187" s="124" t="str">
        <f>IF(BM$6="","",IF(BM$3="Maior",iferror(VLOOKUP($R185,Capa!$A:$Z,BM$5,0),0),IF(ISERROR(1/VLOOKUP($R185,Capa!$A:$Z,BM$5,0)),0,1/VLOOKUP($R185,Capa!$A:$Z,BM$5,0))))</f>
        <v/>
      </c>
      <c r="BN187" s="124" t="str">
        <f>IF(BN$6="","",IF(BN$3="Maior",iferror(VLOOKUP($R185,Capa!$A:$Z,BN$5,0),0),IF(ISERROR(1/VLOOKUP($R185,Capa!$A:$Z,BN$5,0)),0,1/VLOOKUP($R185,Capa!$A:$Z,BN$5,0))))</f>
        <v/>
      </c>
      <c r="BO187" s="124" t="str">
        <f>IF(BO$6="","",IF(BO$3="Maior",iferror(VLOOKUP($R185,Capa!$A:$Z,BO$5,0),0),IF(ISERROR(1/VLOOKUP($R185,Capa!$A:$Z,BO$5,0)),0,1/VLOOKUP($R185,Capa!$A:$Z,BO$5,0))))</f>
        <v/>
      </c>
      <c r="BP187" s="124" t="str">
        <f>IF(BP$6="","",IF(BP$3="Maior",iferror(VLOOKUP($R185,Capa!$A:$Z,BP$5,0),0),IF(ISERROR(1/VLOOKUP($R185,Capa!$A:$Z,BP$5,0)),0,1/VLOOKUP($R185,Capa!$A:$Z,BP$5,0))))</f>
        <v/>
      </c>
      <c r="BQ187" s="124" t="str">
        <f>IF(BQ$6="","",IF(BQ$3="Maior",iferror(VLOOKUP($R185,Capa!$A:$Z,BQ$5,0),0),IF(ISERROR(1/VLOOKUP($R185,Capa!$A:$Z,BQ$5,0)),0,1/VLOOKUP($R185,Capa!$A:$Z,BQ$5,0))))</f>
        <v/>
      </c>
      <c r="BR187" s="125" t="str">
        <f>IF(BR$6="","",IF(BR$3="Maior",iferror(VLOOKUP($R185,Capa!$A:$Z,BR$5,0),0),IF(ISERROR(1/VLOOKUP($R185,Capa!$A:$Z,BR$5,0)),0,1/VLOOKUP($R185,Capa!$A:$Z,BR$5,0))))</f>
        <v/>
      </c>
      <c r="BS187" s="88"/>
    </row>
    <row r="188">
      <c r="G188" s="9"/>
      <c r="H188" s="7"/>
      <c r="I188" s="111"/>
      <c r="J188" s="112"/>
      <c r="K188" s="113"/>
      <c r="L188" s="113"/>
      <c r="M188" s="141"/>
      <c r="N188" s="141"/>
      <c r="O188" s="9"/>
      <c r="P188" s="9"/>
      <c r="Q188" s="9"/>
      <c r="R188" s="126" t="s">
        <v>217</v>
      </c>
      <c r="S188" s="116">
        <f t="shared" si="13"/>
        <v>1239.014891</v>
      </c>
      <c r="T188" s="117">
        <f>MID(VLOOKUP($R188,'Dados ClubeFII'!$A:$AU,23,0),3,100)/1</f>
        <v>862067.53</v>
      </c>
      <c r="U188" s="118">
        <f t="shared" si="14"/>
        <v>148.0148</v>
      </c>
      <c r="V188" s="118">
        <f t="shared" si="15"/>
        <v>91.000091</v>
      </c>
      <c r="W188" s="118" t="str">
        <f t="shared" ref="W188:AS188" si="197">IF(AV188="","", RANK(AV188,AV$7:AV$405,0))</f>
        <v/>
      </c>
      <c r="X188" s="118" t="str">
        <f t="shared" si="197"/>
        <v/>
      </c>
      <c r="Y188" s="118" t="str">
        <f t="shared" si="197"/>
        <v/>
      </c>
      <c r="Z188" s="118" t="str">
        <f t="shared" si="197"/>
        <v/>
      </c>
      <c r="AA188" s="118" t="str">
        <f t="shared" si="197"/>
        <v/>
      </c>
      <c r="AB188" s="118" t="str">
        <f t="shared" si="197"/>
        <v/>
      </c>
      <c r="AC188" s="118" t="str">
        <f t="shared" si="197"/>
        <v/>
      </c>
      <c r="AD188" s="118" t="str">
        <f t="shared" si="197"/>
        <v/>
      </c>
      <c r="AE188" s="118" t="str">
        <f t="shared" si="197"/>
        <v/>
      </c>
      <c r="AF188" s="118" t="str">
        <f t="shared" si="197"/>
        <v/>
      </c>
      <c r="AG188" s="118" t="str">
        <f t="shared" si="197"/>
        <v/>
      </c>
      <c r="AH188" s="118" t="str">
        <f t="shared" si="197"/>
        <v/>
      </c>
      <c r="AI188" s="118" t="str">
        <f t="shared" si="197"/>
        <v/>
      </c>
      <c r="AJ188" s="118" t="str">
        <f t="shared" si="197"/>
        <v/>
      </c>
      <c r="AK188" s="118" t="str">
        <f t="shared" si="197"/>
        <v/>
      </c>
      <c r="AL188" s="118" t="str">
        <f t="shared" si="197"/>
        <v/>
      </c>
      <c r="AM188" s="118" t="str">
        <f t="shared" si="197"/>
        <v/>
      </c>
      <c r="AN188" s="118" t="str">
        <f t="shared" si="197"/>
        <v/>
      </c>
      <c r="AO188" s="118" t="str">
        <f t="shared" si="197"/>
        <v/>
      </c>
      <c r="AP188" s="118" t="str">
        <f t="shared" si="197"/>
        <v/>
      </c>
      <c r="AQ188" s="118" t="str">
        <f t="shared" si="197"/>
        <v/>
      </c>
      <c r="AR188" s="118" t="str">
        <f t="shared" si="197"/>
        <v/>
      </c>
      <c r="AS188" s="118" t="str">
        <f t="shared" si="197"/>
        <v/>
      </c>
      <c r="AT188" s="123">
        <f>IF(AT$6="","",IF(AT$3="Maior",iferror(VLOOKUP($R188,Capa!$A:$Z,AT$5,0),0),IF(ISERROR(1/VLOOKUP($R188,Capa!$A:$Z,AT$5,0)),0,1/VLOOKUP($R188,Capa!$A:$Z,AT$5,0))))</f>
        <v>1.077295987</v>
      </c>
      <c r="AU188" s="124">
        <f>IF(AU$6="","",IF(AU$3="Maior",iferror(VLOOKUP($R188,Capa!$A:$Z,AU$5,0),0),IF(ISERROR(1/VLOOKUP($R188,Capa!$A:$Z,AU$5,0)),0,1/VLOOKUP($R188,Capa!$A:$Z,AU$5,0))))</f>
        <v>0.11168625</v>
      </c>
      <c r="AV188" s="124" t="str">
        <f>IF(AV$6="","",IF(AV$3="Maior",iferror(VLOOKUP($R186,Capa!$A:$Z,AV$5,0),0),IF(ISERROR(1/VLOOKUP($R186,Capa!$A:$Z,AV$5,0)),0,1/VLOOKUP($R186,Capa!$A:$Z,AV$5,0))))</f>
        <v/>
      </c>
      <c r="AW188" s="124" t="str">
        <f>IF(AW$6="","",IF(AW$3="Maior",iferror(VLOOKUP($R186,Capa!$A:$Z,AW$5,0),0),IF(ISERROR(1/VLOOKUP($R186,Capa!$A:$Z,AW$5,0)),0,1/VLOOKUP($R186,Capa!$A:$Z,AW$5,0))))</f>
        <v/>
      </c>
      <c r="AX188" s="124" t="str">
        <f>IF(AX$6="","",IF(AX$3="Maior",iferror(VLOOKUP($R186,Capa!$A:$Z,AX$5,0),0),IF(ISERROR(1/VLOOKUP($R186,Capa!$A:$Z,AX$5,0)),0,1/VLOOKUP($R186,Capa!$A:$Z,AX$5,0))))</f>
        <v/>
      </c>
      <c r="AY188" s="124" t="str">
        <f>IF(AY$6="","",IF(AY$3="Maior",iferror(VLOOKUP($R186,Capa!$A:$Z,AY$5,0),0),IF(ISERROR(1/VLOOKUP($R186,Capa!$A:$Z,AY$5,0)),0,1/VLOOKUP($R186,Capa!$A:$Z,AY$5,0))))</f>
        <v/>
      </c>
      <c r="AZ188" s="124" t="str">
        <f>IF(AZ$6="","",IF(AZ$3="Maior",iferror(VLOOKUP($R186,Capa!$A:$Z,AZ$5,0),0),IF(ISERROR(1/VLOOKUP($R186,Capa!$A:$Z,AZ$5,0)),0,1/VLOOKUP($R186,Capa!$A:$Z,AZ$5,0))))</f>
        <v/>
      </c>
      <c r="BA188" s="124" t="str">
        <f>IF(BA$6="","",IF(BA$3="Maior",iferror(VLOOKUP($R186,Capa!$A:$Z,BA$5,0),0),IF(ISERROR(1/VLOOKUP($R186,Capa!$A:$Z,BA$5,0)),0,1/VLOOKUP($R186,Capa!$A:$Z,BA$5,0))))</f>
        <v/>
      </c>
      <c r="BB188" s="124" t="str">
        <f>IF(BB$6="","",IF(BB$3="Maior",iferror(VLOOKUP($R186,Capa!$A:$Z,BB$5,0),0),IF(ISERROR(1/VLOOKUP($R186,Capa!$A:$Z,BB$5,0)),0,1/VLOOKUP($R186,Capa!$A:$Z,BB$5,0))))</f>
        <v/>
      </c>
      <c r="BC188" s="124" t="str">
        <f>IF(BC$6="","",IF(BC$3="Maior",iferror(VLOOKUP($R186,Capa!$A:$Z,BC$5,0),0),IF(ISERROR(1/VLOOKUP($R186,Capa!$A:$Z,BC$5,0)),0,1/VLOOKUP($R186,Capa!$A:$Z,BC$5,0))))</f>
        <v/>
      </c>
      <c r="BD188" s="124" t="str">
        <f>IF(BD$6="","",IF(BD$3="Maior",iferror(VLOOKUP($R186,Capa!$A:$Z,BD$5,0),0),IF(ISERROR(1/VLOOKUP($R186,Capa!$A:$Z,BD$5,0)),0,1/VLOOKUP($R186,Capa!$A:$Z,BD$5,0))))</f>
        <v/>
      </c>
      <c r="BE188" s="124" t="str">
        <f>IF(BE$6="","",IF(BE$3="Maior",iferror(VLOOKUP($R186,Capa!$A:$Z,BE$5,0),0),IF(ISERROR(1/VLOOKUP($R186,Capa!$A:$Z,BE$5,0)),0,1/VLOOKUP($R186,Capa!$A:$Z,BE$5,0))))</f>
        <v/>
      </c>
      <c r="BF188" s="124" t="str">
        <f>IF(BF$6="","",IF(BF$3="Maior",iferror(VLOOKUP($R186,Capa!$A:$Z,BF$5,0),0),IF(ISERROR(1/VLOOKUP($R186,Capa!$A:$Z,BF$5,0)),0,1/VLOOKUP($R186,Capa!$A:$Z,BF$5,0))))</f>
        <v/>
      </c>
      <c r="BG188" s="124" t="str">
        <f>IF(BG$6="","",IF(BG$3="Maior",iferror(VLOOKUP($R186,Capa!$A:$Z,BG$5,0),0),IF(ISERROR(1/VLOOKUP($R186,Capa!$A:$Z,BG$5,0)),0,1/VLOOKUP($R186,Capa!$A:$Z,BG$5,0))))</f>
        <v/>
      </c>
      <c r="BH188" s="124" t="str">
        <f>IF(BH$6="","",IF(BH$3="Maior",iferror(VLOOKUP($R186,Capa!$A:$Z,BH$5,0),0),IF(ISERROR(1/VLOOKUP($R186,Capa!$A:$Z,BH$5,0)),0,1/VLOOKUP($R186,Capa!$A:$Z,BH$5,0))))</f>
        <v/>
      </c>
      <c r="BI188" s="124" t="str">
        <f>IF(BI$6="","",IF(BI$3="Maior",iferror(VLOOKUP($R186,Capa!$A:$Z,BI$5,0),0),IF(ISERROR(1/VLOOKUP($R186,Capa!$A:$Z,BI$5,0)),0,1/VLOOKUP($R186,Capa!$A:$Z,BI$5,0))))</f>
        <v/>
      </c>
      <c r="BJ188" s="124" t="str">
        <f>IF(BJ$6="","",IF(BJ$3="Maior",iferror(VLOOKUP($R186,Capa!$A:$Z,BJ$5,0),0),IF(ISERROR(1/VLOOKUP($R186,Capa!$A:$Z,BJ$5,0)),0,1/VLOOKUP($R186,Capa!$A:$Z,BJ$5,0))))</f>
        <v/>
      </c>
      <c r="BK188" s="124" t="str">
        <f>IF(BK$6="","",IF(BK$3="Maior",iferror(VLOOKUP($R186,Capa!$A:$Z,BK$5,0),0),IF(ISERROR(1/VLOOKUP($R186,Capa!$A:$Z,BK$5,0)),0,1/VLOOKUP($R186,Capa!$A:$Z,BK$5,0))))</f>
        <v/>
      </c>
      <c r="BL188" s="124" t="str">
        <f>IF(BL$6="","",IF(BL$3="Maior",iferror(VLOOKUP($R186,Capa!$A:$Z,BL$5,0),0),IF(ISERROR(1/VLOOKUP($R186,Capa!$A:$Z,BL$5,0)),0,1/VLOOKUP($R186,Capa!$A:$Z,BL$5,0))))</f>
        <v/>
      </c>
      <c r="BM188" s="124" t="str">
        <f>IF(BM$6="","",IF(BM$3="Maior",iferror(VLOOKUP($R186,Capa!$A:$Z,BM$5,0),0),IF(ISERROR(1/VLOOKUP($R186,Capa!$A:$Z,BM$5,0)),0,1/VLOOKUP($R186,Capa!$A:$Z,BM$5,0))))</f>
        <v/>
      </c>
      <c r="BN188" s="124" t="str">
        <f>IF(BN$6="","",IF(BN$3="Maior",iferror(VLOOKUP($R186,Capa!$A:$Z,BN$5,0),0),IF(ISERROR(1/VLOOKUP($R186,Capa!$A:$Z,BN$5,0)),0,1/VLOOKUP($R186,Capa!$A:$Z,BN$5,0))))</f>
        <v/>
      </c>
      <c r="BO188" s="124" t="str">
        <f>IF(BO$6="","",IF(BO$3="Maior",iferror(VLOOKUP($R186,Capa!$A:$Z,BO$5,0),0),IF(ISERROR(1/VLOOKUP($R186,Capa!$A:$Z,BO$5,0)),0,1/VLOOKUP($R186,Capa!$A:$Z,BO$5,0))))</f>
        <v/>
      </c>
      <c r="BP188" s="124" t="str">
        <f>IF(BP$6="","",IF(BP$3="Maior",iferror(VLOOKUP($R186,Capa!$A:$Z,BP$5,0),0),IF(ISERROR(1/VLOOKUP($R186,Capa!$A:$Z,BP$5,0)),0,1/VLOOKUP($R186,Capa!$A:$Z,BP$5,0))))</f>
        <v/>
      </c>
      <c r="BQ188" s="124" t="str">
        <f>IF(BQ$6="","",IF(BQ$3="Maior",iferror(VLOOKUP($R186,Capa!$A:$Z,BQ$5,0),0),IF(ISERROR(1/VLOOKUP($R186,Capa!$A:$Z,BQ$5,0)),0,1/VLOOKUP($R186,Capa!$A:$Z,BQ$5,0))))</f>
        <v/>
      </c>
      <c r="BR188" s="125" t="str">
        <f>IF(BR$6="","",IF(BR$3="Maior",iferror(VLOOKUP($R186,Capa!$A:$Z,BR$5,0),0),IF(ISERROR(1/VLOOKUP($R186,Capa!$A:$Z,BR$5,0)),0,1/VLOOKUP($R186,Capa!$A:$Z,BR$5,0))))</f>
        <v/>
      </c>
      <c r="BS188" s="88"/>
    </row>
    <row r="189">
      <c r="G189" s="9"/>
      <c r="H189" s="7"/>
      <c r="I189" s="111"/>
      <c r="J189" s="112"/>
      <c r="K189" s="113"/>
      <c r="L189" s="113"/>
      <c r="M189" s="141"/>
      <c r="N189" s="141"/>
      <c r="O189" s="9"/>
      <c r="P189" s="9"/>
      <c r="Q189" s="9"/>
      <c r="R189" s="126" t="s">
        <v>218</v>
      </c>
      <c r="S189" s="116">
        <f t="shared" si="13"/>
        <v>187.015136</v>
      </c>
      <c r="T189" s="117">
        <f>MID(VLOOKUP($R189,'Dados ClubeFII'!$A:$AU,23,0),3,100)/1</f>
        <v>1120067.37</v>
      </c>
      <c r="U189" s="118">
        <f t="shared" si="14"/>
        <v>151.0151</v>
      </c>
      <c r="V189" s="118">
        <f t="shared" si="15"/>
        <v>36.000036</v>
      </c>
      <c r="W189" s="118" t="str">
        <f t="shared" ref="W189:AS189" si="198">IF(AV189="","", RANK(AV189,AV$7:AV$405,0))</f>
        <v/>
      </c>
      <c r="X189" s="118" t="str">
        <f t="shared" si="198"/>
        <v/>
      </c>
      <c r="Y189" s="118" t="str">
        <f t="shared" si="198"/>
        <v/>
      </c>
      <c r="Z189" s="118" t="str">
        <f t="shared" si="198"/>
        <v/>
      </c>
      <c r="AA189" s="118" t="str">
        <f t="shared" si="198"/>
        <v/>
      </c>
      <c r="AB189" s="118" t="str">
        <f t="shared" si="198"/>
        <v/>
      </c>
      <c r="AC189" s="118" t="str">
        <f t="shared" si="198"/>
        <v/>
      </c>
      <c r="AD189" s="118" t="str">
        <f t="shared" si="198"/>
        <v/>
      </c>
      <c r="AE189" s="118" t="str">
        <f t="shared" si="198"/>
        <v/>
      </c>
      <c r="AF189" s="118" t="str">
        <f t="shared" si="198"/>
        <v/>
      </c>
      <c r="AG189" s="118" t="str">
        <f t="shared" si="198"/>
        <v/>
      </c>
      <c r="AH189" s="118" t="str">
        <f t="shared" si="198"/>
        <v/>
      </c>
      <c r="AI189" s="118" t="str">
        <f t="shared" si="198"/>
        <v/>
      </c>
      <c r="AJ189" s="118" t="str">
        <f t="shared" si="198"/>
        <v/>
      </c>
      <c r="AK189" s="118" t="str">
        <f t="shared" si="198"/>
        <v/>
      </c>
      <c r="AL189" s="118" t="str">
        <f t="shared" si="198"/>
        <v/>
      </c>
      <c r="AM189" s="118" t="str">
        <f t="shared" si="198"/>
        <v/>
      </c>
      <c r="AN189" s="118" t="str">
        <f t="shared" si="198"/>
        <v/>
      </c>
      <c r="AO189" s="118" t="str">
        <f t="shared" si="198"/>
        <v/>
      </c>
      <c r="AP189" s="118" t="str">
        <f t="shared" si="198"/>
        <v/>
      </c>
      <c r="AQ189" s="118" t="str">
        <f t="shared" si="198"/>
        <v/>
      </c>
      <c r="AR189" s="118" t="str">
        <f t="shared" si="198"/>
        <v/>
      </c>
      <c r="AS189" s="118" t="str">
        <f t="shared" si="198"/>
        <v/>
      </c>
      <c r="AT189" s="123">
        <f>IF(AT$6="","",IF(AT$3="Maior",iferror(VLOOKUP($R189,Capa!$A:$Z,AT$5,0),0),IF(ISERROR(1/VLOOKUP($R189,Capa!$A:$Z,AT$5,0)),0,1/VLOOKUP($R189,Capa!$A:$Z,AT$5,0))))</f>
        <v>1.064593301</v>
      </c>
      <c r="AU189" s="124">
        <f>IF(AU$6="","",IF(AU$3="Maior",iferror(VLOOKUP($R189,Capa!$A:$Z,AU$5,0),0),IF(ISERROR(1/VLOOKUP($R189,Capa!$A:$Z,AU$5,0)),0,1/VLOOKUP($R189,Capa!$A:$Z,AU$5,0))))</f>
        <v>0.1455460674</v>
      </c>
      <c r="AV189" s="124" t="str">
        <f>IF(AV$6="","",IF(AV$3="Maior",iferror(VLOOKUP($R187,Capa!$A:$Z,AV$5,0),0),IF(ISERROR(1/VLOOKUP($R187,Capa!$A:$Z,AV$5,0)),0,1/VLOOKUP($R187,Capa!$A:$Z,AV$5,0))))</f>
        <v/>
      </c>
      <c r="AW189" s="124" t="str">
        <f>IF(AW$6="","",IF(AW$3="Maior",iferror(VLOOKUP($R187,Capa!$A:$Z,AW$5,0),0),IF(ISERROR(1/VLOOKUP($R187,Capa!$A:$Z,AW$5,0)),0,1/VLOOKUP($R187,Capa!$A:$Z,AW$5,0))))</f>
        <v/>
      </c>
      <c r="AX189" s="124" t="str">
        <f>IF(AX$6="","",IF(AX$3="Maior",iferror(VLOOKUP($R187,Capa!$A:$Z,AX$5,0),0),IF(ISERROR(1/VLOOKUP($R187,Capa!$A:$Z,AX$5,0)),0,1/VLOOKUP($R187,Capa!$A:$Z,AX$5,0))))</f>
        <v/>
      </c>
      <c r="AY189" s="124" t="str">
        <f>IF(AY$6="","",IF(AY$3="Maior",iferror(VLOOKUP($R187,Capa!$A:$Z,AY$5,0),0),IF(ISERROR(1/VLOOKUP($R187,Capa!$A:$Z,AY$5,0)),0,1/VLOOKUP($R187,Capa!$A:$Z,AY$5,0))))</f>
        <v/>
      </c>
      <c r="AZ189" s="124" t="str">
        <f>IF(AZ$6="","",IF(AZ$3="Maior",iferror(VLOOKUP($R187,Capa!$A:$Z,AZ$5,0),0),IF(ISERROR(1/VLOOKUP($R187,Capa!$A:$Z,AZ$5,0)),0,1/VLOOKUP($R187,Capa!$A:$Z,AZ$5,0))))</f>
        <v/>
      </c>
      <c r="BA189" s="124" t="str">
        <f>IF(BA$6="","",IF(BA$3="Maior",iferror(VLOOKUP($R187,Capa!$A:$Z,BA$5,0),0),IF(ISERROR(1/VLOOKUP($R187,Capa!$A:$Z,BA$5,0)),0,1/VLOOKUP($R187,Capa!$A:$Z,BA$5,0))))</f>
        <v/>
      </c>
      <c r="BB189" s="124" t="str">
        <f>IF(BB$6="","",IF(BB$3="Maior",iferror(VLOOKUP($R187,Capa!$A:$Z,BB$5,0),0),IF(ISERROR(1/VLOOKUP($R187,Capa!$A:$Z,BB$5,0)),0,1/VLOOKUP($R187,Capa!$A:$Z,BB$5,0))))</f>
        <v/>
      </c>
      <c r="BC189" s="124" t="str">
        <f>IF(BC$6="","",IF(BC$3="Maior",iferror(VLOOKUP($R187,Capa!$A:$Z,BC$5,0),0),IF(ISERROR(1/VLOOKUP($R187,Capa!$A:$Z,BC$5,0)),0,1/VLOOKUP($R187,Capa!$A:$Z,BC$5,0))))</f>
        <v/>
      </c>
      <c r="BD189" s="124" t="str">
        <f>IF(BD$6="","",IF(BD$3="Maior",iferror(VLOOKUP($R187,Capa!$A:$Z,BD$5,0),0),IF(ISERROR(1/VLOOKUP($R187,Capa!$A:$Z,BD$5,0)),0,1/VLOOKUP($R187,Capa!$A:$Z,BD$5,0))))</f>
        <v/>
      </c>
      <c r="BE189" s="124" t="str">
        <f>IF(BE$6="","",IF(BE$3="Maior",iferror(VLOOKUP($R187,Capa!$A:$Z,BE$5,0),0),IF(ISERROR(1/VLOOKUP($R187,Capa!$A:$Z,BE$5,0)),0,1/VLOOKUP($R187,Capa!$A:$Z,BE$5,0))))</f>
        <v/>
      </c>
      <c r="BF189" s="124" t="str">
        <f>IF(BF$6="","",IF(BF$3="Maior",iferror(VLOOKUP($R187,Capa!$A:$Z,BF$5,0),0),IF(ISERROR(1/VLOOKUP($R187,Capa!$A:$Z,BF$5,0)),0,1/VLOOKUP($R187,Capa!$A:$Z,BF$5,0))))</f>
        <v/>
      </c>
      <c r="BG189" s="124" t="str">
        <f>IF(BG$6="","",IF(BG$3="Maior",iferror(VLOOKUP($R187,Capa!$A:$Z,BG$5,0),0),IF(ISERROR(1/VLOOKUP($R187,Capa!$A:$Z,BG$5,0)),0,1/VLOOKUP($R187,Capa!$A:$Z,BG$5,0))))</f>
        <v/>
      </c>
      <c r="BH189" s="124" t="str">
        <f>IF(BH$6="","",IF(BH$3="Maior",iferror(VLOOKUP($R187,Capa!$A:$Z,BH$5,0),0),IF(ISERROR(1/VLOOKUP($R187,Capa!$A:$Z,BH$5,0)),0,1/VLOOKUP($R187,Capa!$A:$Z,BH$5,0))))</f>
        <v/>
      </c>
      <c r="BI189" s="124" t="str">
        <f>IF(BI$6="","",IF(BI$3="Maior",iferror(VLOOKUP($R187,Capa!$A:$Z,BI$5,0),0),IF(ISERROR(1/VLOOKUP($R187,Capa!$A:$Z,BI$5,0)),0,1/VLOOKUP($R187,Capa!$A:$Z,BI$5,0))))</f>
        <v/>
      </c>
      <c r="BJ189" s="124" t="str">
        <f>IF(BJ$6="","",IF(BJ$3="Maior",iferror(VLOOKUP($R187,Capa!$A:$Z,BJ$5,0),0),IF(ISERROR(1/VLOOKUP($R187,Capa!$A:$Z,BJ$5,0)),0,1/VLOOKUP($R187,Capa!$A:$Z,BJ$5,0))))</f>
        <v/>
      </c>
      <c r="BK189" s="124" t="str">
        <f>IF(BK$6="","",IF(BK$3="Maior",iferror(VLOOKUP($R187,Capa!$A:$Z,BK$5,0),0),IF(ISERROR(1/VLOOKUP($R187,Capa!$A:$Z,BK$5,0)),0,1/VLOOKUP($R187,Capa!$A:$Z,BK$5,0))))</f>
        <v/>
      </c>
      <c r="BL189" s="124" t="str">
        <f>IF(BL$6="","",IF(BL$3="Maior",iferror(VLOOKUP($R187,Capa!$A:$Z,BL$5,0),0),IF(ISERROR(1/VLOOKUP($R187,Capa!$A:$Z,BL$5,0)),0,1/VLOOKUP($R187,Capa!$A:$Z,BL$5,0))))</f>
        <v/>
      </c>
      <c r="BM189" s="124" t="str">
        <f>IF(BM$6="","",IF(BM$3="Maior",iferror(VLOOKUP($R187,Capa!$A:$Z,BM$5,0),0),IF(ISERROR(1/VLOOKUP($R187,Capa!$A:$Z,BM$5,0)),0,1/VLOOKUP($R187,Capa!$A:$Z,BM$5,0))))</f>
        <v/>
      </c>
      <c r="BN189" s="124" t="str">
        <f>IF(BN$6="","",IF(BN$3="Maior",iferror(VLOOKUP($R187,Capa!$A:$Z,BN$5,0),0),IF(ISERROR(1/VLOOKUP($R187,Capa!$A:$Z,BN$5,0)),0,1/VLOOKUP($R187,Capa!$A:$Z,BN$5,0))))</f>
        <v/>
      </c>
      <c r="BO189" s="124" t="str">
        <f>IF(BO$6="","",IF(BO$3="Maior",iferror(VLOOKUP($R187,Capa!$A:$Z,BO$5,0),0),IF(ISERROR(1/VLOOKUP($R187,Capa!$A:$Z,BO$5,0)),0,1/VLOOKUP($R187,Capa!$A:$Z,BO$5,0))))</f>
        <v/>
      </c>
      <c r="BP189" s="124" t="str">
        <f>IF(BP$6="","",IF(BP$3="Maior",iferror(VLOOKUP($R187,Capa!$A:$Z,BP$5,0),0),IF(ISERROR(1/VLOOKUP($R187,Capa!$A:$Z,BP$5,0)),0,1/VLOOKUP($R187,Capa!$A:$Z,BP$5,0))))</f>
        <v/>
      </c>
      <c r="BQ189" s="124" t="str">
        <f>IF(BQ$6="","",IF(BQ$3="Maior",iferror(VLOOKUP($R187,Capa!$A:$Z,BQ$5,0),0),IF(ISERROR(1/VLOOKUP($R187,Capa!$A:$Z,BQ$5,0)),0,1/VLOOKUP($R187,Capa!$A:$Z,BQ$5,0))))</f>
        <v/>
      </c>
      <c r="BR189" s="125" t="str">
        <f>IF(BR$6="","",IF(BR$3="Maior",iferror(VLOOKUP($R187,Capa!$A:$Z,BR$5,0),0),IF(ISERROR(1/VLOOKUP($R187,Capa!$A:$Z,BR$5,0)),0,1/VLOOKUP($R187,Capa!$A:$Z,BR$5,0))))</f>
        <v/>
      </c>
      <c r="BS189" s="88"/>
    </row>
    <row r="190">
      <c r="G190" s="9"/>
      <c r="H190" s="7"/>
      <c r="I190" s="111"/>
      <c r="J190" s="112"/>
      <c r="K190" s="113"/>
      <c r="L190" s="113"/>
      <c r="M190" s="141"/>
      <c r="N190" s="141"/>
      <c r="O190" s="9"/>
      <c r="P190" s="9"/>
      <c r="Q190" s="9"/>
      <c r="R190" s="126" t="s">
        <v>219</v>
      </c>
      <c r="S190" s="116">
        <f t="shared" si="13"/>
        <v>1181.014239</v>
      </c>
      <c r="T190" s="117">
        <f>MID(VLOOKUP($R190,'Dados ClubeFII'!$A:$AU,23,0),3,100)/1</f>
        <v>285904.64</v>
      </c>
      <c r="U190" s="118">
        <f t="shared" si="14"/>
        <v>142.0142</v>
      </c>
      <c r="V190" s="118">
        <f t="shared" si="15"/>
        <v>39.000039</v>
      </c>
      <c r="W190" s="118" t="str">
        <f t="shared" ref="W190:AS190" si="199">IF(AV190="","", RANK(AV190,AV$7:AV$405,0))</f>
        <v/>
      </c>
      <c r="X190" s="118" t="str">
        <f t="shared" si="199"/>
        <v/>
      </c>
      <c r="Y190" s="118" t="str">
        <f t="shared" si="199"/>
        <v/>
      </c>
      <c r="Z190" s="118" t="str">
        <f t="shared" si="199"/>
        <v/>
      </c>
      <c r="AA190" s="118" t="str">
        <f t="shared" si="199"/>
        <v/>
      </c>
      <c r="AB190" s="118" t="str">
        <f t="shared" si="199"/>
        <v/>
      </c>
      <c r="AC190" s="118" t="str">
        <f t="shared" si="199"/>
        <v/>
      </c>
      <c r="AD190" s="118" t="str">
        <f t="shared" si="199"/>
        <v/>
      </c>
      <c r="AE190" s="118" t="str">
        <f t="shared" si="199"/>
        <v/>
      </c>
      <c r="AF190" s="118" t="str">
        <f t="shared" si="199"/>
        <v/>
      </c>
      <c r="AG190" s="118" t="str">
        <f t="shared" si="199"/>
        <v/>
      </c>
      <c r="AH190" s="118" t="str">
        <f t="shared" si="199"/>
        <v/>
      </c>
      <c r="AI190" s="118" t="str">
        <f t="shared" si="199"/>
        <v/>
      </c>
      <c r="AJ190" s="118" t="str">
        <f t="shared" si="199"/>
        <v/>
      </c>
      <c r="AK190" s="118" t="str">
        <f t="shared" si="199"/>
        <v/>
      </c>
      <c r="AL190" s="118" t="str">
        <f t="shared" si="199"/>
        <v/>
      </c>
      <c r="AM190" s="118" t="str">
        <f t="shared" si="199"/>
        <v/>
      </c>
      <c r="AN190" s="118" t="str">
        <f t="shared" si="199"/>
        <v/>
      </c>
      <c r="AO190" s="118" t="str">
        <f t="shared" si="199"/>
        <v/>
      </c>
      <c r="AP190" s="118" t="str">
        <f t="shared" si="199"/>
        <v/>
      </c>
      <c r="AQ190" s="118" t="str">
        <f t="shared" si="199"/>
        <v/>
      </c>
      <c r="AR190" s="118" t="str">
        <f t="shared" si="199"/>
        <v/>
      </c>
      <c r="AS190" s="118" t="str">
        <f t="shared" si="199"/>
        <v/>
      </c>
      <c r="AT190" s="123">
        <f>IF(AT$6="","",IF(AT$3="Maior",iferror(VLOOKUP($R190,Capa!$A:$Z,AT$5,0),0),IF(ISERROR(1/VLOOKUP($R190,Capa!$A:$Z,AT$5,0)),0,1/VLOOKUP($R190,Capa!$A:$Z,AT$5,0))))</f>
        <v>1.08994709</v>
      </c>
      <c r="AU190" s="124">
        <f>IF(AU$6="","",IF(AU$3="Maior",iferror(VLOOKUP($R190,Capa!$A:$Z,AU$5,0),0),IF(ISERROR(1/VLOOKUP($R190,Capa!$A:$Z,AU$5,0)),0,1/VLOOKUP($R190,Capa!$A:$Z,AU$5,0))))</f>
        <v>0.1434690067</v>
      </c>
      <c r="AV190" s="124" t="str">
        <f>IF(AV$6="","",IF(AV$3="Maior",iferror(VLOOKUP($R188,Capa!$A:$Z,AV$5,0),0),IF(ISERROR(1/VLOOKUP($R188,Capa!$A:$Z,AV$5,0)),0,1/VLOOKUP($R188,Capa!$A:$Z,AV$5,0))))</f>
        <v/>
      </c>
      <c r="AW190" s="124" t="str">
        <f>IF(AW$6="","",IF(AW$3="Maior",iferror(VLOOKUP($R188,Capa!$A:$Z,AW$5,0),0),IF(ISERROR(1/VLOOKUP($R188,Capa!$A:$Z,AW$5,0)),0,1/VLOOKUP($R188,Capa!$A:$Z,AW$5,0))))</f>
        <v/>
      </c>
      <c r="AX190" s="124" t="str">
        <f>IF(AX$6="","",IF(AX$3="Maior",iferror(VLOOKUP($R188,Capa!$A:$Z,AX$5,0),0),IF(ISERROR(1/VLOOKUP($R188,Capa!$A:$Z,AX$5,0)),0,1/VLOOKUP($R188,Capa!$A:$Z,AX$5,0))))</f>
        <v/>
      </c>
      <c r="AY190" s="124" t="str">
        <f>IF(AY$6="","",IF(AY$3="Maior",iferror(VLOOKUP($R188,Capa!$A:$Z,AY$5,0),0),IF(ISERROR(1/VLOOKUP($R188,Capa!$A:$Z,AY$5,0)),0,1/VLOOKUP($R188,Capa!$A:$Z,AY$5,0))))</f>
        <v/>
      </c>
      <c r="AZ190" s="124" t="str">
        <f>IF(AZ$6="","",IF(AZ$3="Maior",iferror(VLOOKUP($R188,Capa!$A:$Z,AZ$5,0),0),IF(ISERROR(1/VLOOKUP($R188,Capa!$A:$Z,AZ$5,0)),0,1/VLOOKUP($R188,Capa!$A:$Z,AZ$5,0))))</f>
        <v/>
      </c>
      <c r="BA190" s="124" t="str">
        <f>IF(BA$6="","",IF(BA$3="Maior",iferror(VLOOKUP($R188,Capa!$A:$Z,BA$5,0),0),IF(ISERROR(1/VLOOKUP($R188,Capa!$A:$Z,BA$5,0)),0,1/VLOOKUP($R188,Capa!$A:$Z,BA$5,0))))</f>
        <v/>
      </c>
      <c r="BB190" s="124" t="str">
        <f>IF(BB$6="","",IF(BB$3="Maior",iferror(VLOOKUP($R188,Capa!$A:$Z,BB$5,0),0),IF(ISERROR(1/VLOOKUP($R188,Capa!$A:$Z,BB$5,0)),0,1/VLOOKUP($R188,Capa!$A:$Z,BB$5,0))))</f>
        <v/>
      </c>
      <c r="BC190" s="124" t="str">
        <f>IF(BC$6="","",IF(BC$3="Maior",iferror(VLOOKUP($R188,Capa!$A:$Z,BC$5,0),0),IF(ISERROR(1/VLOOKUP($R188,Capa!$A:$Z,BC$5,0)),0,1/VLOOKUP($R188,Capa!$A:$Z,BC$5,0))))</f>
        <v/>
      </c>
      <c r="BD190" s="124" t="str">
        <f>IF(BD$6="","",IF(BD$3="Maior",iferror(VLOOKUP($R188,Capa!$A:$Z,BD$5,0),0),IF(ISERROR(1/VLOOKUP($R188,Capa!$A:$Z,BD$5,0)),0,1/VLOOKUP($R188,Capa!$A:$Z,BD$5,0))))</f>
        <v/>
      </c>
      <c r="BE190" s="124" t="str">
        <f>IF(BE$6="","",IF(BE$3="Maior",iferror(VLOOKUP($R188,Capa!$A:$Z,BE$5,0),0),IF(ISERROR(1/VLOOKUP($R188,Capa!$A:$Z,BE$5,0)),0,1/VLOOKUP($R188,Capa!$A:$Z,BE$5,0))))</f>
        <v/>
      </c>
      <c r="BF190" s="124" t="str">
        <f>IF(BF$6="","",IF(BF$3="Maior",iferror(VLOOKUP($R188,Capa!$A:$Z,BF$5,0),0),IF(ISERROR(1/VLOOKUP($R188,Capa!$A:$Z,BF$5,0)),0,1/VLOOKUP($R188,Capa!$A:$Z,BF$5,0))))</f>
        <v/>
      </c>
      <c r="BG190" s="124" t="str">
        <f>IF(BG$6="","",IF(BG$3="Maior",iferror(VLOOKUP($R188,Capa!$A:$Z,BG$5,0),0),IF(ISERROR(1/VLOOKUP($R188,Capa!$A:$Z,BG$5,0)),0,1/VLOOKUP($R188,Capa!$A:$Z,BG$5,0))))</f>
        <v/>
      </c>
      <c r="BH190" s="124" t="str">
        <f>IF(BH$6="","",IF(BH$3="Maior",iferror(VLOOKUP($R188,Capa!$A:$Z,BH$5,0),0),IF(ISERROR(1/VLOOKUP($R188,Capa!$A:$Z,BH$5,0)),0,1/VLOOKUP($R188,Capa!$A:$Z,BH$5,0))))</f>
        <v/>
      </c>
      <c r="BI190" s="124" t="str">
        <f>IF(BI$6="","",IF(BI$3="Maior",iferror(VLOOKUP($R188,Capa!$A:$Z,BI$5,0),0),IF(ISERROR(1/VLOOKUP($R188,Capa!$A:$Z,BI$5,0)),0,1/VLOOKUP($R188,Capa!$A:$Z,BI$5,0))))</f>
        <v/>
      </c>
      <c r="BJ190" s="124" t="str">
        <f>IF(BJ$6="","",IF(BJ$3="Maior",iferror(VLOOKUP($R188,Capa!$A:$Z,BJ$5,0),0),IF(ISERROR(1/VLOOKUP($R188,Capa!$A:$Z,BJ$5,0)),0,1/VLOOKUP($R188,Capa!$A:$Z,BJ$5,0))))</f>
        <v/>
      </c>
      <c r="BK190" s="124" t="str">
        <f>IF(BK$6="","",IF(BK$3="Maior",iferror(VLOOKUP($R188,Capa!$A:$Z,BK$5,0),0),IF(ISERROR(1/VLOOKUP($R188,Capa!$A:$Z,BK$5,0)),0,1/VLOOKUP($R188,Capa!$A:$Z,BK$5,0))))</f>
        <v/>
      </c>
      <c r="BL190" s="124" t="str">
        <f>IF(BL$6="","",IF(BL$3="Maior",iferror(VLOOKUP($R188,Capa!$A:$Z,BL$5,0),0),IF(ISERROR(1/VLOOKUP($R188,Capa!$A:$Z,BL$5,0)),0,1/VLOOKUP($R188,Capa!$A:$Z,BL$5,0))))</f>
        <v/>
      </c>
      <c r="BM190" s="124" t="str">
        <f>IF(BM$6="","",IF(BM$3="Maior",iferror(VLOOKUP($R188,Capa!$A:$Z,BM$5,0),0),IF(ISERROR(1/VLOOKUP($R188,Capa!$A:$Z,BM$5,0)),0,1/VLOOKUP($R188,Capa!$A:$Z,BM$5,0))))</f>
        <v/>
      </c>
      <c r="BN190" s="124" t="str">
        <f>IF(BN$6="","",IF(BN$3="Maior",iferror(VLOOKUP($R188,Capa!$A:$Z,BN$5,0),0),IF(ISERROR(1/VLOOKUP($R188,Capa!$A:$Z,BN$5,0)),0,1/VLOOKUP($R188,Capa!$A:$Z,BN$5,0))))</f>
        <v/>
      </c>
      <c r="BO190" s="124" t="str">
        <f>IF(BO$6="","",IF(BO$3="Maior",iferror(VLOOKUP($R188,Capa!$A:$Z,BO$5,0),0),IF(ISERROR(1/VLOOKUP($R188,Capa!$A:$Z,BO$5,0)),0,1/VLOOKUP($R188,Capa!$A:$Z,BO$5,0))))</f>
        <v/>
      </c>
      <c r="BP190" s="124" t="str">
        <f>IF(BP$6="","",IF(BP$3="Maior",iferror(VLOOKUP($R188,Capa!$A:$Z,BP$5,0),0),IF(ISERROR(1/VLOOKUP($R188,Capa!$A:$Z,BP$5,0)),0,1/VLOOKUP($R188,Capa!$A:$Z,BP$5,0))))</f>
        <v/>
      </c>
      <c r="BQ190" s="124" t="str">
        <f>IF(BQ$6="","",IF(BQ$3="Maior",iferror(VLOOKUP($R188,Capa!$A:$Z,BQ$5,0),0),IF(ISERROR(1/VLOOKUP($R188,Capa!$A:$Z,BQ$5,0)),0,1/VLOOKUP($R188,Capa!$A:$Z,BQ$5,0))))</f>
        <v/>
      </c>
      <c r="BR190" s="125" t="str">
        <f>IF(BR$6="","",IF(BR$3="Maior",iferror(VLOOKUP($R188,Capa!$A:$Z,BR$5,0),0),IF(ISERROR(1/VLOOKUP($R188,Capa!$A:$Z,BR$5,0)),0,1/VLOOKUP($R188,Capa!$A:$Z,BR$5,0))))</f>
        <v/>
      </c>
      <c r="BS190" s="88"/>
    </row>
    <row r="191">
      <c r="G191" s="9"/>
      <c r="H191" s="7"/>
      <c r="I191" s="111"/>
      <c r="J191" s="112"/>
      <c r="K191" s="113"/>
      <c r="L191" s="113"/>
      <c r="M191" s="141"/>
      <c r="N191" s="141"/>
      <c r="O191" s="9"/>
      <c r="P191" s="9"/>
      <c r="Q191" s="9"/>
      <c r="R191" s="126" t="s">
        <v>220</v>
      </c>
      <c r="S191" s="116">
        <f t="shared" si="13"/>
        <v>1137.013403</v>
      </c>
      <c r="T191" s="117">
        <f>MID(VLOOKUP($R191,'Dados ClubeFII'!$A:$AU,23,0),3,100)/1</f>
        <v>362237.62</v>
      </c>
      <c r="U191" s="118">
        <f t="shared" si="14"/>
        <v>134.0134</v>
      </c>
      <c r="V191" s="118">
        <f t="shared" si="15"/>
        <v>3.000003</v>
      </c>
      <c r="W191" s="118" t="str">
        <f t="shared" ref="W191:AS191" si="200">IF(AV191="","", RANK(AV191,AV$7:AV$405,0))</f>
        <v/>
      </c>
      <c r="X191" s="118" t="str">
        <f t="shared" si="200"/>
        <v/>
      </c>
      <c r="Y191" s="118" t="str">
        <f t="shared" si="200"/>
        <v/>
      </c>
      <c r="Z191" s="118" t="str">
        <f t="shared" si="200"/>
        <v/>
      </c>
      <c r="AA191" s="118" t="str">
        <f t="shared" si="200"/>
        <v/>
      </c>
      <c r="AB191" s="118" t="str">
        <f t="shared" si="200"/>
        <v/>
      </c>
      <c r="AC191" s="118" t="str">
        <f t="shared" si="200"/>
        <v/>
      </c>
      <c r="AD191" s="118" t="str">
        <f t="shared" si="200"/>
        <v/>
      </c>
      <c r="AE191" s="118" t="str">
        <f t="shared" si="200"/>
        <v/>
      </c>
      <c r="AF191" s="118" t="str">
        <f t="shared" si="200"/>
        <v/>
      </c>
      <c r="AG191" s="118" t="str">
        <f t="shared" si="200"/>
        <v/>
      </c>
      <c r="AH191" s="118" t="str">
        <f t="shared" si="200"/>
        <v/>
      </c>
      <c r="AI191" s="118" t="str">
        <f t="shared" si="200"/>
        <v/>
      </c>
      <c r="AJ191" s="118" t="str">
        <f t="shared" si="200"/>
        <v/>
      </c>
      <c r="AK191" s="118" t="str">
        <f t="shared" si="200"/>
        <v/>
      </c>
      <c r="AL191" s="118" t="str">
        <f t="shared" si="200"/>
        <v/>
      </c>
      <c r="AM191" s="118" t="str">
        <f t="shared" si="200"/>
        <v/>
      </c>
      <c r="AN191" s="118" t="str">
        <f t="shared" si="200"/>
        <v/>
      </c>
      <c r="AO191" s="118" t="str">
        <f t="shared" si="200"/>
        <v/>
      </c>
      <c r="AP191" s="118" t="str">
        <f t="shared" si="200"/>
        <v/>
      </c>
      <c r="AQ191" s="118" t="str">
        <f t="shared" si="200"/>
        <v/>
      </c>
      <c r="AR191" s="118" t="str">
        <f t="shared" si="200"/>
        <v/>
      </c>
      <c r="AS191" s="118" t="str">
        <f t="shared" si="200"/>
        <v/>
      </c>
      <c r="AT191" s="123">
        <f>IF(AT$6="","",IF(AT$3="Maior",iferror(VLOOKUP($R191,Capa!$A:$Z,AT$5,0),0),IF(ISERROR(1/VLOOKUP($R191,Capa!$A:$Z,AT$5,0)),0,1/VLOOKUP($R191,Capa!$A:$Z,AT$5,0))))</f>
        <v>1.111887267</v>
      </c>
      <c r="AU191" s="124">
        <f>IF(AU$6="","",IF(AU$3="Maior",iferror(VLOOKUP($R191,Capa!$A:$Z,AU$5,0),0),IF(ISERROR(1/VLOOKUP($R191,Capa!$A:$Z,AU$5,0)),0,1/VLOOKUP($R191,Capa!$A:$Z,AU$5,0))))</f>
        <v>0.1756645253</v>
      </c>
      <c r="AV191" s="124" t="str">
        <f>IF(AV$6="","",IF(AV$3="Maior",iferror(VLOOKUP($R189,Capa!$A:$Z,AV$5,0),0),IF(ISERROR(1/VLOOKUP($R189,Capa!$A:$Z,AV$5,0)),0,1/VLOOKUP($R189,Capa!$A:$Z,AV$5,0))))</f>
        <v/>
      </c>
      <c r="AW191" s="124" t="str">
        <f>IF(AW$6="","",IF(AW$3="Maior",iferror(VLOOKUP($R189,Capa!$A:$Z,AW$5,0),0),IF(ISERROR(1/VLOOKUP($R189,Capa!$A:$Z,AW$5,0)),0,1/VLOOKUP($R189,Capa!$A:$Z,AW$5,0))))</f>
        <v/>
      </c>
      <c r="AX191" s="124" t="str">
        <f>IF(AX$6="","",IF(AX$3="Maior",iferror(VLOOKUP($R189,Capa!$A:$Z,AX$5,0),0),IF(ISERROR(1/VLOOKUP($R189,Capa!$A:$Z,AX$5,0)),0,1/VLOOKUP($R189,Capa!$A:$Z,AX$5,0))))</f>
        <v/>
      </c>
      <c r="AY191" s="124" t="str">
        <f>IF(AY$6="","",IF(AY$3="Maior",iferror(VLOOKUP($R189,Capa!$A:$Z,AY$5,0),0),IF(ISERROR(1/VLOOKUP($R189,Capa!$A:$Z,AY$5,0)),0,1/VLOOKUP($R189,Capa!$A:$Z,AY$5,0))))</f>
        <v/>
      </c>
      <c r="AZ191" s="124" t="str">
        <f>IF(AZ$6="","",IF(AZ$3="Maior",iferror(VLOOKUP($R189,Capa!$A:$Z,AZ$5,0),0),IF(ISERROR(1/VLOOKUP($R189,Capa!$A:$Z,AZ$5,0)),0,1/VLOOKUP($R189,Capa!$A:$Z,AZ$5,0))))</f>
        <v/>
      </c>
      <c r="BA191" s="124" t="str">
        <f>IF(BA$6="","",IF(BA$3="Maior",iferror(VLOOKUP($R189,Capa!$A:$Z,BA$5,0),0),IF(ISERROR(1/VLOOKUP($R189,Capa!$A:$Z,BA$5,0)),0,1/VLOOKUP($R189,Capa!$A:$Z,BA$5,0))))</f>
        <v/>
      </c>
      <c r="BB191" s="124" t="str">
        <f>IF(BB$6="","",IF(BB$3="Maior",iferror(VLOOKUP($R189,Capa!$A:$Z,BB$5,0),0),IF(ISERROR(1/VLOOKUP($R189,Capa!$A:$Z,BB$5,0)),0,1/VLOOKUP($R189,Capa!$A:$Z,BB$5,0))))</f>
        <v/>
      </c>
      <c r="BC191" s="124" t="str">
        <f>IF(BC$6="","",IF(BC$3="Maior",iferror(VLOOKUP($R189,Capa!$A:$Z,BC$5,0),0),IF(ISERROR(1/VLOOKUP($R189,Capa!$A:$Z,BC$5,0)),0,1/VLOOKUP($R189,Capa!$A:$Z,BC$5,0))))</f>
        <v/>
      </c>
      <c r="BD191" s="124" t="str">
        <f>IF(BD$6="","",IF(BD$3="Maior",iferror(VLOOKUP($R189,Capa!$A:$Z,BD$5,0),0),IF(ISERROR(1/VLOOKUP($R189,Capa!$A:$Z,BD$5,0)),0,1/VLOOKUP($R189,Capa!$A:$Z,BD$5,0))))</f>
        <v/>
      </c>
      <c r="BE191" s="124" t="str">
        <f>IF(BE$6="","",IF(BE$3="Maior",iferror(VLOOKUP($R189,Capa!$A:$Z,BE$5,0),0),IF(ISERROR(1/VLOOKUP($R189,Capa!$A:$Z,BE$5,0)),0,1/VLOOKUP($R189,Capa!$A:$Z,BE$5,0))))</f>
        <v/>
      </c>
      <c r="BF191" s="124" t="str">
        <f>IF(BF$6="","",IF(BF$3="Maior",iferror(VLOOKUP($R189,Capa!$A:$Z,BF$5,0),0),IF(ISERROR(1/VLOOKUP($R189,Capa!$A:$Z,BF$5,0)),0,1/VLOOKUP($R189,Capa!$A:$Z,BF$5,0))))</f>
        <v/>
      </c>
      <c r="BG191" s="124" t="str">
        <f>IF(BG$6="","",IF(BG$3="Maior",iferror(VLOOKUP($R189,Capa!$A:$Z,BG$5,0),0),IF(ISERROR(1/VLOOKUP($R189,Capa!$A:$Z,BG$5,0)),0,1/VLOOKUP($R189,Capa!$A:$Z,BG$5,0))))</f>
        <v/>
      </c>
      <c r="BH191" s="124" t="str">
        <f>IF(BH$6="","",IF(BH$3="Maior",iferror(VLOOKUP($R189,Capa!$A:$Z,BH$5,0),0),IF(ISERROR(1/VLOOKUP($R189,Capa!$A:$Z,BH$5,0)),0,1/VLOOKUP($R189,Capa!$A:$Z,BH$5,0))))</f>
        <v/>
      </c>
      <c r="BI191" s="124" t="str">
        <f>IF(BI$6="","",IF(BI$3="Maior",iferror(VLOOKUP($R189,Capa!$A:$Z,BI$5,0),0),IF(ISERROR(1/VLOOKUP($R189,Capa!$A:$Z,BI$5,0)),0,1/VLOOKUP($R189,Capa!$A:$Z,BI$5,0))))</f>
        <v/>
      </c>
      <c r="BJ191" s="124" t="str">
        <f>IF(BJ$6="","",IF(BJ$3="Maior",iferror(VLOOKUP($R189,Capa!$A:$Z,BJ$5,0),0),IF(ISERROR(1/VLOOKUP($R189,Capa!$A:$Z,BJ$5,0)),0,1/VLOOKUP($R189,Capa!$A:$Z,BJ$5,0))))</f>
        <v/>
      </c>
      <c r="BK191" s="124" t="str">
        <f>IF(BK$6="","",IF(BK$3="Maior",iferror(VLOOKUP($R189,Capa!$A:$Z,BK$5,0),0),IF(ISERROR(1/VLOOKUP($R189,Capa!$A:$Z,BK$5,0)),0,1/VLOOKUP($R189,Capa!$A:$Z,BK$5,0))))</f>
        <v/>
      </c>
      <c r="BL191" s="124" t="str">
        <f>IF(BL$6="","",IF(BL$3="Maior",iferror(VLOOKUP($R189,Capa!$A:$Z,BL$5,0),0),IF(ISERROR(1/VLOOKUP($R189,Capa!$A:$Z,BL$5,0)),0,1/VLOOKUP($R189,Capa!$A:$Z,BL$5,0))))</f>
        <v/>
      </c>
      <c r="BM191" s="124" t="str">
        <f>IF(BM$6="","",IF(BM$3="Maior",iferror(VLOOKUP($R189,Capa!$A:$Z,BM$5,0),0),IF(ISERROR(1/VLOOKUP($R189,Capa!$A:$Z,BM$5,0)),0,1/VLOOKUP($R189,Capa!$A:$Z,BM$5,0))))</f>
        <v/>
      </c>
      <c r="BN191" s="124" t="str">
        <f>IF(BN$6="","",IF(BN$3="Maior",iferror(VLOOKUP($R189,Capa!$A:$Z,BN$5,0),0),IF(ISERROR(1/VLOOKUP($R189,Capa!$A:$Z,BN$5,0)),0,1/VLOOKUP($R189,Capa!$A:$Z,BN$5,0))))</f>
        <v/>
      </c>
      <c r="BO191" s="124" t="str">
        <f>IF(BO$6="","",IF(BO$3="Maior",iferror(VLOOKUP($R189,Capa!$A:$Z,BO$5,0),0),IF(ISERROR(1/VLOOKUP($R189,Capa!$A:$Z,BO$5,0)),0,1/VLOOKUP($R189,Capa!$A:$Z,BO$5,0))))</f>
        <v/>
      </c>
      <c r="BP191" s="124" t="str">
        <f>IF(BP$6="","",IF(BP$3="Maior",iferror(VLOOKUP($R189,Capa!$A:$Z,BP$5,0),0),IF(ISERROR(1/VLOOKUP($R189,Capa!$A:$Z,BP$5,0)),0,1/VLOOKUP($R189,Capa!$A:$Z,BP$5,0))))</f>
        <v/>
      </c>
      <c r="BQ191" s="124" t="str">
        <f>IF(BQ$6="","",IF(BQ$3="Maior",iferror(VLOOKUP($R189,Capa!$A:$Z,BQ$5,0),0),IF(ISERROR(1/VLOOKUP($R189,Capa!$A:$Z,BQ$5,0)),0,1/VLOOKUP($R189,Capa!$A:$Z,BQ$5,0))))</f>
        <v/>
      </c>
      <c r="BR191" s="125" t="str">
        <f>IF(BR$6="","",IF(BR$3="Maior",iferror(VLOOKUP($R189,Capa!$A:$Z,BR$5,0),0),IF(ISERROR(1/VLOOKUP($R189,Capa!$A:$Z,BR$5,0)),0,1/VLOOKUP($R189,Capa!$A:$Z,BR$5,0))))</f>
        <v/>
      </c>
      <c r="BS191" s="88"/>
    </row>
    <row r="192">
      <c r="G192" s="9"/>
      <c r="H192" s="7"/>
      <c r="I192" s="111"/>
      <c r="J192" s="112"/>
      <c r="K192" s="113"/>
      <c r="L192" s="113"/>
      <c r="M192" s="141"/>
      <c r="N192" s="141"/>
      <c r="O192" s="9"/>
      <c r="P192" s="9"/>
      <c r="Q192" s="9"/>
      <c r="R192" s="126" t="s">
        <v>221</v>
      </c>
      <c r="S192" s="116">
        <f t="shared" si="13"/>
        <v>1129.011613</v>
      </c>
      <c r="T192" s="117">
        <f>MID(VLOOKUP($R192,'Dados ClubeFII'!$A:$AU,23,0),3,100)/1</f>
        <v>519397.49</v>
      </c>
      <c r="U192" s="118">
        <f t="shared" si="14"/>
        <v>116.0116</v>
      </c>
      <c r="V192" s="118">
        <f t="shared" si="15"/>
        <v>13.000013</v>
      </c>
      <c r="W192" s="118" t="str">
        <f t="shared" ref="W192:AS192" si="201">IF(AV192="","", RANK(AV192,AV$7:AV$405,0))</f>
        <v/>
      </c>
      <c r="X192" s="118" t="str">
        <f t="shared" si="201"/>
        <v/>
      </c>
      <c r="Y192" s="118" t="str">
        <f t="shared" si="201"/>
        <v/>
      </c>
      <c r="Z192" s="118" t="str">
        <f t="shared" si="201"/>
        <v/>
      </c>
      <c r="AA192" s="118" t="str">
        <f t="shared" si="201"/>
        <v/>
      </c>
      <c r="AB192" s="118" t="str">
        <f t="shared" si="201"/>
        <v/>
      </c>
      <c r="AC192" s="118" t="str">
        <f t="shared" si="201"/>
        <v/>
      </c>
      <c r="AD192" s="118" t="str">
        <f t="shared" si="201"/>
        <v/>
      </c>
      <c r="AE192" s="118" t="str">
        <f t="shared" si="201"/>
        <v/>
      </c>
      <c r="AF192" s="118" t="str">
        <f t="shared" si="201"/>
        <v/>
      </c>
      <c r="AG192" s="118" t="str">
        <f t="shared" si="201"/>
        <v/>
      </c>
      <c r="AH192" s="118" t="str">
        <f t="shared" si="201"/>
        <v/>
      </c>
      <c r="AI192" s="118" t="str">
        <f t="shared" si="201"/>
        <v/>
      </c>
      <c r="AJ192" s="118" t="str">
        <f t="shared" si="201"/>
        <v/>
      </c>
      <c r="AK192" s="118" t="str">
        <f t="shared" si="201"/>
        <v/>
      </c>
      <c r="AL192" s="118" t="str">
        <f t="shared" si="201"/>
        <v/>
      </c>
      <c r="AM192" s="118" t="str">
        <f t="shared" si="201"/>
        <v/>
      </c>
      <c r="AN192" s="118" t="str">
        <f t="shared" si="201"/>
        <v/>
      </c>
      <c r="AO192" s="118" t="str">
        <f t="shared" si="201"/>
        <v/>
      </c>
      <c r="AP192" s="118" t="str">
        <f t="shared" si="201"/>
        <v/>
      </c>
      <c r="AQ192" s="118" t="str">
        <f t="shared" si="201"/>
        <v/>
      </c>
      <c r="AR192" s="118" t="str">
        <f t="shared" si="201"/>
        <v/>
      </c>
      <c r="AS192" s="118" t="str">
        <f t="shared" si="201"/>
        <v/>
      </c>
      <c r="AT192" s="123">
        <f>IF(AT$6="","",IF(AT$3="Maior",iferror(VLOOKUP($R192,Capa!$A:$Z,AT$5,0),0),IF(ISERROR(1/VLOOKUP($R192,Capa!$A:$Z,AT$5,0)),0,1/VLOOKUP($R192,Capa!$A:$Z,AT$5,0))))</f>
        <v>1.160965261</v>
      </c>
      <c r="AU192" s="124">
        <f>IF(AU$6="","",IF(AU$3="Maior",iferror(VLOOKUP($R192,Capa!$A:$Z,AU$5,0),0),IF(ISERROR(1/VLOOKUP($R192,Capa!$A:$Z,AU$5,0)),0,1/VLOOKUP($R192,Capa!$A:$Z,AU$5,0))))</f>
        <v>0.1592544541</v>
      </c>
      <c r="AV192" s="124" t="str">
        <f>IF(AV$6="","",IF(AV$3="Maior",iferror(VLOOKUP($R190,Capa!$A:$Z,AV$5,0),0),IF(ISERROR(1/VLOOKUP($R190,Capa!$A:$Z,AV$5,0)),0,1/VLOOKUP($R190,Capa!$A:$Z,AV$5,0))))</f>
        <v/>
      </c>
      <c r="AW192" s="124" t="str">
        <f>IF(AW$6="","",IF(AW$3="Maior",iferror(VLOOKUP($R190,Capa!$A:$Z,AW$5,0),0),IF(ISERROR(1/VLOOKUP($R190,Capa!$A:$Z,AW$5,0)),0,1/VLOOKUP($R190,Capa!$A:$Z,AW$5,0))))</f>
        <v/>
      </c>
      <c r="AX192" s="124" t="str">
        <f>IF(AX$6="","",IF(AX$3="Maior",iferror(VLOOKUP($R190,Capa!$A:$Z,AX$5,0),0),IF(ISERROR(1/VLOOKUP($R190,Capa!$A:$Z,AX$5,0)),0,1/VLOOKUP($R190,Capa!$A:$Z,AX$5,0))))</f>
        <v/>
      </c>
      <c r="AY192" s="124" t="str">
        <f>IF(AY$6="","",IF(AY$3="Maior",iferror(VLOOKUP($R190,Capa!$A:$Z,AY$5,0),0),IF(ISERROR(1/VLOOKUP($R190,Capa!$A:$Z,AY$5,0)),0,1/VLOOKUP($R190,Capa!$A:$Z,AY$5,0))))</f>
        <v/>
      </c>
      <c r="AZ192" s="124" t="str">
        <f>IF(AZ$6="","",IF(AZ$3="Maior",iferror(VLOOKUP($R190,Capa!$A:$Z,AZ$5,0),0),IF(ISERROR(1/VLOOKUP($R190,Capa!$A:$Z,AZ$5,0)),0,1/VLOOKUP($R190,Capa!$A:$Z,AZ$5,0))))</f>
        <v/>
      </c>
      <c r="BA192" s="124" t="str">
        <f>IF(BA$6="","",IF(BA$3="Maior",iferror(VLOOKUP($R190,Capa!$A:$Z,BA$5,0),0),IF(ISERROR(1/VLOOKUP($R190,Capa!$A:$Z,BA$5,0)),0,1/VLOOKUP($R190,Capa!$A:$Z,BA$5,0))))</f>
        <v/>
      </c>
      <c r="BB192" s="124" t="str">
        <f>IF(BB$6="","",IF(BB$3="Maior",iferror(VLOOKUP($R190,Capa!$A:$Z,BB$5,0),0),IF(ISERROR(1/VLOOKUP($R190,Capa!$A:$Z,BB$5,0)),0,1/VLOOKUP($R190,Capa!$A:$Z,BB$5,0))))</f>
        <v/>
      </c>
      <c r="BC192" s="124" t="str">
        <f>IF(BC$6="","",IF(BC$3="Maior",iferror(VLOOKUP($R190,Capa!$A:$Z,BC$5,0),0),IF(ISERROR(1/VLOOKUP($R190,Capa!$A:$Z,BC$5,0)),0,1/VLOOKUP($R190,Capa!$A:$Z,BC$5,0))))</f>
        <v/>
      </c>
      <c r="BD192" s="124" t="str">
        <f>IF(BD$6="","",IF(BD$3="Maior",iferror(VLOOKUP($R190,Capa!$A:$Z,BD$5,0),0),IF(ISERROR(1/VLOOKUP($R190,Capa!$A:$Z,BD$5,0)),0,1/VLOOKUP($R190,Capa!$A:$Z,BD$5,0))))</f>
        <v/>
      </c>
      <c r="BE192" s="124" t="str">
        <f>IF(BE$6="","",IF(BE$3="Maior",iferror(VLOOKUP($R190,Capa!$A:$Z,BE$5,0),0),IF(ISERROR(1/VLOOKUP($R190,Capa!$A:$Z,BE$5,0)),0,1/VLOOKUP($R190,Capa!$A:$Z,BE$5,0))))</f>
        <v/>
      </c>
      <c r="BF192" s="124" t="str">
        <f>IF(BF$6="","",IF(BF$3="Maior",iferror(VLOOKUP($R190,Capa!$A:$Z,BF$5,0),0),IF(ISERROR(1/VLOOKUP($R190,Capa!$A:$Z,BF$5,0)),0,1/VLOOKUP($R190,Capa!$A:$Z,BF$5,0))))</f>
        <v/>
      </c>
      <c r="BG192" s="124" t="str">
        <f>IF(BG$6="","",IF(BG$3="Maior",iferror(VLOOKUP($R190,Capa!$A:$Z,BG$5,0),0),IF(ISERROR(1/VLOOKUP($R190,Capa!$A:$Z,BG$5,0)),0,1/VLOOKUP($R190,Capa!$A:$Z,BG$5,0))))</f>
        <v/>
      </c>
      <c r="BH192" s="124" t="str">
        <f>IF(BH$6="","",IF(BH$3="Maior",iferror(VLOOKUP($R190,Capa!$A:$Z,BH$5,0),0),IF(ISERROR(1/VLOOKUP($R190,Capa!$A:$Z,BH$5,0)),0,1/VLOOKUP($R190,Capa!$A:$Z,BH$5,0))))</f>
        <v/>
      </c>
      <c r="BI192" s="124" t="str">
        <f>IF(BI$6="","",IF(BI$3="Maior",iferror(VLOOKUP($R190,Capa!$A:$Z,BI$5,0),0),IF(ISERROR(1/VLOOKUP($R190,Capa!$A:$Z,BI$5,0)),0,1/VLOOKUP($R190,Capa!$A:$Z,BI$5,0))))</f>
        <v/>
      </c>
      <c r="BJ192" s="124" t="str">
        <f>IF(BJ$6="","",IF(BJ$3="Maior",iferror(VLOOKUP($R190,Capa!$A:$Z,BJ$5,0),0),IF(ISERROR(1/VLOOKUP($R190,Capa!$A:$Z,BJ$5,0)),0,1/VLOOKUP($R190,Capa!$A:$Z,BJ$5,0))))</f>
        <v/>
      </c>
      <c r="BK192" s="124" t="str">
        <f>IF(BK$6="","",IF(BK$3="Maior",iferror(VLOOKUP($R190,Capa!$A:$Z,BK$5,0),0),IF(ISERROR(1/VLOOKUP($R190,Capa!$A:$Z,BK$5,0)),0,1/VLOOKUP($R190,Capa!$A:$Z,BK$5,0))))</f>
        <v/>
      </c>
      <c r="BL192" s="124" t="str">
        <f>IF(BL$6="","",IF(BL$3="Maior",iferror(VLOOKUP($R190,Capa!$A:$Z,BL$5,0),0),IF(ISERROR(1/VLOOKUP($R190,Capa!$A:$Z,BL$5,0)),0,1/VLOOKUP($R190,Capa!$A:$Z,BL$5,0))))</f>
        <v/>
      </c>
      <c r="BM192" s="124" t="str">
        <f>IF(BM$6="","",IF(BM$3="Maior",iferror(VLOOKUP($R190,Capa!$A:$Z,BM$5,0),0),IF(ISERROR(1/VLOOKUP($R190,Capa!$A:$Z,BM$5,0)),0,1/VLOOKUP($R190,Capa!$A:$Z,BM$5,0))))</f>
        <v/>
      </c>
      <c r="BN192" s="124" t="str">
        <f>IF(BN$6="","",IF(BN$3="Maior",iferror(VLOOKUP($R190,Capa!$A:$Z,BN$5,0),0),IF(ISERROR(1/VLOOKUP($R190,Capa!$A:$Z,BN$5,0)),0,1/VLOOKUP($R190,Capa!$A:$Z,BN$5,0))))</f>
        <v/>
      </c>
      <c r="BO192" s="124" t="str">
        <f>IF(BO$6="","",IF(BO$3="Maior",iferror(VLOOKUP($R190,Capa!$A:$Z,BO$5,0),0),IF(ISERROR(1/VLOOKUP($R190,Capa!$A:$Z,BO$5,0)),0,1/VLOOKUP($R190,Capa!$A:$Z,BO$5,0))))</f>
        <v/>
      </c>
      <c r="BP192" s="124" t="str">
        <f>IF(BP$6="","",IF(BP$3="Maior",iferror(VLOOKUP($R190,Capa!$A:$Z,BP$5,0),0),IF(ISERROR(1/VLOOKUP($R190,Capa!$A:$Z,BP$5,0)),0,1/VLOOKUP($R190,Capa!$A:$Z,BP$5,0))))</f>
        <v/>
      </c>
      <c r="BQ192" s="124" t="str">
        <f>IF(BQ$6="","",IF(BQ$3="Maior",iferror(VLOOKUP($R190,Capa!$A:$Z,BQ$5,0),0),IF(ISERROR(1/VLOOKUP($R190,Capa!$A:$Z,BQ$5,0)),0,1/VLOOKUP($R190,Capa!$A:$Z,BQ$5,0))))</f>
        <v/>
      </c>
      <c r="BR192" s="125" t="str">
        <f>IF(BR$6="","",IF(BR$3="Maior",iferror(VLOOKUP($R190,Capa!$A:$Z,BR$5,0),0),IF(ISERROR(1/VLOOKUP($R190,Capa!$A:$Z,BR$5,0)),0,1/VLOOKUP($R190,Capa!$A:$Z,BR$5,0))))</f>
        <v/>
      </c>
      <c r="BS192" s="88"/>
    </row>
    <row r="193">
      <c r="G193" s="9"/>
      <c r="H193" s="7"/>
      <c r="I193" s="111"/>
      <c r="J193" s="112"/>
      <c r="K193" s="113"/>
      <c r="L193" s="113"/>
      <c r="M193" s="141"/>
      <c r="N193" s="141"/>
      <c r="O193" s="9"/>
      <c r="P193" s="9"/>
      <c r="Q193" s="9"/>
      <c r="R193" s="126" t="s">
        <v>222</v>
      </c>
      <c r="S193" s="116">
        <f t="shared" si="13"/>
        <v>168.007593</v>
      </c>
      <c r="T193" s="117">
        <f>MID(VLOOKUP($R193,'Dados ClubeFII'!$A:$AU,23,0),3,100)/1</f>
        <v>2374923.59</v>
      </c>
      <c r="U193" s="118">
        <f t="shared" si="14"/>
        <v>75.0075</v>
      </c>
      <c r="V193" s="118">
        <f t="shared" si="15"/>
        <v>93.000093</v>
      </c>
      <c r="W193" s="118" t="str">
        <f t="shared" ref="W193:AS193" si="202">IF(AV193="","", RANK(AV193,AV$7:AV$405,0))</f>
        <v/>
      </c>
      <c r="X193" s="118" t="str">
        <f t="shared" si="202"/>
        <v/>
      </c>
      <c r="Y193" s="118" t="str">
        <f t="shared" si="202"/>
        <v/>
      </c>
      <c r="Z193" s="118" t="str">
        <f t="shared" si="202"/>
        <v/>
      </c>
      <c r="AA193" s="118" t="str">
        <f t="shared" si="202"/>
        <v/>
      </c>
      <c r="AB193" s="118" t="str">
        <f t="shared" si="202"/>
        <v/>
      </c>
      <c r="AC193" s="118" t="str">
        <f t="shared" si="202"/>
        <v/>
      </c>
      <c r="AD193" s="118" t="str">
        <f t="shared" si="202"/>
        <v/>
      </c>
      <c r="AE193" s="118" t="str">
        <f t="shared" si="202"/>
        <v/>
      </c>
      <c r="AF193" s="118" t="str">
        <f t="shared" si="202"/>
        <v/>
      </c>
      <c r="AG193" s="118" t="str">
        <f t="shared" si="202"/>
        <v/>
      </c>
      <c r="AH193" s="118" t="str">
        <f t="shared" si="202"/>
        <v/>
      </c>
      <c r="AI193" s="118" t="str">
        <f t="shared" si="202"/>
        <v/>
      </c>
      <c r="AJ193" s="118" t="str">
        <f t="shared" si="202"/>
        <v/>
      </c>
      <c r="AK193" s="118" t="str">
        <f t="shared" si="202"/>
        <v/>
      </c>
      <c r="AL193" s="118" t="str">
        <f t="shared" si="202"/>
        <v/>
      </c>
      <c r="AM193" s="118" t="str">
        <f t="shared" si="202"/>
        <v/>
      </c>
      <c r="AN193" s="118" t="str">
        <f t="shared" si="202"/>
        <v/>
      </c>
      <c r="AO193" s="118" t="str">
        <f t="shared" si="202"/>
        <v/>
      </c>
      <c r="AP193" s="118" t="str">
        <f t="shared" si="202"/>
        <v/>
      </c>
      <c r="AQ193" s="118" t="str">
        <f t="shared" si="202"/>
        <v/>
      </c>
      <c r="AR193" s="118" t="str">
        <f t="shared" si="202"/>
        <v/>
      </c>
      <c r="AS193" s="118" t="str">
        <f t="shared" si="202"/>
        <v/>
      </c>
      <c r="AT193" s="123">
        <f>IF(AT$6="","",IF(AT$3="Maior",iferror(VLOOKUP($R193,Capa!$A:$Z,AT$5,0),0),IF(ISERROR(1/VLOOKUP($R193,Capa!$A:$Z,AT$5,0)),0,1/VLOOKUP($R193,Capa!$A:$Z,AT$5,0))))</f>
        <v>1.27110404</v>
      </c>
      <c r="AU193" s="124">
        <f>IF(AU$6="","",IF(AU$3="Maior",iferror(VLOOKUP($R193,Capa!$A:$Z,AU$5,0),0),IF(ISERROR(1/VLOOKUP($R193,Capa!$A:$Z,AU$5,0)),0,1/VLOOKUP($R193,Capa!$A:$Z,AU$5,0))))</f>
        <v>0.1115973574</v>
      </c>
      <c r="AV193" s="124" t="str">
        <f>IF(AV$6="","",IF(AV$3="Maior",iferror(VLOOKUP($R191,Capa!$A:$Z,AV$5,0),0),IF(ISERROR(1/VLOOKUP($R191,Capa!$A:$Z,AV$5,0)),0,1/VLOOKUP($R191,Capa!$A:$Z,AV$5,0))))</f>
        <v/>
      </c>
      <c r="AW193" s="124" t="str">
        <f>IF(AW$6="","",IF(AW$3="Maior",iferror(VLOOKUP($R191,Capa!$A:$Z,AW$5,0),0),IF(ISERROR(1/VLOOKUP($R191,Capa!$A:$Z,AW$5,0)),0,1/VLOOKUP($R191,Capa!$A:$Z,AW$5,0))))</f>
        <v/>
      </c>
      <c r="AX193" s="124" t="str">
        <f>IF(AX$6="","",IF(AX$3="Maior",iferror(VLOOKUP($R191,Capa!$A:$Z,AX$5,0),0),IF(ISERROR(1/VLOOKUP($R191,Capa!$A:$Z,AX$5,0)),0,1/VLOOKUP($R191,Capa!$A:$Z,AX$5,0))))</f>
        <v/>
      </c>
      <c r="AY193" s="124" t="str">
        <f>IF(AY$6="","",IF(AY$3="Maior",iferror(VLOOKUP($R191,Capa!$A:$Z,AY$5,0),0),IF(ISERROR(1/VLOOKUP($R191,Capa!$A:$Z,AY$5,0)),0,1/VLOOKUP($R191,Capa!$A:$Z,AY$5,0))))</f>
        <v/>
      </c>
      <c r="AZ193" s="124" t="str">
        <f>IF(AZ$6="","",IF(AZ$3="Maior",iferror(VLOOKUP($R191,Capa!$A:$Z,AZ$5,0),0),IF(ISERROR(1/VLOOKUP($R191,Capa!$A:$Z,AZ$5,0)),0,1/VLOOKUP($R191,Capa!$A:$Z,AZ$5,0))))</f>
        <v/>
      </c>
      <c r="BA193" s="124" t="str">
        <f>IF(BA$6="","",IF(BA$3="Maior",iferror(VLOOKUP($R191,Capa!$A:$Z,BA$5,0),0),IF(ISERROR(1/VLOOKUP($R191,Capa!$A:$Z,BA$5,0)),0,1/VLOOKUP($R191,Capa!$A:$Z,BA$5,0))))</f>
        <v/>
      </c>
      <c r="BB193" s="124" t="str">
        <f>IF(BB$6="","",IF(BB$3="Maior",iferror(VLOOKUP($R191,Capa!$A:$Z,BB$5,0),0),IF(ISERROR(1/VLOOKUP($R191,Capa!$A:$Z,BB$5,0)),0,1/VLOOKUP($R191,Capa!$A:$Z,BB$5,0))))</f>
        <v/>
      </c>
      <c r="BC193" s="124" t="str">
        <f>IF(BC$6="","",IF(BC$3="Maior",iferror(VLOOKUP($R191,Capa!$A:$Z,BC$5,0),0),IF(ISERROR(1/VLOOKUP($R191,Capa!$A:$Z,BC$5,0)),0,1/VLOOKUP($R191,Capa!$A:$Z,BC$5,0))))</f>
        <v/>
      </c>
      <c r="BD193" s="124" t="str">
        <f>IF(BD$6="","",IF(BD$3="Maior",iferror(VLOOKUP($R191,Capa!$A:$Z,BD$5,0),0),IF(ISERROR(1/VLOOKUP($R191,Capa!$A:$Z,BD$5,0)),0,1/VLOOKUP($R191,Capa!$A:$Z,BD$5,0))))</f>
        <v/>
      </c>
      <c r="BE193" s="124" t="str">
        <f>IF(BE$6="","",IF(BE$3="Maior",iferror(VLOOKUP($R191,Capa!$A:$Z,BE$5,0),0),IF(ISERROR(1/VLOOKUP($R191,Capa!$A:$Z,BE$5,0)),0,1/VLOOKUP($R191,Capa!$A:$Z,BE$5,0))))</f>
        <v/>
      </c>
      <c r="BF193" s="124" t="str">
        <f>IF(BF$6="","",IF(BF$3="Maior",iferror(VLOOKUP($R191,Capa!$A:$Z,BF$5,0),0),IF(ISERROR(1/VLOOKUP($R191,Capa!$A:$Z,BF$5,0)),0,1/VLOOKUP($R191,Capa!$A:$Z,BF$5,0))))</f>
        <v/>
      </c>
      <c r="BG193" s="124" t="str">
        <f>IF(BG$6="","",IF(BG$3="Maior",iferror(VLOOKUP($R191,Capa!$A:$Z,BG$5,0),0),IF(ISERROR(1/VLOOKUP($R191,Capa!$A:$Z,BG$5,0)),0,1/VLOOKUP($R191,Capa!$A:$Z,BG$5,0))))</f>
        <v/>
      </c>
      <c r="BH193" s="124" t="str">
        <f>IF(BH$6="","",IF(BH$3="Maior",iferror(VLOOKUP($R191,Capa!$A:$Z,BH$5,0),0),IF(ISERROR(1/VLOOKUP($R191,Capa!$A:$Z,BH$5,0)),0,1/VLOOKUP($R191,Capa!$A:$Z,BH$5,0))))</f>
        <v/>
      </c>
      <c r="BI193" s="124" t="str">
        <f>IF(BI$6="","",IF(BI$3="Maior",iferror(VLOOKUP($R191,Capa!$A:$Z,BI$5,0),0),IF(ISERROR(1/VLOOKUP($R191,Capa!$A:$Z,BI$5,0)),0,1/VLOOKUP($R191,Capa!$A:$Z,BI$5,0))))</f>
        <v/>
      </c>
      <c r="BJ193" s="124" t="str">
        <f>IF(BJ$6="","",IF(BJ$3="Maior",iferror(VLOOKUP($R191,Capa!$A:$Z,BJ$5,0),0),IF(ISERROR(1/VLOOKUP($R191,Capa!$A:$Z,BJ$5,0)),0,1/VLOOKUP($R191,Capa!$A:$Z,BJ$5,0))))</f>
        <v/>
      </c>
      <c r="BK193" s="124" t="str">
        <f>IF(BK$6="","",IF(BK$3="Maior",iferror(VLOOKUP($R191,Capa!$A:$Z,BK$5,0),0),IF(ISERROR(1/VLOOKUP($R191,Capa!$A:$Z,BK$5,0)),0,1/VLOOKUP($R191,Capa!$A:$Z,BK$5,0))))</f>
        <v/>
      </c>
      <c r="BL193" s="124" t="str">
        <f>IF(BL$6="","",IF(BL$3="Maior",iferror(VLOOKUP($R191,Capa!$A:$Z,BL$5,0),0),IF(ISERROR(1/VLOOKUP($R191,Capa!$A:$Z,BL$5,0)),0,1/VLOOKUP($R191,Capa!$A:$Z,BL$5,0))))</f>
        <v/>
      </c>
      <c r="BM193" s="124" t="str">
        <f>IF(BM$6="","",IF(BM$3="Maior",iferror(VLOOKUP($R191,Capa!$A:$Z,BM$5,0),0),IF(ISERROR(1/VLOOKUP($R191,Capa!$A:$Z,BM$5,0)),0,1/VLOOKUP($R191,Capa!$A:$Z,BM$5,0))))</f>
        <v/>
      </c>
      <c r="BN193" s="124" t="str">
        <f>IF(BN$6="","",IF(BN$3="Maior",iferror(VLOOKUP($R191,Capa!$A:$Z,BN$5,0),0),IF(ISERROR(1/VLOOKUP($R191,Capa!$A:$Z,BN$5,0)),0,1/VLOOKUP($R191,Capa!$A:$Z,BN$5,0))))</f>
        <v/>
      </c>
      <c r="BO193" s="124" t="str">
        <f>IF(BO$6="","",IF(BO$3="Maior",iferror(VLOOKUP($R191,Capa!$A:$Z,BO$5,0),0),IF(ISERROR(1/VLOOKUP($R191,Capa!$A:$Z,BO$5,0)),0,1/VLOOKUP($R191,Capa!$A:$Z,BO$5,0))))</f>
        <v/>
      </c>
      <c r="BP193" s="124" t="str">
        <f>IF(BP$6="","",IF(BP$3="Maior",iferror(VLOOKUP($R191,Capa!$A:$Z,BP$5,0),0),IF(ISERROR(1/VLOOKUP($R191,Capa!$A:$Z,BP$5,0)),0,1/VLOOKUP($R191,Capa!$A:$Z,BP$5,0))))</f>
        <v/>
      </c>
      <c r="BQ193" s="124" t="str">
        <f>IF(BQ$6="","",IF(BQ$3="Maior",iferror(VLOOKUP($R191,Capa!$A:$Z,BQ$5,0),0),IF(ISERROR(1/VLOOKUP($R191,Capa!$A:$Z,BQ$5,0)),0,1/VLOOKUP($R191,Capa!$A:$Z,BQ$5,0))))</f>
        <v/>
      </c>
      <c r="BR193" s="125" t="str">
        <f>IF(BR$6="","",IF(BR$3="Maior",iferror(VLOOKUP($R191,Capa!$A:$Z,BR$5,0),0),IF(ISERROR(1/VLOOKUP($R191,Capa!$A:$Z,BR$5,0)),0,1/VLOOKUP($R191,Capa!$A:$Z,BR$5,0))))</f>
        <v/>
      </c>
      <c r="BS193" s="88"/>
    </row>
    <row r="194">
      <c r="G194" s="9"/>
      <c r="H194" s="7"/>
      <c r="I194" s="111"/>
      <c r="J194" s="112"/>
      <c r="K194" s="113"/>
      <c r="L194" s="113"/>
      <c r="M194" s="141"/>
      <c r="N194" s="141"/>
      <c r="O194" s="9"/>
      <c r="P194" s="9"/>
      <c r="Q194" s="9"/>
      <c r="R194" s="126" t="s">
        <v>223</v>
      </c>
      <c r="S194" s="116">
        <f t="shared" si="13"/>
        <v>1149.007079</v>
      </c>
      <c r="T194" s="117">
        <f>MID(VLOOKUP($R194,'Dados ClubeFII'!$A:$AU,23,0),3,100)/1</f>
        <v>247572.99</v>
      </c>
      <c r="U194" s="118">
        <f t="shared" si="14"/>
        <v>70.007</v>
      </c>
      <c r="V194" s="118">
        <f t="shared" si="15"/>
        <v>79.000079</v>
      </c>
      <c r="W194" s="118" t="str">
        <f t="shared" ref="W194:AS194" si="203">IF(AV194="","", RANK(AV194,AV$7:AV$405,0))</f>
        <v/>
      </c>
      <c r="X194" s="118" t="str">
        <f t="shared" si="203"/>
        <v/>
      </c>
      <c r="Y194" s="118" t="str">
        <f t="shared" si="203"/>
        <v/>
      </c>
      <c r="Z194" s="118" t="str">
        <f t="shared" si="203"/>
        <v/>
      </c>
      <c r="AA194" s="118" t="str">
        <f t="shared" si="203"/>
        <v/>
      </c>
      <c r="AB194" s="118" t="str">
        <f t="shared" si="203"/>
        <v/>
      </c>
      <c r="AC194" s="118" t="str">
        <f t="shared" si="203"/>
        <v/>
      </c>
      <c r="AD194" s="118" t="str">
        <f t="shared" si="203"/>
        <v/>
      </c>
      <c r="AE194" s="118" t="str">
        <f t="shared" si="203"/>
        <v/>
      </c>
      <c r="AF194" s="118" t="str">
        <f t="shared" si="203"/>
        <v/>
      </c>
      <c r="AG194" s="118" t="str">
        <f t="shared" si="203"/>
        <v/>
      </c>
      <c r="AH194" s="118" t="str">
        <f t="shared" si="203"/>
        <v/>
      </c>
      <c r="AI194" s="118" t="str">
        <f t="shared" si="203"/>
        <v/>
      </c>
      <c r="AJ194" s="118" t="str">
        <f t="shared" si="203"/>
        <v/>
      </c>
      <c r="AK194" s="118" t="str">
        <f t="shared" si="203"/>
        <v/>
      </c>
      <c r="AL194" s="118" t="str">
        <f t="shared" si="203"/>
        <v/>
      </c>
      <c r="AM194" s="118" t="str">
        <f t="shared" si="203"/>
        <v/>
      </c>
      <c r="AN194" s="118" t="str">
        <f t="shared" si="203"/>
        <v/>
      </c>
      <c r="AO194" s="118" t="str">
        <f t="shared" si="203"/>
        <v/>
      </c>
      <c r="AP194" s="118" t="str">
        <f t="shared" si="203"/>
        <v/>
      </c>
      <c r="AQ194" s="118" t="str">
        <f t="shared" si="203"/>
        <v/>
      </c>
      <c r="AR194" s="118" t="str">
        <f t="shared" si="203"/>
        <v/>
      </c>
      <c r="AS194" s="118" t="str">
        <f t="shared" si="203"/>
        <v/>
      </c>
      <c r="AT194" s="123">
        <f>IF(AT$6="","",IF(AT$3="Maior",iferror(VLOOKUP($R194,Capa!$A:$Z,AT$5,0),0),IF(ISERROR(1/VLOOKUP($R194,Capa!$A:$Z,AT$5,0)),0,1/VLOOKUP($R194,Capa!$A:$Z,AT$5,0))))</f>
        <v>1.295680802</v>
      </c>
      <c r="AU194" s="124">
        <f>IF(AU$6="","",IF(AU$3="Maior",iferror(VLOOKUP($R194,Capa!$A:$Z,AU$5,0),0),IF(ISERROR(1/VLOOKUP($R194,Capa!$A:$Z,AU$5,0)),0,1/VLOOKUP($R194,Capa!$A:$Z,AU$5,0))))</f>
        <v>0.1184070346</v>
      </c>
      <c r="AV194" s="124" t="str">
        <f>IF(AV$6="","",IF(AV$3="Maior",iferror(VLOOKUP($R192,Capa!$A:$Z,AV$5,0),0),IF(ISERROR(1/VLOOKUP($R192,Capa!$A:$Z,AV$5,0)),0,1/VLOOKUP($R192,Capa!$A:$Z,AV$5,0))))</f>
        <v/>
      </c>
      <c r="AW194" s="124" t="str">
        <f>IF(AW$6="","",IF(AW$3="Maior",iferror(VLOOKUP($R192,Capa!$A:$Z,AW$5,0),0),IF(ISERROR(1/VLOOKUP($R192,Capa!$A:$Z,AW$5,0)),0,1/VLOOKUP($R192,Capa!$A:$Z,AW$5,0))))</f>
        <v/>
      </c>
      <c r="AX194" s="124" t="str">
        <f>IF(AX$6="","",IF(AX$3="Maior",iferror(VLOOKUP($R192,Capa!$A:$Z,AX$5,0),0),IF(ISERROR(1/VLOOKUP($R192,Capa!$A:$Z,AX$5,0)),0,1/VLOOKUP($R192,Capa!$A:$Z,AX$5,0))))</f>
        <v/>
      </c>
      <c r="AY194" s="124" t="str">
        <f>IF(AY$6="","",IF(AY$3="Maior",iferror(VLOOKUP($R192,Capa!$A:$Z,AY$5,0),0),IF(ISERROR(1/VLOOKUP($R192,Capa!$A:$Z,AY$5,0)),0,1/VLOOKUP($R192,Capa!$A:$Z,AY$5,0))))</f>
        <v/>
      </c>
      <c r="AZ194" s="124" t="str">
        <f>IF(AZ$6="","",IF(AZ$3="Maior",iferror(VLOOKUP($R192,Capa!$A:$Z,AZ$5,0),0),IF(ISERROR(1/VLOOKUP($R192,Capa!$A:$Z,AZ$5,0)),0,1/VLOOKUP($R192,Capa!$A:$Z,AZ$5,0))))</f>
        <v/>
      </c>
      <c r="BA194" s="124" t="str">
        <f>IF(BA$6="","",IF(BA$3="Maior",iferror(VLOOKUP($R192,Capa!$A:$Z,BA$5,0),0),IF(ISERROR(1/VLOOKUP($R192,Capa!$A:$Z,BA$5,0)),0,1/VLOOKUP($R192,Capa!$A:$Z,BA$5,0))))</f>
        <v/>
      </c>
      <c r="BB194" s="124" t="str">
        <f>IF(BB$6="","",IF(BB$3="Maior",iferror(VLOOKUP($R192,Capa!$A:$Z,BB$5,0),0),IF(ISERROR(1/VLOOKUP($R192,Capa!$A:$Z,BB$5,0)),0,1/VLOOKUP($R192,Capa!$A:$Z,BB$5,0))))</f>
        <v/>
      </c>
      <c r="BC194" s="124" t="str">
        <f>IF(BC$6="","",IF(BC$3="Maior",iferror(VLOOKUP($R192,Capa!$A:$Z,BC$5,0),0),IF(ISERROR(1/VLOOKUP($R192,Capa!$A:$Z,BC$5,0)),0,1/VLOOKUP($R192,Capa!$A:$Z,BC$5,0))))</f>
        <v/>
      </c>
      <c r="BD194" s="124" t="str">
        <f>IF(BD$6="","",IF(BD$3="Maior",iferror(VLOOKUP($R192,Capa!$A:$Z,BD$5,0),0),IF(ISERROR(1/VLOOKUP($R192,Capa!$A:$Z,BD$5,0)),0,1/VLOOKUP($R192,Capa!$A:$Z,BD$5,0))))</f>
        <v/>
      </c>
      <c r="BE194" s="124" t="str">
        <f>IF(BE$6="","",IF(BE$3="Maior",iferror(VLOOKUP($R192,Capa!$A:$Z,BE$5,0),0),IF(ISERROR(1/VLOOKUP($R192,Capa!$A:$Z,BE$5,0)),0,1/VLOOKUP($R192,Capa!$A:$Z,BE$5,0))))</f>
        <v/>
      </c>
      <c r="BF194" s="124" t="str">
        <f>IF(BF$6="","",IF(BF$3="Maior",iferror(VLOOKUP($R192,Capa!$A:$Z,BF$5,0),0),IF(ISERROR(1/VLOOKUP($R192,Capa!$A:$Z,BF$5,0)),0,1/VLOOKUP($R192,Capa!$A:$Z,BF$5,0))))</f>
        <v/>
      </c>
      <c r="BG194" s="124" t="str">
        <f>IF(BG$6="","",IF(BG$3="Maior",iferror(VLOOKUP($R192,Capa!$A:$Z,BG$5,0),0),IF(ISERROR(1/VLOOKUP($R192,Capa!$A:$Z,BG$5,0)),0,1/VLOOKUP($R192,Capa!$A:$Z,BG$5,0))))</f>
        <v/>
      </c>
      <c r="BH194" s="124" t="str">
        <f>IF(BH$6="","",IF(BH$3="Maior",iferror(VLOOKUP($R192,Capa!$A:$Z,BH$5,0),0),IF(ISERROR(1/VLOOKUP($R192,Capa!$A:$Z,BH$5,0)),0,1/VLOOKUP($R192,Capa!$A:$Z,BH$5,0))))</f>
        <v/>
      </c>
      <c r="BI194" s="124" t="str">
        <f>IF(BI$6="","",IF(BI$3="Maior",iferror(VLOOKUP($R192,Capa!$A:$Z,BI$5,0),0),IF(ISERROR(1/VLOOKUP($R192,Capa!$A:$Z,BI$5,0)),0,1/VLOOKUP($R192,Capa!$A:$Z,BI$5,0))))</f>
        <v/>
      </c>
      <c r="BJ194" s="124" t="str">
        <f>IF(BJ$6="","",IF(BJ$3="Maior",iferror(VLOOKUP($R192,Capa!$A:$Z,BJ$5,0),0),IF(ISERROR(1/VLOOKUP($R192,Capa!$A:$Z,BJ$5,0)),0,1/VLOOKUP($R192,Capa!$A:$Z,BJ$5,0))))</f>
        <v/>
      </c>
      <c r="BK194" s="124" t="str">
        <f>IF(BK$6="","",IF(BK$3="Maior",iferror(VLOOKUP($R192,Capa!$A:$Z,BK$5,0),0),IF(ISERROR(1/VLOOKUP($R192,Capa!$A:$Z,BK$5,0)),0,1/VLOOKUP($R192,Capa!$A:$Z,BK$5,0))))</f>
        <v/>
      </c>
      <c r="BL194" s="124" t="str">
        <f>IF(BL$6="","",IF(BL$3="Maior",iferror(VLOOKUP($R192,Capa!$A:$Z,BL$5,0),0),IF(ISERROR(1/VLOOKUP($R192,Capa!$A:$Z,BL$5,0)),0,1/VLOOKUP($R192,Capa!$A:$Z,BL$5,0))))</f>
        <v/>
      </c>
      <c r="BM194" s="124" t="str">
        <f>IF(BM$6="","",IF(BM$3="Maior",iferror(VLOOKUP($R192,Capa!$A:$Z,BM$5,0),0),IF(ISERROR(1/VLOOKUP($R192,Capa!$A:$Z,BM$5,0)),0,1/VLOOKUP($R192,Capa!$A:$Z,BM$5,0))))</f>
        <v/>
      </c>
      <c r="BN194" s="124" t="str">
        <f>IF(BN$6="","",IF(BN$3="Maior",iferror(VLOOKUP($R192,Capa!$A:$Z,BN$5,0),0),IF(ISERROR(1/VLOOKUP($R192,Capa!$A:$Z,BN$5,0)),0,1/VLOOKUP($R192,Capa!$A:$Z,BN$5,0))))</f>
        <v/>
      </c>
      <c r="BO194" s="124" t="str">
        <f>IF(BO$6="","",IF(BO$3="Maior",iferror(VLOOKUP($R192,Capa!$A:$Z,BO$5,0),0),IF(ISERROR(1/VLOOKUP($R192,Capa!$A:$Z,BO$5,0)),0,1/VLOOKUP($R192,Capa!$A:$Z,BO$5,0))))</f>
        <v/>
      </c>
      <c r="BP194" s="124" t="str">
        <f>IF(BP$6="","",IF(BP$3="Maior",iferror(VLOOKUP($R192,Capa!$A:$Z,BP$5,0),0),IF(ISERROR(1/VLOOKUP($R192,Capa!$A:$Z,BP$5,0)),0,1/VLOOKUP($R192,Capa!$A:$Z,BP$5,0))))</f>
        <v/>
      </c>
      <c r="BQ194" s="124" t="str">
        <f>IF(BQ$6="","",IF(BQ$3="Maior",iferror(VLOOKUP($R192,Capa!$A:$Z,BQ$5,0),0),IF(ISERROR(1/VLOOKUP($R192,Capa!$A:$Z,BQ$5,0)),0,1/VLOOKUP($R192,Capa!$A:$Z,BQ$5,0))))</f>
        <v/>
      </c>
      <c r="BR194" s="125" t="str">
        <f>IF(BR$6="","",IF(BR$3="Maior",iferror(VLOOKUP($R192,Capa!$A:$Z,BR$5,0),0),IF(ISERROR(1/VLOOKUP($R192,Capa!$A:$Z,BR$5,0)),0,1/VLOOKUP($R192,Capa!$A:$Z,BR$5,0))))</f>
        <v/>
      </c>
      <c r="BS194" s="88"/>
    </row>
    <row r="195">
      <c r="G195" s="9"/>
      <c r="H195" s="7"/>
      <c r="I195" s="111"/>
      <c r="J195" s="112"/>
      <c r="K195" s="113"/>
      <c r="L195" s="113"/>
      <c r="M195" s="141"/>
      <c r="N195" s="141"/>
      <c r="O195" s="9"/>
      <c r="P195" s="9"/>
      <c r="Q195" s="9"/>
      <c r="R195" s="126" t="s">
        <v>224</v>
      </c>
      <c r="S195" s="116">
        <f t="shared" si="13"/>
        <v>1193.017221</v>
      </c>
      <c r="T195" s="117">
        <f>MID(VLOOKUP($R195,'Dados ClubeFII'!$A:$AU,23,0),3,100)/1</f>
        <v>877768.33</v>
      </c>
      <c r="U195" s="118">
        <f t="shared" si="14"/>
        <v>172.0172</v>
      </c>
      <c r="V195" s="118">
        <f t="shared" si="15"/>
        <v>21.000021</v>
      </c>
      <c r="W195" s="118" t="str">
        <f t="shared" ref="W195:AS195" si="204">IF(AV195="","", RANK(AV195,AV$7:AV$405,0))</f>
        <v/>
      </c>
      <c r="X195" s="118" t="str">
        <f t="shared" si="204"/>
        <v/>
      </c>
      <c r="Y195" s="118" t="str">
        <f t="shared" si="204"/>
        <v/>
      </c>
      <c r="Z195" s="118" t="str">
        <f t="shared" si="204"/>
        <v/>
      </c>
      <c r="AA195" s="118" t="str">
        <f t="shared" si="204"/>
        <v/>
      </c>
      <c r="AB195" s="118" t="str">
        <f t="shared" si="204"/>
        <v/>
      </c>
      <c r="AC195" s="118" t="str">
        <f t="shared" si="204"/>
        <v/>
      </c>
      <c r="AD195" s="118" t="str">
        <f t="shared" si="204"/>
        <v/>
      </c>
      <c r="AE195" s="118" t="str">
        <f t="shared" si="204"/>
        <v/>
      </c>
      <c r="AF195" s="118" t="str">
        <f t="shared" si="204"/>
        <v/>
      </c>
      <c r="AG195" s="118" t="str">
        <f t="shared" si="204"/>
        <v/>
      </c>
      <c r="AH195" s="118" t="str">
        <f t="shared" si="204"/>
        <v/>
      </c>
      <c r="AI195" s="118" t="str">
        <f t="shared" si="204"/>
        <v/>
      </c>
      <c r="AJ195" s="118" t="str">
        <f t="shared" si="204"/>
        <v/>
      </c>
      <c r="AK195" s="118" t="str">
        <f t="shared" si="204"/>
        <v/>
      </c>
      <c r="AL195" s="118" t="str">
        <f t="shared" si="204"/>
        <v/>
      </c>
      <c r="AM195" s="118" t="str">
        <f t="shared" si="204"/>
        <v/>
      </c>
      <c r="AN195" s="118" t="str">
        <f t="shared" si="204"/>
        <v/>
      </c>
      <c r="AO195" s="118" t="str">
        <f t="shared" si="204"/>
        <v/>
      </c>
      <c r="AP195" s="118" t="str">
        <f t="shared" si="204"/>
        <v/>
      </c>
      <c r="AQ195" s="118" t="str">
        <f t="shared" si="204"/>
        <v/>
      </c>
      <c r="AR195" s="118" t="str">
        <f t="shared" si="204"/>
        <v/>
      </c>
      <c r="AS195" s="118" t="str">
        <f t="shared" si="204"/>
        <v/>
      </c>
      <c r="AT195" s="123">
        <f>IF(AT$6="","",IF(AT$3="Maior",iferror(VLOOKUP($R195,Capa!$A:$Z,AT$5,0),0),IF(ISERROR(1/VLOOKUP($R195,Capa!$A:$Z,AT$5,0)),0,1/VLOOKUP($R195,Capa!$A:$Z,AT$5,0))))</f>
        <v>1.006110799</v>
      </c>
      <c r="AU195" s="124">
        <f>IF(AU$6="","",IF(AU$3="Maior",iferror(VLOOKUP($R195,Capa!$A:$Z,AU$5,0),0),IF(ISERROR(1/VLOOKUP($R195,Capa!$A:$Z,AU$5,0)),0,1/VLOOKUP($R195,Capa!$A:$Z,AU$5,0))))</f>
        <v>0.1516244737</v>
      </c>
      <c r="AV195" s="124" t="str">
        <f>IF(AV$6="","",IF(AV$3="Maior",iferror(VLOOKUP($R193,Capa!$A:$Z,AV$5,0),0),IF(ISERROR(1/VLOOKUP($R193,Capa!$A:$Z,AV$5,0)),0,1/VLOOKUP($R193,Capa!$A:$Z,AV$5,0))))</f>
        <v/>
      </c>
      <c r="AW195" s="124" t="str">
        <f>IF(AW$6="","",IF(AW$3="Maior",iferror(VLOOKUP($R193,Capa!$A:$Z,AW$5,0),0),IF(ISERROR(1/VLOOKUP($R193,Capa!$A:$Z,AW$5,0)),0,1/VLOOKUP($R193,Capa!$A:$Z,AW$5,0))))</f>
        <v/>
      </c>
      <c r="AX195" s="124" t="str">
        <f>IF(AX$6="","",IF(AX$3="Maior",iferror(VLOOKUP($R193,Capa!$A:$Z,AX$5,0),0),IF(ISERROR(1/VLOOKUP($R193,Capa!$A:$Z,AX$5,0)),0,1/VLOOKUP($R193,Capa!$A:$Z,AX$5,0))))</f>
        <v/>
      </c>
      <c r="AY195" s="124" t="str">
        <f>IF(AY$6="","",IF(AY$3="Maior",iferror(VLOOKUP($R193,Capa!$A:$Z,AY$5,0),0),IF(ISERROR(1/VLOOKUP($R193,Capa!$A:$Z,AY$5,0)),0,1/VLOOKUP($R193,Capa!$A:$Z,AY$5,0))))</f>
        <v/>
      </c>
      <c r="AZ195" s="124" t="str">
        <f>IF(AZ$6="","",IF(AZ$3="Maior",iferror(VLOOKUP($R193,Capa!$A:$Z,AZ$5,0),0),IF(ISERROR(1/VLOOKUP($R193,Capa!$A:$Z,AZ$5,0)),0,1/VLOOKUP($R193,Capa!$A:$Z,AZ$5,0))))</f>
        <v/>
      </c>
      <c r="BA195" s="124" t="str">
        <f>IF(BA$6="","",IF(BA$3="Maior",iferror(VLOOKUP($R193,Capa!$A:$Z,BA$5,0),0),IF(ISERROR(1/VLOOKUP($R193,Capa!$A:$Z,BA$5,0)),0,1/VLOOKUP($R193,Capa!$A:$Z,BA$5,0))))</f>
        <v/>
      </c>
      <c r="BB195" s="124" t="str">
        <f>IF(BB$6="","",IF(BB$3="Maior",iferror(VLOOKUP($R193,Capa!$A:$Z,BB$5,0),0),IF(ISERROR(1/VLOOKUP($R193,Capa!$A:$Z,BB$5,0)),0,1/VLOOKUP($R193,Capa!$A:$Z,BB$5,0))))</f>
        <v/>
      </c>
      <c r="BC195" s="124" t="str">
        <f>IF(BC$6="","",IF(BC$3="Maior",iferror(VLOOKUP($R193,Capa!$A:$Z,BC$5,0),0),IF(ISERROR(1/VLOOKUP($R193,Capa!$A:$Z,BC$5,0)),0,1/VLOOKUP($R193,Capa!$A:$Z,BC$5,0))))</f>
        <v/>
      </c>
      <c r="BD195" s="124" t="str">
        <f>IF(BD$6="","",IF(BD$3="Maior",iferror(VLOOKUP($R193,Capa!$A:$Z,BD$5,0),0),IF(ISERROR(1/VLOOKUP($R193,Capa!$A:$Z,BD$5,0)),0,1/VLOOKUP($R193,Capa!$A:$Z,BD$5,0))))</f>
        <v/>
      </c>
      <c r="BE195" s="124" t="str">
        <f>IF(BE$6="","",IF(BE$3="Maior",iferror(VLOOKUP($R193,Capa!$A:$Z,BE$5,0),0),IF(ISERROR(1/VLOOKUP($R193,Capa!$A:$Z,BE$5,0)),0,1/VLOOKUP($R193,Capa!$A:$Z,BE$5,0))))</f>
        <v/>
      </c>
      <c r="BF195" s="124" t="str">
        <f>IF(BF$6="","",IF(BF$3="Maior",iferror(VLOOKUP($R193,Capa!$A:$Z,BF$5,0),0),IF(ISERROR(1/VLOOKUP($R193,Capa!$A:$Z,BF$5,0)),0,1/VLOOKUP($R193,Capa!$A:$Z,BF$5,0))))</f>
        <v/>
      </c>
      <c r="BG195" s="124" t="str">
        <f>IF(BG$6="","",IF(BG$3="Maior",iferror(VLOOKUP($R193,Capa!$A:$Z,BG$5,0),0),IF(ISERROR(1/VLOOKUP($R193,Capa!$A:$Z,BG$5,0)),0,1/VLOOKUP($R193,Capa!$A:$Z,BG$5,0))))</f>
        <v/>
      </c>
      <c r="BH195" s="124" t="str">
        <f>IF(BH$6="","",IF(BH$3="Maior",iferror(VLOOKUP($R193,Capa!$A:$Z,BH$5,0),0),IF(ISERROR(1/VLOOKUP($R193,Capa!$A:$Z,BH$5,0)),0,1/VLOOKUP($R193,Capa!$A:$Z,BH$5,0))))</f>
        <v/>
      </c>
      <c r="BI195" s="124" t="str">
        <f>IF(BI$6="","",IF(BI$3="Maior",iferror(VLOOKUP($R193,Capa!$A:$Z,BI$5,0),0),IF(ISERROR(1/VLOOKUP($R193,Capa!$A:$Z,BI$5,0)),0,1/VLOOKUP($R193,Capa!$A:$Z,BI$5,0))))</f>
        <v/>
      </c>
      <c r="BJ195" s="124" t="str">
        <f>IF(BJ$6="","",IF(BJ$3="Maior",iferror(VLOOKUP($R193,Capa!$A:$Z,BJ$5,0),0),IF(ISERROR(1/VLOOKUP($R193,Capa!$A:$Z,BJ$5,0)),0,1/VLOOKUP($R193,Capa!$A:$Z,BJ$5,0))))</f>
        <v/>
      </c>
      <c r="BK195" s="124" t="str">
        <f>IF(BK$6="","",IF(BK$3="Maior",iferror(VLOOKUP($R193,Capa!$A:$Z,BK$5,0),0),IF(ISERROR(1/VLOOKUP($R193,Capa!$A:$Z,BK$5,0)),0,1/VLOOKUP($R193,Capa!$A:$Z,BK$5,0))))</f>
        <v/>
      </c>
      <c r="BL195" s="124" t="str">
        <f>IF(BL$6="","",IF(BL$3="Maior",iferror(VLOOKUP($R193,Capa!$A:$Z,BL$5,0),0),IF(ISERROR(1/VLOOKUP($R193,Capa!$A:$Z,BL$5,0)),0,1/VLOOKUP($R193,Capa!$A:$Z,BL$5,0))))</f>
        <v/>
      </c>
      <c r="BM195" s="124" t="str">
        <f>IF(BM$6="","",IF(BM$3="Maior",iferror(VLOOKUP($R193,Capa!$A:$Z,BM$5,0),0),IF(ISERROR(1/VLOOKUP($R193,Capa!$A:$Z,BM$5,0)),0,1/VLOOKUP($R193,Capa!$A:$Z,BM$5,0))))</f>
        <v/>
      </c>
      <c r="BN195" s="124" t="str">
        <f>IF(BN$6="","",IF(BN$3="Maior",iferror(VLOOKUP($R193,Capa!$A:$Z,BN$5,0),0),IF(ISERROR(1/VLOOKUP($R193,Capa!$A:$Z,BN$5,0)),0,1/VLOOKUP($R193,Capa!$A:$Z,BN$5,0))))</f>
        <v/>
      </c>
      <c r="BO195" s="124" t="str">
        <f>IF(BO$6="","",IF(BO$3="Maior",iferror(VLOOKUP($R193,Capa!$A:$Z,BO$5,0),0),IF(ISERROR(1/VLOOKUP($R193,Capa!$A:$Z,BO$5,0)),0,1/VLOOKUP($R193,Capa!$A:$Z,BO$5,0))))</f>
        <v/>
      </c>
      <c r="BP195" s="124" t="str">
        <f>IF(BP$6="","",IF(BP$3="Maior",iferror(VLOOKUP($R193,Capa!$A:$Z,BP$5,0),0),IF(ISERROR(1/VLOOKUP($R193,Capa!$A:$Z,BP$5,0)),0,1/VLOOKUP($R193,Capa!$A:$Z,BP$5,0))))</f>
        <v/>
      </c>
      <c r="BQ195" s="124" t="str">
        <f>IF(BQ$6="","",IF(BQ$3="Maior",iferror(VLOOKUP($R193,Capa!$A:$Z,BQ$5,0),0),IF(ISERROR(1/VLOOKUP($R193,Capa!$A:$Z,BQ$5,0)),0,1/VLOOKUP($R193,Capa!$A:$Z,BQ$5,0))))</f>
        <v/>
      </c>
      <c r="BR195" s="125" t="str">
        <f>IF(BR$6="","",IF(BR$3="Maior",iferror(VLOOKUP($R193,Capa!$A:$Z,BR$5,0),0),IF(ISERROR(1/VLOOKUP($R193,Capa!$A:$Z,BR$5,0)),0,1/VLOOKUP($R193,Capa!$A:$Z,BR$5,0))))</f>
        <v/>
      </c>
      <c r="BS195" s="88"/>
    </row>
    <row r="196">
      <c r="G196" s="9"/>
      <c r="H196" s="7"/>
      <c r="I196" s="111"/>
      <c r="J196" s="112"/>
      <c r="K196" s="113"/>
      <c r="L196" s="113"/>
      <c r="M196" s="141"/>
      <c r="N196" s="141"/>
      <c r="O196" s="9"/>
      <c r="P196" s="9"/>
      <c r="Q196" s="9"/>
      <c r="R196" s="126" t="s">
        <v>225</v>
      </c>
      <c r="S196" s="116">
        <f t="shared" si="13"/>
        <v>1275.016907</v>
      </c>
      <c r="T196" s="117">
        <f>MID(VLOOKUP($R196,'Dados ClubeFII'!$A:$AU,23,0),3,100)/1</f>
        <v>489455.8</v>
      </c>
      <c r="U196" s="118">
        <f t="shared" si="14"/>
        <v>168.0168</v>
      </c>
      <c r="V196" s="118">
        <f t="shared" si="15"/>
        <v>107.000107</v>
      </c>
      <c r="W196" s="118" t="str">
        <f t="shared" ref="W196:AS196" si="205">IF(AV196="","", RANK(AV196,AV$7:AV$405,0))</f>
        <v/>
      </c>
      <c r="X196" s="118" t="str">
        <f t="shared" si="205"/>
        <v/>
      </c>
      <c r="Y196" s="118" t="str">
        <f t="shared" si="205"/>
        <v/>
      </c>
      <c r="Z196" s="118" t="str">
        <f t="shared" si="205"/>
        <v/>
      </c>
      <c r="AA196" s="118" t="str">
        <f t="shared" si="205"/>
        <v/>
      </c>
      <c r="AB196" s="118" t="str">
        <f t="shared" si="205"/>
        <v/>
      </c>
      <c r="AC196" s="118" t="str">
        <f t="shared" si="205"/>
        <v/>
      </c>
      <c r="AD196" s="118" t="str">
        <f t="shared" si="205"/>
        <v/>
      </c>
      <c r="AE196" s="118" t="str">
        <f t="shared" si="205"/>
        <v/>
      </c>
      <c r="AF196" s="118" t="str">
        <f t="shared" si="205"/>
        <v/>
      </c>
      <c r="AG196" s="118" t="str">
        <f t="shared" si="205"/>
        <v/>
      </c>
      <c r="AH196" s="118" t="str">
        <f t="shared" si="205"/>
        <v/>
      </c>
      <c r="AI196" s="118" t="str">
        <f t="shared" si="205"/>
        <v/>
      </c>
      <c r="AJ196" s="118" t="str">
        <f t="shared" si="205"/>
        <v/>
      </c>
      <c r="AK196" s="118" t="str">
        <f t="shared" si="205"/>
        <v/>
      </c>
      <c r="AL196" s="118" t="str">
        <f t="shared" si="205"/>
        <v/>
      </c>
      <c r="AM196" s="118" t="str">
        <f t="shared" si="205"/>
        <v/>
      </c>
      <c r="AN196" s="118" t="str">
        <f t="shared" si="205"/>
        <v/>
      </c>
      <c r="AO196" s="118" t="str">
        <f t="shared" si="205"/>
        <v/>
      </c>
      <c r="AP196" s="118" t="str">
        <f t="shared" si="205"/>
        <v/>
      </c>
      <c r="AQ196" s="118" t="str">
        <f t="shared" si="205"/>
        <v/>
      </c>
      <c r="AR196" s="118" t="str">
        <f t="shared" si="205"/>
        <v/>
      </c>
      <c r="AS196" s="118" t="str">
        <f t="shared" si="205"/>
        <v/>
      </c>
      <c r="AT196" s="123">
        <f>IF(AT$6="","",IF(AT$3="Maior",iferror(VLOOKUP($R196,Capa!$A:$Z,AT$5,0),0),IF(ISERROR(1/VLOOKUP($R196,Capa!$A:$Z,AT$5,0)),0,1/VLOOKUP($R196,Capa!$A:$Z,AT$5,0))))</f>
        <v>1.016405136</v>
      </c>
      <c r="AU196" s="124">
        <f>IF(AU$6="","",IF(AU$3="Maior",iferror(VLOOKUP($R196,Capa!$A:$Z,AU$5,0),0),IF(ISERROR(1/VLOOKUP($R196,Capa!$A:$Z,AU$5,0)),0,1/VLOOKUP($R196,Capa!$A:$Z,AU$5,0))))</f>
        <v>0.1056665263</v>
      </c>
      <c r="AV196" s="124" t="str">
        <f>IF(AV$6="","",IF(AV$3="Maior",iferror(VLOOKUP($R194,Capa!$A:$Z,AV$5,0),0),IF(ISERROR(1/VLOOKUP($R194,Capa!$A:$Z,AV$5,0)),0,1/VLOOKUP($R194,Capa!$A:$Z,AV$5,0))))</f>
        <v/>
      </c>
      <c r="AW196" s="124" t="str">
        <f>IF(AW$6="","",IF(AW$3="Maior",iferror(VLOOKUP($R194,Capa!$A:$Z,AW$5,0),0),IF(ISERROR(1/VLOOKUP($R194,Capa!$A:$Z,AW$5,0)),0,1/VLOOKUP($R194,Capa!$A:$Z,AW$5,0))))</f>
        <v/>
      </c>
      <c r="AX196" s="124" t="str">
        <f>IF(AX$6="","",IF(AX$3="Maior",iferror(VLOOKUP($R194,Capa!$A:$Z,AX$5,0),0),IF(ISERROR(1/VLOOKUP($R194,Capa!$A:$Z,AX$5,0)),0,1/VLOOKUP($R194,Capa!$A:$Z,AX$5,0))))</f>
        <v/>
      </c>
      <c r="AY196" s="124" t="str">
        <f>IF(AY$6="","",IF(AY$3="Maior",iferror(VLOOKUP($R194,Capa!$A:$Z,AY$5,0),0),IF(ISERROR(1/VLOOKUP($R194,Capa!$A:$Z,AY$5,0)),0,1/VLOOKUP($R194,Capa!$A:$Z,AY$5,0))))</f>
        <v/>
      </c>
      <c r="AZ196" s="124" t="str">
        <f>IF(AZ$6="","",IF(AZ$3="Maior",iferror(VLOOKUP($R194,Capa!$A:$Z,AZ$5,0),0),IF(ISERROR(1/VLOOKUP($R194,Capa!$A:$Z,AZ$5,0)),0,1/VLOOKUP($R194,Capa!$A:$Z,AZ$5,0))))</f>
        <v/>
      </c>
      <c r="BA196" s="124" t="str">
        <f>IF(BA$6="","",IF(BA$3="Maior",iferror(VLOOKUP($R194,Capa!$A:$Z,BA$5,0),0),IF(ISERROR(1/VLOOKUP($R194,Capa!$A:$Z,BA$5,0)),0,1/VLOOKUP($R194,Capa!$A:$Z,BA$5,0))))</f>
        <v/>
      </c>
      <c r="BB196" s="124" t="str">
        <f>IF(BB$6="","",IF(BB$3="Maior",iferror(VLOOKUP($R194,Capa!$A:$Z,BB$5,0),0),IF(ISERROR(1/VLOOKUP($R194,Capa!$A:$Z,BB$5,0)),0,1/VLOOKUP($R194,Capa!$A:$Z,BB$5,0))))</f>
        <v/>
      </c>
      <c r="BC196" s="124" t="str">
        <f>IF(BC$6="","",IF(BC$3="Maior",iferror(VLOOKUP($R194,Capa!$A:$Z,BC$5,0),0),IF(ISERROR(1/VLOOKUP($R194,Capa!$A:$Z,BC$5,0)),0,1/VLOOKUP($R194,Capa!$A:$Z,BC$5,0))))</f>
        <v/>
      </c>
      <c r="BD196" s="124" t="str">
        <f>IF(BD$6="","",IF(BD$3="Maior",iferror(VLOOKUP($R194,Capa!$A:$Z,BD$5,0),0),IF(ISERROR(1/VLOOKUP($R194,Capa!$A:$Z,BD$5,0)),0,1/VLOOKUP($R194,Capa!$A:$Z,BD$5,0))))</f>
        <v/>
      </c>
      <c r="BE196" s="124" t="str">
        <f>IF(BE$6="","",IF(BE$3="Maior",iferror(VLOOKUP($R194,Capa!$A:$Z,BE$5,0),0),IF(ISERROR(1/VLOOKUP($R194,Capa!$A:$Z,BE$5,0)),0,1/VLOOKUP($R194,Capa!$A:$Z,BE$5,0))))</f>
        <v/>
      </c>
      <c r="BF196" s="124" t="str">
        <f>IF(BF$6="","",IF(BF$3="Maior",iferror(VLOOKUP($R194,Capa!$A:$Z,BF$5,0),0),IF(ISERROR(1/VLOOKUP($R194,Capa!$A:$Z,BF$5,0)),0,1/VLOOKUP($R194,Capa!$A:$Z,BF$5,0))))</f>
        <v/>
      </c>
      <c r="BG196" s="124" t="str">
        <f>IF(BG$6="","",IF(BG$3="Maior",iferror(VLOOKUP($R194,Capa!$A:$Z,BG$5,0),0),IF(ISERROR(1/VLOOKUP($R194,Capa!$A:$Z,BG$5,0)),0,1/VLOOKUP($R194,Capa!$A:$Z,BG$5,0))))</f>
        <v/>
      </c>
      <c r="BH196" s="124" t="str">
        <f>IF(BH$6="","",IF(BH$3="Maior",iferror(VLOOKUP($R194,Capa!$A:$Z,BH$5,0),0),IF(ISERROR(1/VLOOKUP($R194,Capa!$A:$Z,BH$5,0)),0,1/VLOOKUP($R194,Capa!$A:$Z,BH$5,0))))</f>
        <v/>
      </c>
      <c r="BI196" s="124" t="str">
        <f>IF(BI$6="","",IF(BI$3="Maior",iferror(VLOOKUP($R194,Capa!$A:$Z,BI$5,0),0),IF(ISERROR(1/VLOOKUP($R194,Capa!$A:$Z,BI$5,0)),0,1/VLOOKUP($R194,Capa!$A:$Z,BI$5,0))))</f>
        <v/>
      </c>
      <c r="BJ196" s="124" t="str">
        <f>IF(BJ$6="","",IF(BJ$3="Maior",iferror(VLOOKUP($R194,Capa!$A:$Z,BJ$5,0),0),IF(ISERROR(1/VLOOKUP($R194,Capa!$A:$Z,BJ$5,0)),0,1/VLOOKUP($R194,Capa!$A:$Z,BJ$5,0))))</f>
        <v/>
      </c>
      <c r="BK196" s="124" t="str">
        <f>IF(BK$6="","",IF(BK$3="Maior",iferror(VLOOKUP($R194,Capa!$A:$Z,BK$5,0),0),IF(ISERROR(1/VLOOKUP($R194,Capa!$A:$Z,BK$5,0)),0,1/VLOOKUP($R194,Capa!$A:$Z,BK$5,0))))</f>
        <v/>
      </c>
      <c r="BL196" s="124" t="str">
        <f>IF(BL$6="","",IF(BL$3="Maior",iferror(VLOOKUP($R194,Capa!$A:$Z,BL$5,0),0),IF(ISERROR(1/VLOOKUP($R194,Capa!$A:$Z,BL$5,0)),0,1/VLOOKUP($R194,Capa!$A:$Z,BL$5,0))))</f>
        <v/>
      </c>
      <c r="BM196" s="124" t="str">
        <f>IF(BM$6="","",IF(BM$3="Maior",iferror(VLOOKUP($R194,Capa!$A:$Z,BM$5,0),0),IF(ISERROR(1/VLOOKUP($R194,Capa!$A:$Z,BM$5,0)),0,1/VLOOKUP($R194,Capa!$A:$Z,BM$5,0))))</f>
        <v/>
      </c>
      <c r="BN196" s="124" t="str">
        <f>IF(BN$6="","",IF(BN$3="Maior",iferror(VLOOKUP($R194,Capa!$A:$Z,BN$5,0),0),IF(ISERROR(1/VLOOKUP($R194,Capa!$A:$Z,BN$5,0)),0,1/VLOOKUP($R194,Capa!$A:$Z,BN$5,0))))</f>
        <v/>
      </c>
      <c r="BO196" s="124" t="str">
        <f>IF(BO$6="","",IF(BO$3="Maior",iferror(VLOOKUP($R194,Capa!$A:$Z,BO$5,0),0),IF(ISERROR(1/VLOOKUP($R194,Capa!$A:$Z,BO$5,0)),0,1/VLOOKUP($R194,Capa!$A:$Z,BO$5,0))))</f>
        <v/>
      </c>
      <c r="BP196" s="124" t="str">
        <f>IF(BP$6="","",IF(BP$3="Maior",iferror(VLOOKUP($R194,Capa!$A:$Z,BP$5,0),0),IF(ISERROR(1/VLOOKUP($R194,Capa!$A:$Z,BP$5,0)),0,1/VLOOKUP($R194,Capa!$A:$Z,BP$5,0))))</f>
        <v/>
      </c>
      <c r="BQ196" s="124" t="str">
        <f>IF(BQ$6="","",IF(BQ$3="Maior",iferror(VLOOKUP($R194,Capa!$A:$Z,BQ$5,0),0),IF(ISERROR(1/VLOOKUP($R194,Capa!$A:$Z,BQ$5,0)),0,1/VLOOKUP($R194,Capa!$A:$Z,BQ$5,0))))</f>
        <v/>
      </c>
      <c r="BR196" s="125" t="str">
        <f>IF(BR$6="","",IF(BR$3="Maior",iferror(VLOOKUP($R194,Capa!$A:$Z,BR$5,0),0),IF(ISERROR(1/VLOOKUP($R194,Capa!$A:$Z,BR$5,0)),0,1/VLOOKUP($R194,Capa!$A:$Z,BR$5,0))))</f>
        <v/>
      </c>
      <c r="BS196" s="88"/>
    </row>
    <row r="197">
      <c r="G197" s="9"/>
      <c r="H197" s="7"/>
      <c r="I197" s="111"/>
      <c r="J197" s="112"/>
      <c r="K197" s="113"/>
      <c r="L197" s="113"/>
      <c r="M197" s="141"/>
      <c r="N197" s="141"/>
      <c r="O197" s="9"/>
      <c r="P197" s="9"/>
      <c r="Q197" s="9"/>
      <c r="R197" s="126" t="s">
        <v>226</v>
      </c>
      <c r="S197" s="116">
        <f t="shared" si="13"/>
        <v>145.012322</v>
      </c>
      <c r="T197" s="117">
        <f>MID(VLOOKUP($R197,'Dados ClubeFII'!$A:$AU,23,0),3,100)/1</f>
        <v>3824791.46</v>
      </c>
      <c r="U197" s="118">
        <f t="shared" si="14"/>
        <v>123.0123</v>
      </c>
      <c r="V197" s="118">
        <f t="shared" si="15"/>
        <v>22.000022</v>
      </c>
      <c r="W197" s="118" t="str">
        <f t="shared" ref="W197:AS197" si="206">IF(AV197="","", RANK(AV197,AV$7:AV$405,0))</f>
        <v/>
      </c>
      <c r="X197" s="118" t="str">
        <f t="shared" si="206"/>
        <v/>
      </c>
      <c r="Y197" s="118" t="str">
        <f t="shared" si="206"/>
        <v/>
      </c>
      <c r="Z197" s="118" t="str">
        <f t="shared" si="206"/>
        <v/>
      </c>
      <c r="AA197" s="118" t="str">
        <f t="shared" si="206"/>
        <v/>
      </c>
      <c r="AB197" s="118" t="str">
        <f t="shared" si="206"/>
        <v/>
      </c>
      <c r="AC197" s="118" t="str">
        <f t="shared" si="206"/>
        <v/>
      </c>
      <c r="AD197" s="118" t="str">
        <f t="shared" si="206"/>
        <v/>
      </c>
      <c r="AE197" s="118" t="str">
        <f t="shared" si="206"/>
        <v/>
      </c>
      <c r="AF197" s="118" t="str">
        <f t="shared" si="206"/>
        <v/>
      </c>
      <c r="AG197" s="118" t="str">
        <f t="shared" si="206"/>
        <v/>
      </c>
      <c r="AH197" s="118" t="str">
        <f t="shared" si="206"/>
        <v/>
      </c>
      <c r="AI197" s="118" t="str">
        <f t="shared" si="206"/>
        <v/>
      </c>
      <c r="AJ197" s="118" t="str">
        <f t="shared" si="206"/>
        <v/>
      </c>
      <c r="AK197" s="118" t="str">
        <f t="shared" si="206"/>
        <v/>
      </c>
      <c r="AL197" s="118" t="str">
        <f t="shared" si="206"/>
        <v/>
      </c>
      <c r="AM197" s="118" t="str">
        <f t="shared" si="206"/>
        <v/>
      </c>
      <c r="AN197" s="118" t="str">
        <f t="shared" si="206"/>
        <v/>
      </c>
      <c r="AO197" s="118" t="str">
        <f t="shared" si="206"/>
        <v/>
      </c>
      <c r="AP197" s="118" t="str">
        <f t="shared" si="206"/>
        <v/>
      </c>
      <c r="AQ197" s="118" t="str">
        <f t="shared" si="206"/>
        <v/>
      </c>
      <c r="AR197" s="118" t="str">
        <f t="shared" si="206"/>
        <v/>
      </c>
      <c r="AS197" s="118" t="str">
        <f t="shared" si="206"/>
        <v/>
      </c>
      <c r="AT197" s="123">
        <f>IF(AT$6="","",IF(AT$3="Maior",iferror(VLOOKUP($R197,Capa!$A:$Z,AT$5,0),0),IF(ISERROR(1/VLOOKUP($R197,Capa!$A:$Z,AT$5,0)),0,1/VLOOKUP($R197,Capa!$A:$Z,AT$5,0))))</f>
        <v>1.146526737</v>
      </c>
      <c r="AU197" s="124">
        <f>IF(AU$6="","",IF(AU$3="Maior",iferror(VLOOKUP($R197,Capa!$A:$Z,AU$5,0),0),IF(ISERROR(1/VLOOKUP($R197,Capa!$A:$Z,AU$5,0)),0,1/VLOOKUP($R197,Capa!$A:$Z,AU$5,0))))</f>
        <v>0.1512814925</v>
      </c>
      <c r="AV197" s="124" t="str">
        <f>IF(AV$6="","",IF(AV$3="Maior",iferror(VLOOKUP($R195,Capa!$A:$Z,AV$5,0),0),IF(ISERROR(1/VLOOKUP($R195,Capa!$A:$Z,AV$5,0)),0,1/VLOOKUP($R195,Capa!$A:$Z,AV$5,0))))</f>
        <v/>
      </c>
      <c r="AW197" s="124" t="str">
        <f>IF(AW$6="","",IF(AW$3="Maior",iferror(VLOOKUP($R195,Capa!$A:$Z,AW$5,0),0),IF(ISERROR(1/VLOOKUP($R195,Capa!$A:$Z,AW$5,0)),0,1/VLOOKUP($R195,Capa!$A:$Z,AW$5,0))))</f>
        <v/>
      </c>
      <c r="AX197" s="124" t="str">
        <f>IF(AX$6="","",IF(AX$3="Maior",iferror(VLOOKUP($R195,Capa!$A:$Z,AX$5,0),0),IF(ISERROR(1/VLOOKUP($R195,Capa!$A:$Z,AX$5,0)),0,1/VLOOKUP($R195,Capa!$A:$Z,AX$5,0))))</f>
        <v/>
      </c>
      <c r="AY197" s="124" t="str">
        <f>IF(AY$6="","",IF(AY$3="Maior",iferror(VLOOKUP($R195,Capa!$A:$Z,AY$5,0),0),IF(ISERROR(1/VLOOKUP($R195,Capa!$A:$Z,AY$5,0)),0,1/VLOOKUP($R195,Capa!$A:$Z,AY$5,0))))</f>
        <v/>
      </c>
      <c r="AZ197" s="124" t="str">
        <f>IF(AZ$6="","",IF(AZ$3="Maior",iferror(VLOOKUP($R195,Capa!$A:$Z,AZ$5,0),0),IF(ISERROR(1/VLOOKUP($R195,Capa!$A:$Z,AZ$5,0)),0,1/VLOOKUP($R195,Capa!$A:$Z,AZ$5,0))))</f>
        <v/>
      </c>
      <c r="BA197" s="124" t="str">
        <f>IF(BA$6="","",IF(BA$3="Maior",iferror(VLOOKUP($R195,Capa!$A:$Z,BA$5,0),0),IF(ISERROR(1/VLOOKUP($R195,Capa!$A:$Z,BA$5,0)),0,1/VLOOKUP($R195,Capa!$A:$Z,BA$5,0))))</f>
        <v/>
      </c>
      <c r="BB197" s="124" t="str">
        <f>IF(BB$6="","",IF(BB$3="Maior",iferror(VLOOKUP($R195,Capa!$A:$Z,BB$5,0),0),IF(ISERROR(1/VLOOKUP($R195,Capa!$A:$Z,BB$5,0)),0,1/VLOOKUP($R195,Capa!$A:$Z,BB$5,0))))</f>
        <v/>
      </c>
      <c r="BC197" s="124" t="str">
        <f>IF(BC$6="","",IF(BC$3="Maior",iferror(VLOOKUP($R195,Capa!$A:$Z,BC$5,0),0),IF(ISERROR(1/VLOOKUP($R195,Capa!$A:$Z,BC$5,0)),0,1/VLOOKUP($R195,Capa!$A:$Z,BC$5,0))))</f>
        <v/>
      </c>
      <c r="BD197" s="124" t="str">
        <f>IF(BD$6="","",IF(BD$3="Maior",iferror(VLOOKUP($R195,Capa!$A:$Z,BD$5,0),0),IF(ISERROR(1/VLOOKUP($R195,Capa!$A:$Z,BD$5,0)),0,1/VLOOKUP($R195,Capa!$A:$Z,BD$5,0))))</f>
        <v/>
      </c>
      <c r="BE197" s="124" t="str">
        <f>IF(BE$6="","",IF(BE$3="Maior",iferror(VLOOKUP($R195,Capa!$A:$Z,BE$5,0),0),IF(ISERROR(1/VLOOKUP($R195,Capa!$A:$Z,BE$5,0)),0,1/VLOOKUP($R195,Capa!$A:$Z,BE$5,0))))</f>
        <v/>
      </c>
      <c r="BF197" s="124" t="str">
        <f>IF(BF$6="","",IF(BF$3="Maior",iferror(VLOOKUP($R195,Capa!$A:$Z,BF$5,0),0),IF(ISERROR(1/VLOOKUP($R195,Capa!$A:$Z,BF$5,0)),0,1/VLOOKUP($R195,Capa!$A:$Z,BF$5,0))))</f>
        <v/>
      </c>
      <c r="BG197" s="124" t="str">
        <f>IF(BG$6="","",IF(BG$3="Maior",iferror(VLOOKUP($R195,Capa!$A:$Z,BG$5,0),0),IF(ISERROR(1/VLOOKUP($R195,Capa!$A:$Z,BG$5,0)),0,1/VLOOKUP($R195,Capa!$A:$Z,BG$5,0))))</f>
        <v/>
      </c>
      <c r="BH197" s="124" t="str">
        <f>IF(BH$6="","",IF(BH$3="Maior",iferror(VLOOKUP($R195,Capa!$A:$Z,BH$5,0),0),IF(ISERROR(1/VLOOKUP($R195,Capa!$A:$Z,BH$5,0)),0,1/VLOOKUP($R195,Capa!$A:$Z,BH$5,0))))</f>
        <v/>
      </c>
      <c r="BI197" s="124" t="str">
        <f>IF(BI$6="","",IF(BI$3="Maior",iferror(VLOOKUP($R195,Capa!$A:$Z,BI$5,0),0),IF(ISERROR(1/VLOOKUP($R195,Capa!$A:$Z,BI$5,0)),0,1/VLOOKUP($R195,Capa!$A:$Z,BI$5,0))))</f>
        <v/>
      </c>
      <c r="BJ197" s="124" t="str">
        <f>IF(BJ$6="","",IF(BJ$3="Maior",iferror(VLOOKUP($R195,Capa!$A:$Z,BJ$5,0),0),IF(ISERROR(1/VLOOKUP($R195,Capa!$A:$Z,BJ$5,0)),0,1/VLOOKUP($R195,Capa!$A:$Z,BJ$5,0))))</f>
        <v/>
      </c>
      <c r="BK197" s="124" t="str">
        <f>IF(BK$6="","",IF(BK$3="Maior",iferror(VLOOKUP($R195,Capa!$A:$Z,BK$5,0),0),IF(ISERROR(1/VLOOKUP($R195,Capa!$A:$Z,BK$5,0)),0,1/VLOOKUP($R195,Capa!$A:$Z,BK$5,0))))</f>
        <v/>
      </c>
      <c r="BL197" s="124" t="str">
        <f>IF(BL$6="","",IF(BL$3="Maior",iferror(VLOOKUP($R195,Capa!$A:$Z,BL$5,0),0),IF(ISERROR(1/VLOOKUP($R195,Capa!$A:$Z,BL$5,0)),0,1/VLOOKUP($R195,Capa!$A:$Z,BL$5,0))))</f>
        <v/>
      </c>
      <c r="BM197" s="124" t="str">
        <f>IF(BM$6="","",IF(BM$3="Maior",iferror(VLOOKUP($R195,Capa!$A:$Z,BM$5,0),0),IF(ISERROR(1/VLOOKUP($R195,Capa!$A:$Z,BM$5,0)),0,1/VLOOKUP($R195,Capa!$A:$Z,BM$5,0))))</f>
        <v/>
      </c>
      <c r="BN197" s="124" t="str">
        <f>IF(BN$6="","",IF(BN$3="Maior",iferror(VLOOKUP($R195,Capa!$A:$Z,BN$5,0),0),IF(ISERROR(1/VLOOKUP($R195,Capa!$A:$Z,BN$5,0)),0,1/VLOOKUP($R195,Capa!$A:$Z,BN$5,0))))</f>
        <v/>
      </c>
      <c r="BO197" s="124" t="str">
        <f>IF(BO$6="","",IF(BO$3="Maior",iferror(VLOOKUP($R195,Capa!$A:$Z,BO$5,0),0),IF(ISERROR(1/VLOOKUP($R195,Capa!$A:$Z,BO$5,0)),0,1/VLOOKUP($R195,Capa!$A:$Z,BO$5,0))))</f>
        <v/>
      </c>
      <c r="BP197" s="124" t="str">
        <f>IF(BP$6="","",IF(BP$3="Maior",iferror(VLOOKUP($R195,Capa!$A:$Z,BP$5,0),0),IF(ISERROR(1/VLOOKUP($R195,Capa!$A:$Z,BP$5,0)),0,1/VLOOKUP($R195,Capa!$A:$Z,BP$5,0))))</f>
        <v/>
      </c>
      <c r="BQ197" s="124" t="str">
        <f>IF(BQ$6="","",IF(BQ$3="Maior",iferror(VLOOKUP($R195,Capa!$A:$Z,BQ$5,0),0),IF(ISERROR(1/VLOOKUP($R195,Capa!$A:$Z,BQ$5,0)),0,1/VLOOKUP($R195,Capa!$A:$Z,BQ$5,0))))</f>
        <v/>
      </c>
      <c r="BR197" s="125" t="str">
        <f>IF(BR$6="","",IF(BR$3="Maior",iferror(VLOOKUP($R195,Capa!$A:$Z,BR$5,0),0),IF(ISERROR(1/VLOOKUP($R195,Capa!$A:$Z,BR$5,0)),0,1/VLOOKUP($R195,Capa!$A:$Z,BR$5,0))))</f>
        <v/>
      </c>
      <c r="BS197" s="88"/>
    </row>
    <row r="198">
      <c r="G198" s="9"/>
      <c r="H198" s="7"/>
      <c r="I198" s="111"/>
      <c r="J198" s="112"/>
      <c r="K198" s="113"/>
      <c r="L198" s="113"/>
      <c r="M198" s="141"/>
      <c r="N198" s="141"/>
      <c r="O198" s="9"/>
      <c r="P198" s="9"/>
      <c r="Q198" s="9"/>
      <c r="R198" s="126" t="s">
        <v>227</v>
      </c>
      <c r="S198" s="116">
        <f t="shared" si="13"/>
        <v>186.016917</v>
      </c>
      <c r="T198" s="117">
        <f>MID(VLOOKUP($R198,'Dados ClubeFII'!$A:$AU,23,0),3,100)/1</f>
        <v>1991947.09</v>
      </c>
      <c r="U198" s="118">
        <f t="shared" si="14"/>
        <v>169.0169</v>
      </c>
      <c r="V198" s="118">
        <f t="shared" si="15"/>
        <v>17.000017</v>
      </c>
      <c r="W198" s="118" t="str">
        <f t="shared" ref="W198:AS198" si="207">IF(AV198="","", RANK(AV198,AV$7:AV$405,0))</f>
        <v/>
      </c>
      <c r="X198" s="118" t="str">
        <f t="shared" si="207"/>
        <v/>
      </c>
      <c r="Y198" s="118" t="str">
        <f t="shared" si="207"/>
        <v/>
      </c>
      <c r="Z198" s="118" t="str">
        <f t="shared" si="207"/>
        <v/>
      </c>
      <c r="AA198" s="118" t="str">
        <f t="shared" si="207"/>
        <v/>
      </c>
      <c r="AB198" s="118" t="str">
        <f t="shared" si="207"/>
        <v/>
      </c>
      <c r="AC198" s="118" t="str">
        <f t="shared" si="207"/>
        <v/>
      </c>
      <c r="AD198" s="118" t="str">
        <f t="shared" si="207"/>
        <v/>
      </c>
      <c r="AE198" s="118" t="str">
        <f t="shared" si="207"/>
        <v/>
      </c>
      <c r="AF198" s="118" t="str">
        <f t="shared" si="207"/>
        <v/>
      </c>
      <c r="AG198" s="118" t="str">
        <f t="shared" si="207"/>
        <v/>
      </c>
      <c r="AH198" s="118" t="str">
        <f t="shared" si="207"/>
        <v/>
      </c>
      <c r="AI198" s="118" t="str">
        <f t="shared" si="207"/>
        <v/>
      </c>
      <c r="AJ198" s="118" t="str">
        <f t="shared" si="207"/>
        <v/>
      </c>
      <c r="AK198" s="118" t="str">
        <f t="shared" si="207"/>
        <v/>
      </c>
      <c r="AL198" s="118" t="str">
        <f t="shared" si="207"/>
        <v/>
      </c>
      <c r="AM198" s="118" t="str">
        <f t="shared" si="207"/>
        <v/>
      </c>
      <c r="AN198" s="118" t="str">
        <f t="shared" si="207"/>
        <v/>
      </c>
      <c r="AO198" s="118" t="str">
        <f t="shared" si="207"/>
        <v/>
      </c>
      <c r="AP198" s="118" t="str">
        <f t="shared" si="207"/>
        <v/>
      </c>
      <c r="AQ198" s="118" t="str">
        <f t="shared" si="207"/>
        <v/>
      </c>
      <c r="AR198" s="118" t="str">
        <f t="shared" si="207"/>
        <v/>
      </c>
      <c r="AS198" s="118" t="str">
        <f t="shared" si="207"/>
        <v/>
      </c>
      <c r="AT198" s="123">
        <f>IF(AT$6="","",IF(AT$3="Maior",iferror(VLOOKUP($R198,Capa!$A:$Z,AT$5,0),0),IF(ISERROR(1/VLOOKUP($R198,Capa!$A:$Z,AT$5,0)),0,1/VLOOKUP($R198,Capa!$A:$Z,AT$5,0))))</f>
        <v>1.014585365</v>
      </c>
      <c r="AU198" s="124">
        <f>IF(AU$6="","",IF(AU$3="Maior",iferror(VLOOKUP($R198,Capa!$A:$Z,AU$5,0),0),IF(ISERROR(1/VLOOKUP($R198,Capa!$A:$Z,AU$5,0)),0,1/VLOOKUP($R198,Capa!$A:$Z,AU$5,0))))</f>
        <v>0.1549122652</v>
      </c>
      <c r="AV198" s="124" t="str">
        <f>IF(AV$6="","",IF(AV$3="Maior",iferror(VLOOKUP($R196,Capa!$A:$Z,AV$5,0),0),IF(ISERROR(1/VLOOKUP($R196,Capa!$A:$Z,AV$5,0)),0,1/VLOOKUP($R196,Capa!$A:$Z,AV$5,0))))</f>
        <v/>
      </c>
      <c r="AW198" s="124" t="str">
        <f>IF(AW$6="","",IF(AW$3="Maior",iferror(VLOOKUP($R196,Capa!$A:$Z,AW$5,0),0),IF(ISERROR(1/VLOOKUP($R196,Capa!$A:$Z,AW$5,0)),0,1/VLOOKUP($R196,Capa!$A:$Z,AW$5,0))))</f>
        <v/>
      </c>
      <c r="AX198" s="124" t="str">
        <f>IF(AX$6="","",IF(AX$3="Maior",iferror(VLOOKUP($R196,Capa!$A:$Z,AX$5,0),0),IF(ISERROR(1/VLOOKUP($R196,Capa!$A:$Z,AX$5,0)),0,1/VLOOKUP($R196,Capa!$A:$Z,AX$5,0))))</f>
        <v/>
      </c>
      <c r="AY198" s="124" t="str">
        <f>IF(AY$6="","",IF(AY$3="Maior",iferror(VLOOKUP($R196,Capa!$A:$Z,AY$5,0),0),IF(ISERROR(1/VLOOKUP($R196,Capa!$A:$Z,AY$5,0)),0,1/VLOOKUP($R196,Capa!$A:$Z,AY$5,0))))</f>
        <v/>
      </c>
      <c r="AZ198" s="124" t="str">
        <f>IF(AZ$6="","",IF(AZ$3="Maior",iferror(VLOOKUP($R196,Capa!$A:$Z,AZ$5,0),0),IF(ISERROR(1/VLOOKUP($R196,Capa!$A:$Z,AZ$5,0)),0,1/VLOOKUP($R196,Capa!$A:$Z,AZ$5,0))))</f>
        <v/>
      </c>
      <c r="BA198" s="124" t="str">
        <f>IF(BA$6="","",IF(BA$3="Maior",iferror(VLOOKUP($R196,Capa!$A:$Z,BA$5,0),0),IF(ISERROR(1/VLOOKUP($R196,Capa!$A:$Z,BA$5,0)),0,1/VLOOKUP($R196,Capa!$A:$Z,BA$5,0))))</f>
        <v/>
      </c>
      <c r="BB198" s="124" t="str">
        <f>IF(BB$6="","",IF(BB$3="Maior",iferror(VLOOKUP($R196,Capa!$A:$Z,BB$5,0),0),IF(ISERROR(1/VLOOKUP($R196,Capa!$A:$Z,BB$5,0)),0,1/VLOOKUP($R196,Capa!$A:$Z,BB$5,0))))</f>
        <v/>
      </c>
      <c r="BC198" s="124" t="str">
        <f>IF(BC$6="","",IF(BC$3="Maior",iferror(VLOOKUP($R196,Capa!$A:$Z,BC$5,0),0),IF(ISERROR(1/VLOOKUP($R196,Capa!$A:$Z,BC$5,0)),0,1/VLOOKUP($R196,Capa!$A:$Z,BC$5,0))))</f>
        <v/>
      </c>
      <c r="BD198" s="124" t="str">
        <f>IF(BD$6="","",IF(BD$3="Maior",iferror(VLOOKUP($R196,Capa!$A:$Z,BD$5,0),0),IF(ISERROR(1/VLOOKUP($R196,Capa!$A:$Z,BD$5,0)),0,1/VLOOKUP($R196,Capa!$A:$Z,BD$5,0))))</f>
        <v/>
      </c>
      <c r="BE198" s="124" t="str">
        <f>IF(BE$6="","",IF(BE$3="Maior",iferror(VLOOKUP($R196,Capa!$A:$Z,BE$5,0),0),IF(ISERROR(1/VLOOKUP($R196,Capa!$A:$Z,BE$5,0)),0,1/VLOOKUP($R196,Capa!$A:$Z,BE$5,0))))</f>
        <v/>
      </c>
      <c r="BF198" s="124" t="str">
        <f>IF(BF$6="","",IF(BF$3="Maior",iferror(VLOOKUP($R196,Capa!$A:$Z,BF$5,0),0),IF(ISERROR(1/VLOOKUP($R196,Capa!$A:$Z,BF$5,0)),0,1/VLOOKUP($R196,Capa!$A:$Z,BF$5,0))))</f>
        <v/>
      </c>
      <c r="BG198" s="124" t="str">
        <f>IF(BG$6="","",IF(BG$3="Maior",iferror(VLOOKUP($R196,Capa!$A:$Z,BG$5,0),0),IF(ISERROR(1/VLOOKUP($R196,Capa!$A:$Z,BG$5,0)),0,1/VLOOKUP($R196,Capa!$A:$Z,BG$5,0))))</f>
        <v/>
      </c>
      <c r="BH198" s="124" t="str">
        <f>IF(BH$6="","",IF(BH$3="Maior",iferror(VLOOKUP($R196,Capa!$A:$Z,BH$5,0),0),IF(ISERROR(1/VLOOKUP($R196,Capa!$A:$Z,BH$5,0)),0,1/VLOOKUP($R196,Capa!$A:$Z,BH$5,0))))</f>
        <v/>
      </c>
      <c r="BI198" s="124" t="str">
        <f>IF(BI$6="","",IF(BI$3="Maior",iferror(VLOOKUP($R196,Capa!$A:$Z,BI$5,0),0),IF(ISERROR(1/VLOOKUP($R196,Capa!$A:$Z,BI$5,0)),0,1/VLOOKUP($R196,Capa!$A:$Z,BI$5,0))))</f>
        <v/>
      </c>
      <c r="BJ198" s="124" t="str">
        <f>IF(BJ$6="","",IF(BJ$3="Maior",iferror(VLOOKUP($R196,Capa!$A:$Z,BJ$5,0),0),IF(ISERROR(1/VLOOKUP($R196,Capa!$A:$Z,BJ$5,0)),0,1/VLOOKUP($R196,Capa!$A:$Z,BJ$5,0))))</f>
        <v/>
      </c>
      <c r="BK198" s="124" t="str">
        <f>IF(BK$6="","",IF(BK$3="Maior",iferror(VLOOKUP($R196,Capa!$A:$Z,BK$5,0),0),IF(ISERROR(1/VLOOKUP($R196,Capa!$A:$Z,BK$5,0)),0,1/VLOOKUP($R196,Capa!$A:$Z,BK$5,0))))</f>
        <v/>
      </c>
      <c r="BL198" s="124" t="str">
        <f>IF(BL$6="","",IF(BL$3="Maior",iferror(VLOOKUP($R196,Capa!$A:$Z,BL$5,0),0),IF(ISERROR(1/VLOOKUP($R196,Capa!$A:$Z,BL$5,0)),0,1/VLOOKUP($R196,Capa!$A:$Z,BL$5,0))))</f>
        <v/>
      </c>
      <c r="BM198" s="124" t="str">
        <f>IF(BM$6="","",IF(BM$3="Maior",iferror(VLOOKUP($R196,Capa!$A:$Z,BM$5,0),0),IF(ISERROR(1/VLOOKUP($R196,Capa!$A:$Z,BM$5,0)),0,1/VLOOKUP($R196,Capa!$A:$Z,BM$5,0))))</f>
        <v/>
      </c>
      <c r="BN198" s="124" t="str">
        <f>IF(BN$6="","",IF(BN$3="Maior",iferror(VLOOKUP($R196,Capa!$A:$Z,BN$5,0),0),IF(ISERROR(1/VLOOKUP($R196,Capa!$A:$Z,BN$5,0)),0,1/VLOOKUP($R196,Capa!$A:$Z,BN$5,0))))</f>
        <v/>
      </c>
      <c r="BO198" s="124" t="str">
        <f>IF(BO$6="","",IF(BO$3="Maior",iferror(VLOOKUP($R196,Capa!$A:$Z,BO$5,0),0),IF(ISERROR(1/VLOOKUP($R196,Capa!$A:$Z,BO$5,0)),0,1/VLOOKUP($R196,Capa!$A:$Z,BO$5,0))))</f>
        <v/>
      </c>
      <c r="BP198" s="124" t="str">
        <f>IF(BP$6="","",IF(BP$3="Maior",iferror(VLOOKUP($R196,Capa!$A:$Z,BP$5,0),0),IF(ISERROR(1/VLOOKUP($R196,Capa!$A:$Z,BP$5,0)),0,1/VLOOKUP($R196,Capa!$A:$Z,BP$5,0))))</f>
        <v/>
      </c>
      <c r="BQ198" s="124" t="str">
        <f>IF(BQ$6="","",IF(BQ$3="Maior",iferror(VLOOKUP($R196,Capa!$A:$Z,BQ$5,0),0),IF(ISERROR(1/VLOOKUP($R196,Capa!$A:$Z,BQ$5,0)),0,1/VLOOKUP($R196,Capa!$A:$Z,BQ$5,0))))</f>
        <v/>
      </c>
      <c r="BR198" s="125" t="str">
        <f>IF(BR$6="","",IF(BR$3="Maior",iferror(VLOOKUP($R196,Capa!$A:$Z,BR$5,0),0),IF(ISERROR(1/VLOOKUP($R196,Capa!$A:$Z,BR$5,0)),0,1/VLOOKUP($R196,Capa!$A:$Z,BR$5,0))))</f>
        <v/>
      </c>
      <c r="BS198" s="88"/>
    </row>
    <row r="199">
      <c r="G199" s="9"/>
      <c r="H199" s="7"/>
      <c r="I199" s="111"/>
      <c r="J199" s="112"/>
      <c r="K199" s="113"/>
      <c r="L199" s="113"/>
      <c r="M199" s="141"/>
      <c r="N199" s="141"/>
      <c r="O199" s="9"/>
      <c r="P199" s="9"/>
      <c r="Q199" s="9"/>
      <c r="R199" s="126" t="s">
        <v>228</v>
      </c>
      <c r="S199" s="116">
        <f t="shared" si="13"/>
        <v>1079.004732</v>
      </c>
      <c r="T199" s="117">
        <f>MID(VLOOKUP($R199,'Dados ClubeFII'!$A:$AU,23,0),3,100)/1</f>
        <v>915725.76</v>
      </c>
      <c r="U199" s="118">
        <f t="shared" si="14"/>
        <v>47.0047</v>
      </c>
      <c r="V199" s="118">
        <f t="shared" si="15"/>
        <v>32.000032</v>
      </c>
      <c r="W199" s="118" t="str">
        <f t="shared" ref="W199:AS199" si="208">IF(AV199="","", RANK(AV199,AV$7:AV$405,0))</f>
        <v/>
      </c>
      <c r="X199" s="118" t="str">
        <f t="shared" si="208"/>
        <v/>
      </c>
      <c r="Y199" s="118" t="str">
        <f t="shared" si="208"/>
        <v/>
      </c>
      <c r="Z199" s="118" t="str">
        <f t="shared" si="208"/>
        <v/>
      </c>
      <c r="AA199" s="118" t="str">
        <f t="shared" si="208"/>
        <v/>
      </c>
      <c r="AB199" s="118" t="str">
        <f t="shared" si="208"/>
        <v/>
      </c>
      <c r="AC199" s="118" t="str">
        <f t="shared" si="208"/>
        <v/>
      </c>
      <c r="AD199" s="118" t="str">
        <f t="shared" si="208"/>
        <v/>
      </c>
      <c r="AE199" s="118" t="str">
        <f t="shared" si="208"/>
        <v/>
      </c>
      <c r="AF199" s="118" t="str">
        <f t="shared" si="208"/>
        <v/>
      </c>
      <c r="AG199" s="118" t="str">
        <f t="shared" si="208"/>
        <v/>
      </c>
      <c r="AH199" s="118" t="str">
        <f t="shared" si="208"/>
        <v/>
      </c>
      <c r="AI199" s="118" t="str">
        <f t="shared" si="208"/>
        <v/>
      </c>
      <c r="AJ199" s="118" t="str">
        <f t="shared" si="208"/>
        <v/>
      </c>
      <c r="AK199" s="118" t="str">
        <f t="shared" si="208"/>
        <v/>
      </c>
      <c r="AL199" s="118" t="str">
        <f t="shared" si="208"/>
        <v/>
      </c>
      <c r="AM199" s="118" t="str">
        <f t="shared" si="208"/>
        <v/>
      </c>
      <c r="AN199" s="118" t="str">
        <f t="shared" si="208"/>
        <v/>
      </c>
      <c r="AO199" s="118" t="str">
        <f t="shared" si="208"/>
        <v/>
      </c>
      <c r="AP199" s="118" t="str">
        <f t="shared" si="208"/>
        <v/>
      </c>
      <c r="AQ199" s="118" t="str">
        <f t="shared" si="208"/>
        <v/>
      </c>
      <c r="AR199" s="118" t="str">
        <f t="shared" si="208"/>
        <v/>
      </c>
      <c r="AS199" s="118" t="str">
        <f t="shared" si="208"/>
        <v/>
      </c>
      <c r="AT199" s="123">
        <f>IF(AT$6="","",IF(AT$3="Maior",iferror(VLOOKUP($R199,Capa!$A:$Z,AT$5,0),0),IF(ISERROR(1/VLOOKUP($R199,Capa!$A:$Z,AT$5,0)),0,1/VLOOKUP($R199,Capa!$A:$Z,AT$5,0))))</f>
        <v>1.452811773</v>
      </c>
      <c r="AU199" s="124">
        <f>IF(AU$6="","",IF(AU$3="Maior",iferror(VLOOKUP($R199,Capa!$A:$Z,AU$5,0),0),IF(ISERROR(1/VLOOKUP($R199,Capa!$A:$Z,AU$5,0)),0,1/VLOOKUP($R199,Capa!$A:$Z,AU$5,0))))</f>
        <v>0.1472643411</v>
      </c>
      <c r="AV199" s="124" t="str">
        <f>IF(AV$6="","",IF(AV$3="Maior",iferror(VLOOKUP($R197,Capa!$A:$Z,AV$5,0),0),IF(ISERROR(1/VLOOKUP($R197,Capa!$A:$Z,AV$5,0)),0,1/VLOOKUP($R197,Capa!$A:$Z,AV$5,0))))</f>
        <v/>
      </c>
      <c r="AW199" s="124" t="str">
        <f>IF(AW$6="","",IF(AW$3="Maior",iferror(VLOOKUP($R197,Capa!$A:$Z,AW$5,0),0),IF(ISERROR(1/VLOOKUP($R197,Capa!$A:$Z,AW$5,0)),0,1/VLOOKUP($R197,Capa!$A:$Z,AW$5,0))))</f>
        <v/>
      </c>
      <c r="AX199" s="124" t="str">
        <f>IF(AX$6="","",IF(AX$3="Maior",iferror(VLOOKUP($R197,Capa!$A:$Z,AX$5,0),0),IF(ISERROR(1/VLOOKUP($R197,Capa!$A:$Z,AX$5,0)),0,1/VLOOKUP($R197,Capa!$A:$Z,AX$5,0))))</f>
        <v/>
      </c>
      <c r="AY199" s="124" t="str">
        <f>IF(AY$6="","",IF(AY$3="Maior",iferror(VLOOKUP($R197,Capa!$A:$Z,AY$5,0),0),IF(ISERROR(1/VLOOKUP($R197,Capa!$A:$Z,AY$5,0)),0,1/VLOOKUP($R197,Capa!$A:$Z,AY$5,0))))</f>
        <v/>
      </c>
      <c r="AZ199" s="124" t="str">
        <f>IF(AZ$6="","",IF(AZ$3="Maior",iferror(VLOOKUP($R197,Capa!$A:$Z,AZ$5,0),0),IF(ISERROR(1/VLOOKUP($R197,Capa!$A:$Z,AZ$5,0)),0,1/VLOOKUP($R197,Capa!$A:$Z,AZ$5,0))))</f>
        <v/>
      </c>
      <c r="BA199" s="124" t="str">
        <f>IF(BA$6="","",IF(BA$3="Maior",iferror(VLOOKUP($R197,Capa!$A:$Z,BA$5,0),0),IF(ISERROR(1/VLOOKUP($R197,Capa!$A:$Z,BA$5,0)),0,1/VLOOKUP($R197,Capa!$A:$Z,BA$5,0))))</f>
        <v/>
      </c>
      <c r="BB199" s="124" t="str">
        <f>IF(BB$6="","",IF(BB$3="Maior",iferror(VLOOKUP($R197,Capa!$A:$Z,BB$5,0),0),IF(ISERROR(1/VLOOKUP($R197,Capa!$A:$Z,BB$5,0)),0,1/VLOOKUP($R197,Capa!$A:$Z,BB$5,0))))</f>
        <v/>
      </c>
      <c r="BC199" s="124" t="str">
        <f>IF(BC$6="","",IF(BC$3="Maior",iferror(VLOOKUP($R197,Capa!$A:$Z,BC$5,0),0),IF(ISERROR(1/VLOOKUP($R197,Capa!$A:$Z,BC$5,0)),0,1/VLOOKUP($R197,Capa!$A:$Z,BC$5,0))))</f>
        <v/>
      </c>
      <c r="BD199" s="124" t="str">
        <f>IF(BD$6="","",IF(BD$3="Maior",iferror(VLOOKUP($R197,Capa!$A:$Z,BD$5,0),0),IF(ISERROR(1/VLOOKUP($R197,Capa!$A:$Z,BD$5,0)),0,1/VLOOKUP($R197,Capa!$A:$Z,BD$5,0))))</f>
        <v/>
      </c>
      <c r="BE199" s="124" t="str">
        <f>IF(BE$6="","",IF(BE$3="Maior",iferror(VLOOKUP($R197,Capa!$A:$Z,BE$5,0),0),IF(ISERROR(1/VLOOKUP($R197,Capa!$A:$Z,BE$5,0)),0,1/VLOOKUP($R197,Capa!$A:$Z,BE$5,0))))</f>
        <v/>
      </c>
      <c r="BF199" s="124" t="str">
        <f>IF(BF$6="","",IF(BF$3="Maior",iferror(VLOOKUP($R197,Capa!$A:$Z,BF$5,0),0),IF(ISERROR(1/VLOOKUP($R197,Capa!$A:$Z,BF$5,0)),0,1/VLOOKUP($R197,Capa!$A:$Z,BF$5,0))))</f>
        <v/>
      </c>
      <c r="BG199" s="124" t="str">
        <f>IF(BG$6="","",IF(BG$3="Maior",iferror(VLOOKUP($R197,Capa!$A:$Z,BG$5,0),0),IF(ISERROR(1/VLOOKUP($R197,Capa!$A:$Z,BG$5,0)),0,1/VLOOKUP($R197,Capa!$A:$Z,BG$5,0))))</f>
        <v/>
      </c>
      <c r="BH199" s="124" t="str">
        <f>IF(BH$6="","",IF(BH$3="Maior",iferror(VLOOKUP($R197,Capa!$A:$Z,BH$5,0),0),IF(ISERROR(1/VLOOKUP($R197,Capa!$A:$Z,BH$5,0)),0,1/VLOOKUP($R197,Capa!$A:$Z,BH$5,0))))</f>
        <v/>
      </c>
      <c r="BI199" s="124" t="str">
        <f>IF(BI$6="","",IF(BI$3="Maior",iferror(VLOOKUP($R197,Capa!$A:$Z,BI$5,0),0),IF(ISERROR(1/VLOOKUP($R197,Capa!$A:$Z,BI$5,0)),0,1/VLOOKUP($R197,Capa!$A:$Z,BI$5,0))))</f>
        <v/>
      </c>
      <c r="BJ199" s="124" t="str">
        <f>IF(BJ$6="","",IF(BJ$3="Maior",iferror(VLOOKUP($R197,Capa!$A:$Z,BJ$5,0),0),IF(ISERROR(1/VLOOKUP($R197,Capa!$A:$Z,BJ$5,0)),0,1/VLOOKUP($R197,Capa!$A:$Z,BJ$5,0))))</f>
        <v/>
      </c>
      <c r="BK199" s="124" t="str">
        <f>IF(BK$6="","",IF(BK$3="Maior",iferror(VLOOKUP($R197,Capa!$A:$Z,BK$5,0),0),IF(ISERROR(1/VLOOKUP($R197,Capa!$A:$Z,BK$5,0)),0,1/VLOOKUP($R197,Capa!$A:$Z,BK$5,0))))</f>
        <v/>
      </c>
      <c r="BL199" s="124" t="str">
        <f>IF(BL$6="","",IF(BL$3="Maior",iferror(VLOOKUP($R197,Capa!$A:$Z,BL$5,0),0),IF(ISERROR(1/VLOOKUP($R197,Capa!$A:$Z,BL$5,0)),0,1/VLOOKUP($R197,Capa!$A:$Z,BL$5,0))))</f>
        <v/>
      </c>
      <c r="BM199" s="124" t="str">
        <f>IF(BM$6="","",IF(BM$3="Maior",iferror(VLOOKUP($R197,Capa!$A:$Z,BM$5,0),0),IF(ISERROR(1/VLOOKUP($R197,Capa!$A:$Z,BM$5,0)),0,1/VLOOKUP($R197,Capa!$A:$Z,BM$5,0))))</f>
        <v/>
      </c>
      <c r="BN199" s="124" t="str">
        <f>IF(BN$6="","",IF(BN$3="Maior",iferror(VLOOKUP($R197,Capa!$A:$Z,BN$5,0),0),IF(ISERROR(1/VLOOKUP($R197,Capa!$A:$Z,BN$5,0)),0,1/VLOOKUP($R197,Capa!$A:$Z,BN$5,0))))</f>
        <v/>
      </c>
      <c r="BO199" s="124" t="str">
        <f>IF(BO$6="","",IF(BO$3="Maior",iferror(VLOOKUP($R197,Capa!$A:$Z,BO$5,0),0),IF(ISERROR(1/VLOOKUP($R197,Capa!$A:$Z,BO$5,0)),0,1/VLOOKUP($R197,Capa!$A:$Z,BO$5,0))))</f>
        <v/>
      </c>
      <c r="BP199" s="124" t="str">
        <f>IF(BP$6="","",IF(BP$3="Maior",iferror(VLOOKUP($R197,Capa!$A:$Z,BP$5,0),0),IF(ISERROR(1/VLOOKUP($R197,Capa!$A:$Z,BP$5,0)),0,1/VLOOKUP($R197,Capa!$A:$Z,BP$5,0))))</f>
        <v/>
      </c>
      <c r="BQ199" s="124" t="str">
        <f>IF(BQ$6="","",IF(BQ$3="Maior",iferror(VLOOKUP($R197,Capa!$A:$Z,BQ$5,0),0),IF(ISERROR(1/VLOOKUP($R197,Capa!$A:$Z,BQ$5,0)),0,1/VLOOKUP($R197,Capa!$A:$Z,BQ$5,0))))</f>
        <v/>
      </c>
      <c r="BR199" s="125" t="str">
        <f>IF(BR$6="","",IF(BR$3="Maior",iferror(VLOOKUP($R197,Capa!$A:$Z,BR$5,0),0),IF(ISERROR(1/VLOOKUP($R197,Capa!$A:$Z,BR$5,0)),0,1/VLOOKUP($R197,Capa!$A:$Z,BR$5,0))))</f>
        <v/>
      </c>
      <c r="BS199" s="88"/>
    </row>
    <row r="200">
      <c r="G200" s="9"/>
      <c r="H200" s="7"/>
      <c r="I200" s="111"/>
      <c r="J200" s="112"/>
      <c r="K200" s="113"/>
      <c r="L200" s="113"/>
      <c r="M200" s="141"/>
      <c r="N200" s="141"/>
      <c r="O200" s="9"/>
      <c r="P200" s="9"/>
      <c r="Q200" s="9"/>
      <c r="R200" s="126" t="s">
        <v>229</v>
      </c>
      <c r="S200" s="116">
        <f t="shared" si="13"/>
        <v>1122.005072</v>
      </c>
      <c r="T200" s="117">
        <f>MID(VLOOKUP($R200,'Dados ClubeFII'!$A:$AU,23,0),3,100)/1</f>
        <v>280597.45</v>
      </c>
      <c r="U200" s="118">
        <f t="shared" si="14"/>
        <v>50.005</v>
      </c>
      <c r="V200" s="118">
        <f t="shared" si="15"/>
        <v>72.000072</v>
      </c>
      <c r="W200" s="118" t="str">
        <f t="shared" ref="W200:AS200" si="209">IF(AV200="","", RANK(AV200,AV$7:AV$405,0))</f>
        <v/>
      </c>
      <c r="X200" s="118" t="str">
        <f t="shared" si="209"/>
        <v/>
      </c>
      <c r="Y200" s="118" t="str">
        <f t="shared" si="209"/>
        <v/>
      </c>
      <c r="Z200" s="118" t="str">
        <f t="shared" si="209"/>
        <v/>
      </c>
      <c r="AA200" s="118" t="str">
        <f t="shared" si="209"/>
        <v/>
      </c>
      <c r="AB200" s="118" t="str">
        <f t="shared" si="209"/>
        <v/>
      </c>
      <c r="AC200" s="118" t="str">
        <f t="shared" si="209"/>
        <v/>
      </c>
      <c r="AD200" s="118" t="str">
        <f t="shared" si="209"/>
        <v/>
      </c>
      <c r="AE200" s="118" t="str">
        <f t="shared" si="209"/>
        <v/>
      </c>
      <c r="AF200" s="118" t="str">
        <f t="shared" si="209"/>
        <v/>
      </c>
      <c r="AG200" s="118" t="str">
        <f t="shared" si="209"/>
        <v/>
      </c>
      <c r="AH200" s="118" t="str">
        <f t="shared" si="209"/>
        <v/>
      </c>
      <c r="AI200" s="118" t="str">
        <f t="shared" si="209"/>
        <v/>
      </c>
      <c r="AJ200" s="118" t="str">
        <f t="shared" si="209"/>
        <v/>
      </c>
      <c r="AK200" s="118" t="str">
        <f t="shared" si="209"/>
        <v/>
      </c>
      <c r="AL200" s="118" t="str">
        <f t="shared" si="209"/>
        <v/>
      </c>
      <c r="AM200" s="118" t="str">
        <f t="shared" si="209"/>
        <v/>
      </c>
      <c r="AN200" s="118" t="str">
        <f t="shared" si="209"/>
        <v/>
      </c>
      <c r="AO200" s="118" t="str">
        <f t="shared" si="209"/>
        <v/>
      </c>
      <c r="AP200" s="118" t="str">
        <f t="shared" si="209"/>
        <v/>
      </c>
      <c r="AQ200" s="118" t="str">
        <f t="shared" si="209"/>
        <v/>
      </c>
      <c r="AR200" s="118" t="str">
        <f t="shared" si="209"/>
        <v/>
      </c>
      <c r="AS200" s="118" t="str">
        <f t="shared" si="209"/>
        <v/>
      </c>
      <c r="AT200" s="123">
        <f>IF(AT$6="","",IF(AT$3="Maior",iferror(VLOOKUP($R200,Capa!$A:$Z,AT$5,0),0),IF(ISERROR(1/VLOOKUP($R200,Capa!$A:$Z,AT$5,0)),0,1/VLOOKUP($R200,Capa!$A:$Z,AT$5,0))))</f>
        <v>1.416442591</v>
      </c>
      <c r="AU200" s="124">
        <f>IF(AU$6="","",IF(AU$3="Maior",iferror(VLOOKUP($R200,Capa!$A:$Z,AU$5,0),0),IF(ISERROR(1/VLOOKUP($R200,Capa!$A:$Z,AU$5,0)),0,1/VLOOKUP($R200,Capa!$A:$Z,AU$5,0))))</f>
        <v>0.1239841555</v>
      </c>
      <c r="AV200" s="124" t="str">
        <f>IF(AV$6="","",IF(AV$3="Maior",iferror(VLOOKUP($R198,Capa!$A:$Z,AV$5,0),0),IF(ISERROR(1/VLOOKUP($R198,Capa!$A:$Z,AV$5,0)),0,1/VLOOKUP($R198,Capa!$A:$Z,AV$5,0))))</f>
        <v/>
      </c>
      <c r="AW200" s="124" t="str">
        <f>IF(AW$6="","",IF(AW$3="Maior",iferror(VLOOKUP($R198,Capa!$A:$Z,AW$5,0),0),IF(ISERROR(1/VLOOKUP($R198,Capa!$A:$Z,AW$5,0)),0,1/VLOOKUP($R198,Capa!$A:$Z,AW$5,0))))</f>
        <v/>
      </c>
      <c r="AX200" s="124" t="str">
        <f>IF(AX$6="","",IF(AX$3="Maior",iferror(VLOOKUP($R198,Capa!$A:$Z,AX$5,0),0),IF(ISERROR(1/VLOOKUP($R198,Capa!$A:$Z,AX$5,0)),0,1/VLOOKUP($R198,Capa!$A:$Z,AX$5,0))))</f>
        <v/>
      </c>
      <c r="AY200" s="124" t="str">
        <f>IF(AY$6="","",IF(AY$3="Maior",iferror(VLOOKUP($R198,Capa!$A:$Z,AY$5,0),0),IF(ISERROR(1/VLOOKUP($R198,Capa!$A:$Z,AY$5,0)),0,1/VLOOKUP($R198,Capa!$A:$Z,AY$5,0))))</f>
        <v/>
      </c>
      <c r="AZ200" s="124" t="str">
        <f>IF(AZ$6="","",IF(AZ$3="Maior",iferror(VLOOKUP($R198,Capa!$A:$Z,AZ$5,0),0),IF(ISERROR(1/VLOOKUP($R198,Capa!$A:$Z,AZ$5,0)),0,1/VLOOKUP($R198,Capa!$A:$Z,AZ$5,0))))</f>
        <v/>
      </c>
      <c r="BA200" s="124" t="str">
        <f>IF(BA$6="","",IF(BA$3="Maior",iferror(VLOOKUP($R198,Capa!$A:$Z,BA$5,0),0),IF(ISERROR(1/VLOOKUP($R198,Capa!$A:$Z,BA$5,0)),0,1/VLOOKUP($R198,Capa!$A:$Z,BA$5,0))))</f>
        <v/>
      </c>
      <c r="BB200" s="124" t="str">
        <f>IF(BB$6="","",IF(BB$3="Maior",iferror(VLOOKUP($R198,Capa!$A:$Z,BB$5,0),0),IF(ISERROR(1/VLOOKUP($R198,Capa!$A:$Z,BB$5,0)),0,1/VLOOKUP($R198,Capa!$A:$Z,BB$5,0))))</f>
        <v/>
      </c>
      <c r="BC200" s="124" t="str">
        <f>IF(BC$6="","",IF(BC$3="Maior",iferror(VLOOKUP($R198,Capa!$A:$Z,BC$5,0),0),IF(ISERROR(1/VLOOKUP($R198,Capa!$A:$Z,BC$5,0)),0,1/VLOOKUP($R198,Capa!$A:$Z,BC$5,0))))</f>
        <v/>
      </c>
      <c r="BD200" s="124" t="str">
        <f>IF(BD$6="","",IF(BD$3="Maior",iferror(VLOOKUP($R198,Capa!$A:$Z,BD$5,0),0),IF(ISERROR(1/VLOOKUP($R198,Capa!$A:$Z,BD$5,0)),0,1/VLOOKUP($R198,Capa!$A:$Z,BD$5,0))))</f>
        <v/>
      </c>
      <c r="BE200" s="124" t="str">
        <f>IF(BE$6="","",IF(BE$3="Maior",iferror(VLOOKUP($R198,Capa!$A:$Z,BE$5,0),0),IF(ISERROR(1/VLOOKUP($R198,Capa!$A:$Z,BE$5,0)),0,1/VLOOKUP($R198,Capa!$A:$Z,BE$5,0))))</f>
        <v/>
      </c>
      <c r="BF200" s="124" t="str">
        <f>IF(BF$6="","",IF(BF$3="Maior",iferror(VLOOKUP($R198,Capa!$A:$Z,BF$5,0),0),IF(ISERROR(1/VLOOKUP($R198,Capa!$A:$Z,BF$5,0)),0,1/VLOOKUP($R198,Capa!$A:$Z,BF$5,0))))</f>
        <v/>
      </c>
      <c r="BG200" s="124" t="str">
        <f>IF(BG$6="","",IF(BG$3="Maior",iferror(VLOOKUP($R198,Capa!$A:$Z,BG$5,0),0),IF(ISERROR(1/VLOOKUP($R198,Capa!$A:$Z,BG$5,0)),0,1/VLOOKUP($R198,Capa!$A:$Z,BG$5,0))))</f>
        <v/>
      </c>
      <c r="BH200" s="124" t="str">
        <f>IF(BH$6="","",IF(BH$3="Maior",iferror(VLOOKUP($R198,Capa!$A:$Z,BH$5,0),0),IF(ISERROR(1/VLOOKUP($R198,Capa!$A:$Z,BH$5,0)),0,1/VLOOKUP($R198,Capa!$A:$Z,BH$5,0))))</f>
        <v/>
      </c>
      <c r="BI200" s="124" t="str">
        <f>IF(BI$6="","",IF(BI$3="Maior",iferror(VLOOKUP($R198,Capa!$A:$Z,BI$5,0),0),IF(ISERROR(1/VLOOKUP($R198,Capa!$A:$Z,BI$5,0)),0,1/VLOOKUP($R198,Capa!$A:$Z,BI$5,0))))</f>
        <v/>
      </c>
      <c r="BJ200" s="124" t="str">
        <f>IF(BJ$6="","",IF(BJ$3="Maior",iferror(VLOOKUP($R198,Capa!$A:$Z,BJ$5,0),0),IF(ISERROR(1/VLOOKUP($R198,Capa!$A:$Z,BJ$5,0)),0,1/VLOOKUP($R198,Capa!$A:$Z,BJ$5,0))))</f>
        <v/>
      </c>
      <c r="BK200" s="124" t="str">
        <f>IF(BK$6="","",IF(BK$3="Maior",iferror(VLOOKUP($R198,Capa!$A:$Z,BK$5,0),0),IF(ISERROR(1/VLOOKUP($R198,Capa!$A:$Z,BK$5,0)),0,1/VLOOKUP($R198,Capa!$A:$Z,BK$5,0))))</f>
        <v/>
      </c>
      <c r="BL200" s="124" t="str">
        <f>IF(BL$6="","",IF(BL$3="Maior",iferror(VLOOKUP($R198,Capa!$A:$Z,BL$5,0),0),IF(ISERROR(1/VLOOKUP($R198,Capa!$A:$Z,BL$5,0)),0,1/VLOOKUP($R198,Capa!$A:$Z,BL$5,0))))</f>
        <v/>
      </c>
      <c r="BM200" s="124" t="str">
        <f>IF(BM$6="","",IF(BM$3="Maior",iferror(VLOOKUP($R198,Capa!$A:$Z,BM$5,0),0),IF(ISERROR(1/VLOOKUP($R198,Capa!$A:$Z,BM$5,0)),0,1/VLOOKUP($R198,Capa!$A:$Z,BM$5,0))))</f>
        <v/>
      </c>
      <c r="BN200" s="124" t="str">
        <f>IF(BN$6="","",IF(BN$3="Maior",iferror(VLOOKUP($R198,Capa!$A:$Z,BN$5,0),0),IF(ISERROR(1/VLOOKUP($R198,Capa!$A:$Z,BN$5,0)),0,1/VLOOKUP($R198,Capa!$A:$Z,BN$5,0))))</f>
        <v/>
      </c>
      <c r="BO200" s="124" t="str">
        <f>IF(BO$6="","",IF(BO$3="Maior",iferror(VLOOKUP($R198,Capa!$A:$Z,BO$5,0),0),IF(ISERROR(1/VLOOKUP($R198,Capa!$A:$Z,BO$5,0)),0,1/VLOOKUP($R198,Capa!$A:$Z,BO$5,0))))</f>
        <v/>
      </c>
      <c r="BP200" s="124" t="str">
        <f>IF(BP$6="","",IF(BP$3="Maior",iferror(VLOOKUP($R198,Capa!$A:$Z,BP$5,0),0),IF(ISERROR(1/VLOOKUP($R198,Capa!$A:$Z,BP$5,0)),0,1/VLOOKUP($R198,Capa!$A:$Z,BP$5,0))))</f>
        <v/>
      </c>
      <c r="BQ200" s="124" t="str">
        <f>IF(BQ$6="","",IF(BQ$3="Maior",iferror(VLOOKUP($R198,Capa!$A:$Z,BQ$5,0),0),IF(ISERROR(1/VLOOKUP($R198,Capa!$A:$Z,BQ$5,0)),0,1/VLOOKUP($R198,Capa!$A:$Z,BQ$5,0))))</f>
        <v/>
      </c>
      <c r="BR200" s="125" t="str">
        <f>IF(BR$6="","",IF(BR$3="Maior",iferror(VLOOKUP($R198,Capa!$A:$Z,BR$5,0),0),IF(ISERROR(1/VLOOKUP($R198,Capa!$A:$Z,BR$5,0)),0,1/VLOOKUP($R198,Capa!$A:$Z,BR$5,0))))</f>
        <v/>
      </c>
      <c r="BS200" s="88"/>
    </row>
    <row r="201">
      <c r="G201" s="9"/>
      <c r="H201" s="7"/>
      <c r="I201" s="111"/>
      <c r="J201" s="112"/>
      <c r="K201" s="113"/>
      <c r="L201" s="113"/>
      <c r="M201" s="141"/>
      <c r="N201" s="141"/>
      <c r="O201" s="9"/>
      <c r="P201" s="9"/>
      <c r="Q201" s="9"/>
      <c r="R201" s="126" t="s">
        <v>230</v>
      </c>
      <c r="S201" s="116">
        <f t="shared" si="13"/>
        <v>1174.015915</v>
      </c>
      <c r="T201" s="117">
        <f>MID(VLOOKUP($R201,'Dados ClubeFII'!$A:$AU,23,0),3,100)/1</f>
        <v>33040.66</v>
      </c>
      <c r="U201" s="118">
        <f t="shared" si="14"/>
        <v>159.0159</v>
      </c>
      <c r="V201" s="118">
        <f t="shared" si="15"/>
        <v>15.000015</v>
      </c>
      <c r="W201" s="118" t="str">
        <f t="shared" ref="W201:AS201" si="210">IF(AV201="","", RANK(AV201,AV$7:AV$405,0))</f>
        <v/>
      </c>
      <c r="X201" s="118" t="str">
        <f t="shared" si="210"/>
        <v/>
      </c>
      <c r="Y201" s="118" t="str">
        <f t="shared" si="210"/>
        <v/>
      </c>
      <c r="Z201" s="118" t="str">
        <f t="shared" si="210"/>
        <v/>
      </c>
      <c r="AA201" s="118" t="str">
        <f t="shared" si="210"/>
        <v/>
      </c>
      <c r="AB201" s="118" t="str">
        <f t="shared" si="210"/>
        <v/>
      </c>
      <c r="AC201" s="118" t="str">
        <f t="shared" si="210"/>
        <v/>
      </c>
      <c r="AD201" s="118" t="str">
        <f t="shared" si="210"/>
        <v/>
      </c>
      <c r="AE201" s="118" t="str">
        <f t="shared" si="210"/>
        <v/>
      </c>
      <c r="AF201" s="118" t="str">
        <f t="shared" si="210"/>
        <v/>
      </c>
      <c r="AG201" s="118" t="str">
        <f t="shared" si="210"/>
        <v/>
      </c>
      <c r="AH201" s="118" t="str">
        <f t="shared" si="210"/>
        <v/>
      </c>
      <c r="AI201" s="118" t="str">
        <f t="shared" si="210"/>
        <v/>
      </c>
      <c r="AJ201" s="118" t="str">
        <f t="shared" si="210"/>
        <v/>
      </c>
      <c r="AK201" s="118" t="str">
        <f t="shared" si="210"/>
        <v/>
      </c>
      <c r="AL201" s="118" t="str">
        <f t="shared" si="210"/>
        <v/>
      </c>
      <c r="AM201" s="118" t="str">
        <f t="shared" si="210"/>
        <v/>
      </c>
      <c r="AN201" s="118" t="str">
        <f t="shared" si="210"/>
        <v/>
      </c>
      <c r="AO201" s="118" t="str">
        <f t="shared" si="210"/>
        <v/>
      </c>
      <c r="AP201" s="118" t="str">
        <f t="shared" si="210"/>
        <v/>
      </c>
      <c r="AQ201" s="118" t="str">
        <f t="shared" si="210"/>
        <v/>
      </c>
      <c r="AR201" s="118" t="str">
        <f t="shared" si="210"/>
        <v/>
      </c>
      <c r="AS201" s="118" t="str">
        <f t="shared" si="210"/>
        <v/>
      </c>
      <c r="AT201" s="123">
        <f>IF(AT$6="","",IF(AT$3="Maior",iferror(VLOOKUP($R201,Capa!$A:$Z,AT$5,0),0),IF(ISERROR(1/VLOOKUP($R201,Capa!$A:$Z,AT$5,0)),0,1/VLOOKUP($R201,Capa!$A:$Z,AT$5,0))))</f>
        <v>1.042171008</v>
      </c>
      <c r="AU201" s="124">
        <f>IF(AU$6="","",IF(AU$3="Maior",iferror(VLOOKUP($R201,Capa!$A:$Z,AU$5,0),0),IF(ISERROR(1/VLOOKUP($R201,Capa!$A:$Z,AU$5,0)),0,1/VLOOKUP($R201,Capa!$A:$Z,AU$5,0))))</f>
        <v>0.1552987224</v>
      </c>
      <c r="AV201" s="124" t="str">
        <f>IF(AV$6="","",IF(AV$3="Maior",iferror(VLOOKUP($R199,Capa!$A:$Z,AV$5,0),0),IF(ISERROR(1/VLOOKUP($R199,Capa!$A:$Z,AV$5,0)),0,1/VLOOKUP($R199,Capa!$A:$Z,AV$5,0))))</f>
        <v/>
      </c>
      <c r="AW201" s="124" t="str">
        <f>IF(AW$6="","",IF(AW$3="Maior",iferror(VLOOKUP($R199,Capa!$A:$Z,AW$5,0),0),IF(ISERROR(1/VLOOKUP($R199,Capa!$A:$Z,AW$5,0)),0,1/VLOOKUP($R199,Capa!$A:$Z,AW$5,0))))</f>
        <v/>
      </c>
      <c r="AX201" s="124" t="str">
        <f>IF(AX$6="","",IF(AX$3="Maior",iferror(VLOOKUP($R199,Capa!$A:$Z,AX$5,0),0),IF(ISERROR(1/VLOOKUP($R199,Capa!$A:$Z,AX$5,0)),0,1/VLOOKUP($R199,Capa!$A:$Z,AX$5,0))))</f>
        <v/>
      </c>
      <c r="AY201" s="124" t="str">
        <f>IF(AY$6="","",IF(AY$3="Maior",iferror(VLOOKUP($R199,Capa!$A:$Z,AY$5,0),0),IF(ISERROR(1/VLOOKUP($R199,Capa!$A:$Z,AY$5,0)),0,1/VLOOKUP($R199,Capa!$A:$Z,AY$5,0))))</f>
        <v/>
      </c>
      <c r="AZ201" s="124" t="str">
        <f>IF(AZ$6="","",IF(AZ$3="Maior",iferror(VLOOKUP($R199,Capa!$A:$Z,AZ$5,0),0),IF(ISERROR(1/VLOOKUP($R199,Capa!$A:$Z,AZ$5,0)),0,1/VLOOKUP($R199,Capa!$A:$Z,AZ$5,0))))</f>
        <v/>
      </c>
      <c r="BA201" s="124" t="str">
        <f>IF(BA$6="","",IF(BA$3="Maior",iferror(VLOOKUP($R199,Capa!$A:$Z,BA$5,0),0),IF(ISERROR(1/VLOOKUP($R199,Capa!$A:$Z,BA$5,0)),0,1/VLOOKUP($R199,Capa!$A:$Z,BA$5,0))))</f>
        <v/>
      </c>
      <c r="BB201" s="124" t="str">
        <f>IF(BB$6="","",IF(BB$3="Maior",iferror(VLOOKUP($R199,Capa!$A:$Z,BB$5,0),0),IF(ISERROR(1/VLOOKUP($R199,Capa!$A:$Z,BB$5,0)),0,1/VLOOKUP($R199,Capa!$A:$Z,BB$5,0))))</f>
        <v/>
      </c>
      <c r="BC201" s="124" t="str">
        <f>IF(BC$6="","",IF(BC$3="Maior",iferror(VLOOKUP($R199,Capa!$A:$Z,BC$5,0),0),IF(ISERROR(1/VLOOKUP($R199,Capa!$A:$Z,BC$5,0)),0,1/VLOOKUP($R199,Capa!$A:$Z,BC$5,0))))</f>
        <v/>
      </c>
      <c r="BD201" s="124" t="str">
        <f>IF(BD$6="","",IF(BD$3="Maior",iferror(VLOOKUP($R199,Capa!$A:$Z,BD$5,0),0),IF(ISERROR(1/VLOOKUP($R199,Capa!$A:$Z,BD$5,0)),0,1/VLOOKUP($R199,Capa!$A:$Z,BD$5,0))))</f>
        <v/>
      </c>
      <c r="BE201" s="124" t="str">
        <f>IF(BE$6="","",IF(BE$3="Maior",iferror(VLOOKUP($R199,Capa!$A:$Z,BE$5,0),0),IF(ISERROR(1/VLOOKUP($R199,Capa!$A:$Z,BE$5,0)),0,1/VLOOKUP($R199,Capa!$A:$Z,BE$5,0))))</f>
        <v/>
      </c>
      <c r="BF201" s="124" t="str">
        <f>IF(BF$6="","",IF(BF$3="Maior",iferror(VLOOKUP($R199,Capa!$A:$Z,BF$5,0),0),IF(ISERROR(1/VLOOKUP($R199,Capa!$A:$Z,BF$5,0)),0,1/VLOOKUP($R199,Capa!$A:$Z,BF$5,0))))</f>
        <v/>
      </c>
      <c r="BG201" s="124" t="str">
        <f>IF(BG$6="","",IF(BG$3="Maior",iferror(VLOOKUP($R199,Capa!$A:$Z,BG$5,0),0),IF(ISERROR(1/VLOOKUP($R199,Capa!$A:$Z,BG$5,0)),0,1/VLOOKUP($R199,Capa!$A:$Z,BG$5,0))))</f>
        <v/>
      </c>
      <c r="BH201" s="124" t="str">
        <f>IF(BH$6="","",IF(BH$3="Maior",iferror(VLOOKUP($R199,Capa!$A:$Z,BH$5,0),0),IF(ISERROR(1/VLOOKUP($R199,Capa!$A:$Z,BH$5,0)),0,1/VLOOKUP($R199,Capa!$A:$Z,BH$5,0))))</f>
        <v/>
      </c>
      <c r="BI201" s="124" t="str">
        <f>IF(BI$6="","",IF(BI$3="Maior",iferror(VLOOKUP($R199,Capa!$A:$Z,BI$5,0),0),IF(ISERROR(1/VLOOKUP($R199,Capa!$A:$Z,BI$5,0)),0,1/VLOOKUP($R199,Capa!$A:$Z,BI$5,0))))</f>
        <v/>
      </c>
      <c r="BJ201" s="124" t="str">
        <f>IF(BJ$6="","",IF(BJ$3="Maior",iferror(VLOOKUP($R199,Capa!$A:$Z,BJ$5,0),0),IF(ISERROR(1/VLOOKUP($R199,Capa!$A:$Z,BJ$5,0)),0,1/VLOOKUP($R199,Capa!$A:$Z,BJ$5,0))))</f>
        <v/>
      </c>
      <c r="BK201" s="124" t="str">
        <f>IF(BK$6="","",IF(BK$3="Maior",iferror(VLOOKUP($R199,Capa!$A:$Z,BK$5,0),0),IF(ISERROR(1/VLOOKUP($R199,Capa!$A:$Z,BK$5,0)),0,1/VLOOKUP($R199,Capa!$A:$Z,BK$5,0))))</f>
        <v/>
      </c>
      <c r="BL201" s="124" t="str">
        <f>IF(BL$6="","",IF(BL$3="Maior",iferror(VLOOKUP($R199,Capa!$A:$Z,BL$5,0),0),IF(ISERROR(1/VLOOKUP($R199,Capa!$A:$Z,BL$5,0)),0,1/VLOOKUP($R199,Capa!$A:$Z,BL$5,0))))</f>
        <v/>
      </c>
      <c r="BM201" s="124" t="str">
        <f>IF(BM$6="","",IF(BM$3="Maior",iferror(VLOOKUP($R199,Capa!$A:$Z,BM$5,0),0),IF(ISERROR(1/VLOOKUP($R199,Capa!$A:$Z,BM$5,0)),0,1/VLOOKUP($R199,Capa!$A:$Z,BM$5,0))))</f>
        <v/>
      </c>
      <c r="BN201" s="124" t="str">
        <f>IF(BN$6="","",IF(BN$3="Maior",iferror(VLOOKUP($R199,Capa!$A:$Z,BN$5,0),0),IF(ISERROR(1/VLOOKUP($R199,Capa!$A:$Z,BN$5,0)),0,1/VLOOKUP($R199,Capa!$A:$Z,BN$5,0))))</f>
        <v/>
      </c>
      <c r="BO201" s="124" t="str">
        <f>IF(BO$6="","",IF(BO$3="Maior",iferror(VLOOKUP($R199,Capa!$A:$Z,BO$5,0),0),IF(ISERROR(1/VLOOKUP($R199,Capa!$A:$Z,BO$5,0)),0,1/VLOOKUP($R199,Capa!$A:$Z,BO$5,0))))</f>
        <v/>
      </c>
      <c r="BP201" s="124" t="str">
        <f>IF(BP$6="","",IF(BP$3="Maior",iferror(VLOOKUP($R199,Capa!$A:$Z,BP$5,0),0),IF(ISERROR(1/VLOOKUP($R199,Capa!$A:$Z,BP$5,0)),0,1/VLOOKUP($R199,Capa!$A:$Z,BP$5,0))))</f>
        <v/>
      </c>
      <c r="BQ201" s="124" t="str">
        <f>IF(BQ$6="","",IF(BQ$3="Maior",iferror(VLOOKUP($R199,Capa!$A:$Z,BQ$5,0),0),IF(ISERROR(1/VLOOKUP($R199,Capa!$A:$Z,BQ$5,0)),0,1/VLOOKUP($R199,Capa!$A:$Z,BQ$5,0))))</f>
        <v/>
      </c>
      <c r="BR201" s="125" t="str">
        <f>IF(BR$6="","",IF(BR$3="Maior",iferror(VLOOKUP($R199,Capa!$A:$Z,BR$5,0),0),IF(ISERROR(1/VLOOKUP($R199,Capa!$A:$Z,BR$5,0)),0,1/VLOOKUP($R199,Capa!$A:$Z,BR$5,0))))</f>
        <v/>
      </c>
      <c r="BS201" s="88"/>
    </row>
    <row r="202">
      <c r="G202" s="9"/>
      <c r="H202" s="7"/>
      <c r="I202" s="111"/>
      <c r="J202" s="112"/>
      <c r="K202" s="113"/>
      <c r="L202" s="113"/>
      <c r="M202" s="141"/>
      <c r="N202" s="141"/>
      <c r="O202" s="9"/>
      <c r="P202" s="9"/>
      <c r="Q202" s="9"/>
      <c r="R202" s="142"/>
      <c r="S202" s="116"/>
      <c r="T202" s="117"/>
      <c r="U202" s="118"/>
      <c r="V202" s="118"/>
      <c r="W202" s="118"/>
      <c r="X202" s="118"/>
      <c r="Y202" s="118"/>
      <c r="Z202" s="118"/>
      <c r="AA202" s="118"/>
      <c r="AB202" s="118"/>
      <c r="AC202" s="118"/>
      <c r="AD202" s="118"/>
      <c r="AE202" s="118"/>
      <c r="AF202" s="118"/>
      <c r="AG202" s="118"/>
      <c r="AH202" s="118"/>
      <c r="AI202" s="118"/>
      <c r="AJ202" s="118"/>
      <c r="AK202" s="118"/>
      <c r="AL202" s="118"/>
      <c r="AM202" s="118"/>
      <c r="AN202" s="118"/>
      <c r="AO202" s="118"/>
      <c r="AP202" s="118"/>
      <c r="AQ202" s="118"/>
      <c r="AR202" s="118"/>
      <c r="AS202" s="118"/>
      <c r="AT202" s="123"/>
      <c r="AU202" s="124"/>
      <c r="AV202" s="124"/>
      <c r="AW202" s="124"/>
      <c r="AX202" s="124"/>
      <c r="AY202" s="124"/>
      <c r="AZ202" s="124"/>
      <c r="BA202" s="124"/>
      <c r="BB202" s="124"/>
      <c r="BC202" s="124"/>
      <c r="BD202" s="124"/>
      <c r="BE202" s="124"/>
      <c r="BF202" s="124"/>
      <c r="BG202" s="124"/>
      <c r="BH202" s="124"/>
      <c r="BI202" s="124"/>
      <c r="BJ202" s="124"/>
      <c r="BK202" s="124"/>
      <c r="BL202" s="124"/>
      <c r="BM202" s="124"/>
      <c r="BN202" s="124"/>
      <c r="BO202" s="124"/>
      <c r="BP202" s="124"/>
      <c r="BQ202" s="124"/>
      <c r="BR202" s="125"/>
      <c r="BS202" s="88"/>
    </row>
    <row r="203">
      <c r="G203" s="9"/>
      <c r="H203" s="7"/>
      <c r="I203" s="111"/>
      <c r="J203" s="112"/>
      <c r="K203" s="113"/>
      <c r="L203" s="113"/>
      <c r="M203" s="141"/>
      <c r="N203" s="141"/>
      <c r="O203" s="9"/>
      <c r="P203" s="9"/>
      <c r="Q203" s="9"/>
      <c r="R203" s="142"/>
      <c r="S203" s="116"/>
      <c r="T203" s="117"/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18"/>
      <c r="AE203" s="118"/>
      <c r="AF203" s="118"/>
      <c r="AG203" s="118"/>
      <c r="AH203" s="118"/>
      <c r="AI203" s="118"/>
      <c r="AJ203" s="118"/>
      <c r="AK203" s="118"/>
      <c r="AL203" s="118"/>
      <c r="AM203" s="118"/>
      <c r="AN203" s="118"/>
      <c r="AO203" s="118"/>
      <c r="AP203" s="118"/>
      <c r="AQ203" s="118"/>
      <c r="AR203" s="118"/>
      <c r="AS203" s="118"/>
      <c r="AT203" s="123"/>
      <c r="AU203" s="124"/>
      <c r="AV203" s="124"/>
      <c r="AW203" s="124"/>
      <c r="AX203" s="124"/>
      <c r="AY203" s="124"/>
      <c r="AZ203" s="124"/>
      <c r="BA203" s="124"/>
      <c r="BB203" s="124"/>
      <c r="BC203" s="124"/>
      <c r="BD203" s="124"/>
      <c r="BE203" s="124"/>
      <c r="BF203" s="124"/>
      <c r="BG203" s="124"/>
      <c r="BH203" s="124"/>
      <c r="BI203" s="124"/>
      <c r="BJ203" s="124"/>
      <c r="BK203" s="124"/>
      <c r="BL203" s="124"/>
      <c r="BM203" s="124"/>
      <c r="BN203" s="124"/>
      <c r="BO203" s="124"/>
      <c r="BP203" s="124"/>
      <c r="BQ203" s="124"/>
      <c r="BR203" s="125"/>
      <c r="BS203" s="88"/>
    </row>
    <row r="204">
      <c r="G204" s="9"/>
      <c r="H204" s="7"/>
      <c r="I204" s="111"/>
      <c r="J204" s="112"/>
      <c r="K204" s="113"/>
      <c r="L204" s="113"/>
      <c r="M204" s="141"/>
      <c r="N204" s="141"/>
      <c r="O204" s="9"/>
      <c r="P204" s="9"/>
      <c r="Q204" s="9"/>
      <c r="R204" s="142"/>
      <c r="S204" s="116"/>
      <c r="T204" s="117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  <c r="AE204" s="118"/>
      <c r="AF204" s="118"/>
      <c r="AG204" s="118"/>
      <c r="AH204" s="118"/>
      <c r="AI204" s="118"/>
      <c r="AJ204" s="118"/>
      <c r="AK204" s="118"/>
      <c r="AL204" s="118"/>
      <c r="AM204" s="118"/>
      <c r="AN204" s="118"/>
      <c r="AO204" s="118"/>
      <c r="AP204" s="118"/>
      <c r="AQ204" s="118"/>
      <c r="AR204" s="118"/>
      <c r="AS204" s="118"/>
      <c r="AT204" s="123"/>
      <c r="AU204" s="124"/>
      <c r="AV204" s="124"/>
      <c r="AW204" s="124"/>
      <c r="AX204" s="124"/>
      <c r="AY204" s="124"/>
      <c r="AZ204" s="124"/>
      <c r="BA204" s="124"/>
      <c r="BB204" s="124"/>
      <c r="BC204" s="124"/>
      <c r="BD204" s="124"/>
      <c r="BE204" s="124"/>
      <c r="BF204" s="124"/>
      <c r="BG204" s="124"/>
      <c r="BH204" s="124"/>
      <c r="BI204" s="124"/>
      <c r="BJ204" s="124"/>
      <c r="BK204" s="124"/>
      <c r="BL204" s="124"/>
      <c r="BM204" s="124"/>
      <c r="BN204" s="124"/>
      <c r="BO204" s="124"/>
      <c r="BP204" s="124"/>
      <c r="BQ204" s="124"/>
      <c r="BR204" s="125"/>
      <c r="BS204" s="88"/>
    </row>
    <row r="205">
      <c r="G205" s="9"/>
      <c r="H205" s="7"/>
      <c r="I205" s="111"/>
      <c r="J205" s="112"/>
      <c r="K205" s="113"/>
      <c r="L205" s="113"/>
      <c r="M205" s="141"/>
      <c r="N205" s="141"/>
      <c r="O205" s="9"/>
      <c r="P205" s="9"/>
      <c r="Q205" s="9"/>
      <c r="R205" s="142"/>
      <c r="S205" s="116"/>
      <c r="T205" s="117"/>
      <c r="U205" s="118"/>
      <c r="V205" s="118"/>
      <c r="W205" s="118"/>
      <c r="X205" s="118"/>
      <c r="Y205" s="118"/>
      <c r="Z205" s="118"/>
      <c r="AA205" s="118"/>
      <c r="AB205" s="118"/>
      <c r="AC205" s="118"/>
      <c r="AD205" s="118"/>
      <c r="AE205" s="118"/>
      <c r="AF205" s="118"/>
      <c r="AG205" s="118"/>
      <c r="AH205" s="118"/>
      <c r="AI205" s="118"/>
      <c r="AJ205" s="118"/>
      <c r="AK205" s="118"/>
      <c r="AL205" s="118"/>
      <c r="AM205" s="118"/>
      <c r="AN205" s="118"/>
      <c r="AO205" s="118"/>
      <c r="AP205" s="118"/>
      <c r="AQ205" s="118"/>
      <c r="AR205" s="118"/>
      <c r="AS205" s="118"/>
      <c r="AT205" s="123"/>
      <c r="AU205" s="124"/>
      <c r="AV205" s="124"/>
      <c r="AW205" s="124"/>
      <c r="AX205" s="124"/>
      <c r="AY205" s="124"/>
      <c r="AZ205" s="124"/>
      <c r="BA205" s="124"/>
      <c r="BB205" s="124"/>
      <c r="BC205" s="124"/>
      <c r="BD205" s="124"/>
      <c r="BE205" s="124"/>
      <c r="BF205" s="124"/>
      <c r="BG205" s="124"/>
      <c r="BH205" s="124"/>
      <c r="BI205" s="124"/>
      <c r="BJ205" s="124"/>
      <c r="BK205" s="124"/>
      <c r="BL205" s="124"/>
      <c r="BM205" s="124"/>
      <c r="BN205" s="124"/>
      <c r="BO205" s="124"/>
      <c r="BP205" s="124"/>
      <c r="BQ205" s="124"/>
      <c r="BR205" s="125"/>
      <c r="BS205" s="88"/>
    </row>
    <row r="206">
      <c r="G206" s="9"/>
      <c r="H206" s="7"/>
      <c r="I206" s="111"/>
      <c r="J206" s="112"/>
      <c r="K206" s="113"/>
      <c r="L206" s="113"/>
      <c r="M206" s="141"/>
      <c r="N206" s="141"/>
      <c r="O206" s="9"/>
      <c r="P206" s="9"/>
      <c r="Q206" s="9"/>
      <c r="R206" s="142"/>
      <c r="S206" s="116"/>
      <c r="T206" s="117"/>
      <c r="U206" s="118"/>
      <c r="V206" s="118"/>
      <c r="W206" s="118"/>
      <c r="X206" s="118"/>
      <c r="Y206" s="118"/>
      <c r="Z206" s="118"/>
      <c r="AA206" s="118"/>
      <c r="AB206" s="118"/>
      <c r="AC206" s="118"/>
      <c r="AD206" s="118"/>
      <c r="AE206" s="118"/>
      <c r="AF206" s="118"/>
      <c r="AG206" s="118"/>
      <c r="AH206" s="118"/>
      <c r="AI206" s="118"/>
      <c r="AJ206" s="118"/>
      <c r="AK206" s="118"/>
      <c r="AL206" s="118"/>
      <c r="AM206" s="118"/>
      <c r="AN206" s="118"/>
      <c r="AO206" s="118"/>
      <c r="AP206" s="118"/>
      <c r="AQ206" s="118"/>
      <c r="AR206" s="118"/>
      <c r="AS206" s="118"/>
      <c r="AT206" s="123"/>
      <c r="AU206" s="124"/>
      <c r="AV206" s="124"/>
      <c r="AW206" s="124"/>
      <c r="AX206" s="124"/>
      <c r="AY206" s="124"/>
      <c r="AZ206" s="124"/>
      <c r="BA206" s="124"/>
      <c r="BB206" s="124"/>
      <c r="BC206" s="124"/>
      <c r="BD206" s="124"/>
      <c r="BE206" s="124"/>
      <c r="BF206" s="124"/>
      <c r="BG206" s="124"/>
      <c r="BH206" s="124"/>
      <c r="BI206" s="124"/>
      <c r="BJ206" s="124"/>
      <c r="BK206" s="124"/>
      <c r="BL206" s="124"/>
      <c r="BM206" s="124"/>
      <c r="BN206" s="124"/>
      <c r="BO206" s="124"/>
      <c r="BP206" s="124"/>
      <c r="BQ206" s="124"/>
      <c r="BR206" s="125"/>
      <c r="BS206" s="88"/>
    </row>
    <row r="207">
      <c r="G207" s="9"/>
      <c r="H207" s="7"/>
      <c r="I207" s="111"/>
      <c r="J207" s="112"/>
      <c r="K207" s="113"/>
      <c r="L207" s="113"/>
      <c r="M207" s="141"/>
      <c r="N207" s="141"/>
      <c r="O207" s="9"/>
      <c r="P207" s="9"/>
      <c r="Q207" s="9"/>
      <c r="R207" s="142"/>
      <c r="S207" s="116"/>
      <c r="T207" s="117"/>
      <c r="U207" s="118"/>
      <c r="V207" s="118"/>
      <c r="W207" s="118"/>
      <c r="X207" s="118"/>
      <c r="Y207" s="118"/>
      <c r="Z207" s="118"/>
      <c r="AA207" s="118"/>
      <c r="AB207" s="118"/>
      <c r="AC207" s="118"/>
      <c r="AD207" s="118"/>
      <c r="AE207" s="118"/>
      <c r="AF207" s="118"/>
      <c r="AG207" s="118"/>
      <c r="AH207" s="118"/>
      <c r="AI207" s="118"/>
      <c r="AJ207" s="118"/>
      <c r="AK207" s="118"/>
      <c r="AL207" s="118"/>
      <c r="AM207" s="118"/>
      <c r="AN207" s="118"/>
      <c r="AO207" s="118"/>
      <c r="AP207" s="118"/>
      <c r="AQ207" s="118"/>
      <c r="AR207" s="118"/>
      <c r="AS207" s="118"/>
      <c r="AT207" s="123"/>
      <c r="AU207" s="124"/>
      <c r="AV207" s="124"/>
      <c r="AW207" s="124"/>
      <c r="AX207" s="124"/>
      <c r="AY207" s="124"/>
      <c r="AZ207" s="124"/>
      <c r="BA207" s="124"/>
      <c r="BB207" s="124"/>
      <c r="BC207" s="124"/>
      <c r="BD207" s="124"/>
      <c r="BE207" s="124"/>
      <c r="BF207" s="124"/>
      <c r="BG207" s="124"/>
      <c r="BH207" s="124"/>
      <c r="BI207" s="124"/>
      <c r="BJ207" s="124"/>
      <c r="BK207" s="124"/>
      <c r="BL207" s="124"/>
      <c r="BM207" s="124"/>
      <c r="BN207" s="124"/>
      <c r="BO207" s="124"/>
      <c r="BP207" s="124"/>
      <c r="BQ207" s="124"/>
      <c r="BR207" s="125"/>
      <c r="BS207" s="88"/>
    </row>
    <row r="208">
      <c r="G208" s="9"/>
      <c r="H208" s="7"/>
      <c r="I208" s="111"/>
      <c r="J208" s="112"/>
      <c r="K208" s="113"/>
      <c r="L208" s="113"/>
      <c r="M208" s="141"/>
      <c r="N208" s="141"/>
      <c r="O208" s="9"/>
      <c r="P208" s="9"/>
      <c r="Q208" s="9"/>
      <c r="R208" s="142"/>
      <c r="S208" s="116"/>
      <c r="T208" s="117"/>
      <c r="U208" s="118"/>
      <c r="V208" s="118"/>
      <c r="W208" s="118"/>
      <c r="X208" s="118"/>
      <c r="Y208" s="118"/>
      <c r="Z208" s="118"/>
      <c r="AA208" s="118"/>
      <c r="AB208" s="118"/>
      <c r="AC208" s="118"/>
      <c r="AD208" s="118"/>
      <c r="AE208" s="118"/>
      <c r="AF208" s="118"/>
      <c r="AG208" s="118"/>
      <c r="AH208" s="118"/>
      <c r="AI208" s="118"/>
      <c r="AJ208" s="118"/>
      <c r="AK208" s="118"/>
      <c r="AL208" s="118"/>
      <c r="AM208" s="118"/>
      <c r="AN208" s="118"/>
      <c r="AO208" s="118"/>
      <c r="AP208" s="118"/>
      <c r="AQ208" s="118"/>
      <c r="AR208" s="118"/>
      <c r="AS208" s="118"/>
      <c r="AT208" s="123"/>
      <c r="AU208" s="124"/>
      <c r="AV208" s="124"/>
      <c r="AW208" s="124"/>
      <c r="AX208" s="124"/>
      <c r="AY208" s="124"/>
      <c r="AZ208" s="124"/>
      <c r="BA208" s="124"/>
      <c r="BB208" s="124"/>
      <c r="BC208" s="124"/>
      <c r="BD208" s="124"/>
      <c r="BE208" s="124"/>
      <c r="BF208" s="124"/>
      <c r="BG208" s="124"/>
      <c r="BH208" s="124"/>
      <c r="BI208" s="124"/>
      <c r="BJ208" s="124"/>
      <c r="BK208" s="124"/>
      <c r="BL208" s="124"/>
      <c r="BM208" s="124"/>
      <c r="BN208" s="124"/>
      <c r="BO208" s="124"/>
      <c r="BP208" s="124"/>
      <c r="BQ208" s="124"/>
      <c r="BR208" s="125"/>
      <c r="BS208" s="88"/>
    </row>
    <row r="209">
      <c r="G209" s="9"/>
      <c r="H209" s="7"/>
      <c r="I209" s="111"/>
      <c r="J209" s="112"/>
      <c r="K209" s="113"/>
      <c r="L209" s="113"/>
      <c r="M209" s="141"/>
      <c r="N209" s="141"/>
      <c r="O209" s="9"/>
      <c r="P209" s="9"/>
      <c r="Q209" s="9"/>
      <c r="R209" s="142"/>
      <c r="S209" s="116"/>
      <c r="T209" s="117"/>
      <c r="U209" s="118"/>
      <c r="V209" s="118"/>
      <c r="W209" s="118"/>
      <c r="X209" s="118"/>
      <c r="Y209" s="118"/>
      <c r="Z209" s="118"/>
      <c r="AA209" s="118"/>
      <c r="AB209" s="118"/>
      <c r="AC209" s="118"/>
      <c r="AD209" s="118"/>
      <c r="AE209" s="118"/>
      <c r="AF209" s="118"/>
      <c r="AG209" s="118"/>
      <c r="AH209" s="118"/>
      <c r="AI209" s="118"/>
      <c r="AJ209" s="118"/>
      <c r="AK209" s="118"/>
      <c r="AL209" s="118"/>
      <c r="AM209" s="118"/>
      <c r="AN209" s="118"/>
      <c r="AO209" s="118"/>
      <c r="AP209" s="118"/>
      <c r="AQ209" s="118"/>
      <c r="AR209" s="118"/>
      <c r="AS209" s="118"/>
      <c r="AT209" s="123"/>
      <c r="AU209" s="124"/>
      <c r="AV209" s="124"/>
      <c r="AW209" s="124"/>
      <c r="AX209" s="124"/>
      <c r="AY209" s="124"/>
      <c r="AZ209" s="124"/>
      <c r="BA209" s="124"/>
      <c r="BB209" s="124"/>
      <c r="BC209" s="124"/>
      <c r="BD209" s="124"/>
      <c r="BE209" s="124"/>
      <c r="BF209" s="124"/>
      <c r="BG209" s="124"/>
      <c r="BH209" s="124"/>
      <c r="BI209" s="124"/>
      <c r="BJ209" s="124"/>
      <c r="BK209" s="124"/>
      <c r="BL209" s="124"/>
      <c r="BM209" s="124"/>
      <c r="BN209" s="124"/>
      <c r="BO209" s="124"/>
      <c r="BP209" s="124"/>
      <c r="BQ209" s="124"/>
      <c r="BR209" s="125"/>
      <c r="BS209" s="88"/>
    </row>
    <row r="210">
      <c r="G210" s="9"/>
      <c r="H210" s="7"/>
      <c r="I210" s="111"/>
      <c r="J210" s="112"/>
      <c r="K210" s="113"/>
      <c r="L210" s="113"/>
      <c r="M210" s="141"/>
      <c r="N210" s="141"/>
      <c r="O210" s="9"/>
      <c r="P210" s="9"/>
      <c r="Q210" s="9"/>
      <c r="R210" s="142"/>
      <c r="S210" s="116"/>
      <c r="T210" s="117"/>
      <c r="U210" s="118"/>
      <c r="V210" s="118"/>
      <c r="W210" s="118"/>
      <c r="X210" s="118"/>
      <c r="Y210" s="118"/>
      <c r="Z210" s="118"/>
      <c r="AA210" s="118"/>
      <c r="AB210" s="118"/>
      <c r="AC210" s="118"/>
      <c r="AD210" s="118"/>
      <c r="AE210" s="118"/>
      <c r="AF210" s="118"/>
      <c r="AG210" s="118"/>
      <c r="AH210" s="118"/>
      <c r="AI210" s="118"/>
      <c r="AJ210" s="118"/>
      <c r="AK210" s="118"/>
      <c r="AL210" s="118"/>
      <c r="AM210" s="118"/>
      <c r="AN210" s="118"/>
      <c r="AO210" s="118"/>
      <c r="AP210" s="118"/>
      <c r="AQ210" s="118"/>
      <c r="AR210" s="118"/>
      <c r="AS210" s="118"/>
      <c r="AT210" s="123"/>
      <c r="AU210" s="124"/>
      <c r="AV210" s="124"/>
      <c r="AW210" s="124"/>
      <c r="AX210" s="124"/>
      <c r="AY210" s="124"/>
      <c r="AZ210" s="124"/>
      <c r="BA210" s="124"/>
      <c r="BB210" s="124"/>
      <c r="BC210" s="124"/>
      <c r="BD210" s="124"/>
      <c r="BE210" s="124"/>
      <c r="BF210" s="124"/>
      <c r="BG210" s="124"/>
      <c r="BH210" s="124"/>
      <c r="BI210" s="124"/>
      <c r="BJ210" s="124"/>
      <c r="BK210" s="124"/>
      <c r="BL210" s="124"/>
      <c r="BM210" s="124"/>
      <c r="BN210" s="124"/>
      <c r="BO210" s="124"/>
      <c r="BP210" s="124"/>
      <c r="BQ210" s="124"/>
      <c r="BR210" s="125"/>
      <c r="BS210" s="88"/>
    </row>
    <row r="211">
      <c r="G211" s="9"/>
      <c r="H211" s="7"/>
      <c r="I211" s="111"/>
      <c r="J211" s="112"/>
      <c r="K211" s="113"/>
      <c r="L211" s="113"/>
      <c r="M211" s="141"/>
      <c r="N211" s="141"/>
      <c r="O211" s="9"/>
      <c r="P211" s="9"/>
      <c r="Q211" s="9"/>
      <c r="R211" s="142"/>
      <c r="S211" s="116"/>
      <c r="T211" s="117"/>
      <c r="U211" s="118"/>
      <c r="V211" s="118"/>
      <c r="W211" s="118"/>
      <c r="X211" s="118"/>
      <c r="Y211" s="118"/>
      <c r="Z211" s="118"/>
      <c r="AA211" s="118"/>
      <c r="AB211" s="118"/>
      <c r="AC211" s="118"/>
      <c r="AD211" s="118"/>
      <c r="AE211" s="118"/>
      <c r="AF211" s="118"/>
      <c r="AG211" s="118"/>
      <c r="AH211" s="118"/>
      <c r="AI211" s="118"/>
      <c r="AJ211" s="118"/>
      <c r="AK211" s="118"/>
      <c r="AL211" s="118"/>
      <c r="AM211" s="118"/>
      <c r="AN211" s="118"/>
      <c r="AO211" s="118"/>
      <c r="AP211" s="118"/>
      <c r="AQ211" s="118"/>
      <c r="AR211" s="118"/>
      <c r="AS211" s="118"/>
      <c r="AT211" s="123"/>
      <c r="AU211" s="124"/>
      <c r="AV211" s="124"/>
      <c r="AW211" s="124"/>
      <c r="AX211" s="124"/>
      <c r="AY211" s="124"/>
      <c r="AZ211" s="124"/>
      <c r="BA211" s="124"/>
      <c r="BB211" s="124"/>
      <c r="BC211" s="124"/>
      <c r="BD211" s="124"/>
      <c r="BE211" s="124"/>
      <c r="BF211" s="124"/>
      <c r="BG211" s="124"/>
      <c r="BH211" s="124"/>
      <c r="BI211" s="124"/>
      <c r="BJ211" s="124"/>
      <c r="BK211" s="124"/>
      <c r="BL211" s="124"/>
      <c r="BM211" s="124"/>
      <c r="BN211" s="124"/>
      <c r="BO211" s="124"/>
      <c r="BP211" s="124"/>
      <c r="BQ211" s="124"/>
      <c r="BR211" s="125"/>
      <c r="BS211" s="88"/>
    </row>
    <row r="212">
      <c r="G212" s="9"/>
      <c r="H212" s="7"/>
      <c r="I212" s="111"/>
      <c r="J212" s="112"/>
      <c r="K212" s="113"/>
      <c r="L212" s="113"/>
      <c r="M212" s="141"/>
      <c r="N212" s="141"/>
      <c r="O212" s="9"/>
      <c r="P212" s="9"/>
      <c r="Q212" s="9"/>
      <c r="R212" s="142"/>
      <c r="S212" s="116"/>
      <c r="T212" s="117"/>
      <c r="U212" s="118"/>
      <c r="V212" s="118"/>
      <c r="W212" s="118"/>
      <c r="X212" s="118"/>
      <c r="Y212" s="118"/>
      <c r="Z212" s="118"/>
      <c r="AA212" s="118"/>
      <c r="AB212" s="118"/>
      <c r="AC212" s="118"/>
      <c r="AD212" s="118"/>
      <c r="AE212" s="118"/>
      <c r="AF212" s="118"/>
      <c r="AG212" s="118"/>
      <c r="AH212" s="118"/>
      <c r="AI212" s="118"/>
      <c r="AJ212" s="118"/>
      <c r="AK212" s="118"/>
      <c r="AL212" s="118"/>
      <c r="AM212" s="118"/>
      <c r="AN212" s="118"/>
      <c r="AO212" s="118"/>
      <c r="AP212" s="118"/>
      <c r="AQ212" s="118"/>
      <c r="AR212" s="118"/>
      <c r="AS212" s="118"/>
      <c r="AT212" s="123"/>
      <c r="AU212" s="124"/>
      <c r="AV212" s="124"/>
      <c r="AW212" s="124"/>
      <c r="AX212" s="124"/>
      <c r="AY212" s="124"/>
      <c r="AZ212" s="124"/>
      <c r="BA212" s="124"/>
      <c r="BB212" s="124"/>
      <c r="BC212" s="124"/>
      <c r="BD212" s="124"/>
      <c r="BE212" s="124"/>
      <c r="BF212" s="124"/>
      <c r="BG212" s="124"/>
      <c r="BH212" s="124"/>
      <c r="BI212" s="124"/>
      <c r="BJ212" s="124"/>
      <c r="BK212" s="124"/>
      <c r="BL212" s="124"/>
      <c r="BM212" s="124"/>
      <c r="BN212" s="124"/>
      <c r="BO212" s="124"/>
      <c r="BP212" s="124"/>
      <c r="BQ212" s="124"/>
      <c r="BR212" s="125"/>
      <c r="BS212" s="88"/>
    </row>
    <row r="213">
      <c r="G213" s="9"/>
      <c r="H213" s="7"/>
      <c r="I213" s="111"/>
      <c r="J213" s="112"/>
      <c r="K213" s="113"/>
      <c r="L213" s="113"/>
      <c r="M213" s="141"/>
      <c r="N213" s="141"/>
      <c r="O213" s="9"/>
      <c r="P213" s="9"/>
      <c r="Q213" s="9"/>
      <c r="R213" s="142"/>
      <c r="S213" s="116"/>
      <c r="T213" s="117"/>
      <c r="U213" s="118"/>
      <c r="V213" s="118"/>
      <c r="W213" s="118"/>
      <c r="X213" s="118"/>
      <c r="Y213" s="118"/>
      <c r="Z213" s="118"/>
      <c r="AA213" s="118"/>
      <c r="AB213" s="118"/>
      <c r="AC213" s="118"/>
      <c r="AD213" s="118"/>
      <c r="AE213" s="118"/>
      <c r="AF213" s="118"/>
      <c r="AG213" s="118"/>
      <c r="AH213" s="118"/>
      <c r="AI213" s="118"/>
      <c r="AJ213" s="118"/>
      <c r="AK213" s="118"/>
      <c r="AL213" s="118"/>
      <c r="AM213" s="118"/>
      <c r="AN213" s="118"/>
      <c r="AO213" s="118"/>
      <c r="AP213" s="118"/>
      <c r="AQ213" s="118"/>
      <c r="AR213" s="118"/>
      <c r="AS213" s="118"/>
      <c r="AT213" s="123"/>
      <c r="AU213" s="124"/>
      <c r="AV213" s="124"/>
      <c r="AW213" s="124"/>
      <c r="AX213" s="124"/>
      <c r="AY213" s="124"/>
      <c r="AZ213" s="124"/>
      <c r="BA213" s="124"/>
      <c r="BB213" s="124"/>
      <c r="BC213" s="124"/>
      <c r="BD213" s="124"/>
      <c r="BE213" s="124"/>
      <c r="BF213" s="124"/>
      <c r="BG213" s="124"/>
      <c r="BH213" s="124"/>
      <c r="BI213" s="124"/>
      <c r="BJ213" s="124"/>
      <c r="BK213" s="124"/>
      <c r="BL213" s="124"/>
      <c r="BM213" s="124"/>
      <c r="BN213" s="124"/>
      <c r="BO213" s="124"/>
      <c r="BP213" s="124"/>
      <c r="BQ213" s="124"/>
      <c r="BR213" s="125"/>
      <c r="BS213" s="88"/>
    </row>
    <row r="214">
      <c r="G214" s="9"/>
      <c r="H214" s="7"/>
      <c r="I214" s="111"/>
      <c r="J214" s="112"/>
      <c r="K214" s="113"/>
      <c r="L214" s="113"/>
      <c r="M214" s="141"/>
      <c r="N214" s="141"/>
      <c r="O214" s="9"/>
      <c r="P214" s="9"/>
      <c r="Q214" s="9"/>
      <c r="R214" s="142"/>
      <c r="S214" s="116"/>
      <c r="T214" s="117"/>
      <c r="U214" s="118"/>
      <c r="V214" s="118"/>
      <c r="W214" s="118"/>
      <c r="X214" s="118"/>
      <c r="Y214" s="118"/>
      <c r="Z214" s="118"/>
      <c r="AA214" s="118"/>
      <c r="AB214" s="118"/>
      <c r="AC214" s="118"/>
      <c r="AD214" s="118"/>
      <c r="AE214" s="118"/>
      <c r="AF214" s="118"/>
      <c r="AG214" s="118"/>
      <c r="AH214" s="118"/>
      <c r="AI214" s="118"/>
      <c r="AJ214" s="118"/>
      <c r="AK214" s="118"/>
      <c r="AL214" s="118"/>
      <c r="AM214" s="118"/>
      <c r="AN214" s="118"/>
      <c r="AO214" s="118"/>
      <c r="AP214" s="118"/>
      <c r="AQ214" s="118"/>
      <c r="AR214" s="118"/>
      <c r="AS214" s="118"/>
      <c r="AT214" s="123"/>
      <c r="AU214" s="124"/>
      <c r="AV214" s="124"/>
      <c r="AW214" s="124"/>
      <c r="AX214" s="124"/>
      <c r="AY214" s="124"/>
      <c r="AZ214" s="124"/>
      <c r="BA214" s="124"/>
      <c r="BB214" s="124"/>
      <c r="BC214" s="124"/>
      <c r="BD214" s="124"/>
      <c r="BE214" s="124"/>
      <c r="BF214" s="124"/>
      <c r="BG214" s="124"/>
      <c r="BH214" s="124"/>
      <c r="BI214" s="124"/>
      <c r="BJ214" s="124"/>
      <c r="BK214" s="124"/>
      <c r="BL214" s="124"/>
      <c r="BM214" s="124"/>
      <c r="BN214" s="124"/>
      <c r="BO214" s="124"/>
      <c r="BP214" s="124"/>
      <c r="BQ214" s="124"/>
      <c r="BR214" s="125"/>
      <c r="BS214" s="88"/>
    </row>
    <row r="215">
      <c r="G215" s="9"/>
      <c r="H215" s="7"/>
      <c r="I215" s="111"/>
      <c r="J215" s="112"/>
      <c r="K215" s="113"/>
      <c r="L215" s="113"/>
      <c r="M215" s="141"/>
      <c r="N215" s="141"/>
      <c r="O215" s="9"/>
      <c r="P215" s="9"/>
      <c r="Q215" s="9"/>
      <c r="R215" s="142"/>
      <c r="S215" s="116"/>
      <c r="T215" s="117"/>
      <c r="U215" s="118"/>
      <c r="V215" s="118"/>
      <c r="W215" s="118"/>
      <c r="X215" s="118"/>
      <c r="Y215" s="118"/>
      <c r="Z215" s="118"/>
      <c r="AA215" s="118"/>
      <c r="AB215" s="118"/>
      <c r="AC215" s="118"/>
      <c r="AD215" s="118"/>
      <c r="AE215" s="118"/>
      <c r="AF215" s="118"/>
      <c r="AG215" s="118"/>
      <c r="AH215" s="118"/>
      <c r="AI215" s="118"/>
      <c r="AJ215" s="118"/>
      <c r="AK215" s="118"/>
      <c r="AL215" s="118"/>
      <c r="AM215" s="118"/>
      <c r="AN215" s="118"/>
      <c r="AO215" s="118"/>
      <c r="AP215" s="118"/>
      <c r="AQ215" s="118"/>
      <c r="AR215" s="118"/>
      <c r="AS215" s="118"/>
      <c r="AT215" s="123"/>
      <c r="AU215" s="124"/>
      <c r="AV215" s="124"/>
      <c r="AW215" s="124"/>
      <c r="AX215" s="124"/>
      <c r="AY215" s="124"/>
      <c r="AZ215" s="124"/>
      <c r="BA215" s="124"/>
      <c r="BB215" s="124"/>
      <c r="BC215" s="124"/>
      <c r="BD215" s="124"/>
      <c r="BE215" s="124"/>
      <c r="BF215" s="124"/>
      <c r="BG215" s="124"/>
      <c r="BH215" s="124"/>
      <c r="BI215" s="124"/>
      <c r="BJ215" s="124"/>
      <c r="BK215" s="124"/>
      <c r="BL215" s="124"/>
      <c r="BM215" s="124"/>
      <c r="BN215" s="124"/>
      <c r="BO215" s="124"/>
      <c r="BP215" s="124"/>
      <c r="BQ215" s="124"/>
      <c r="BR215" s="125"/>
      <c r="BS215" s="88"/>
    </row>
    <row r="216">
      <c r="G216" s="9"/>
      <c r="H216" s="7"/>
      <c r="I216" s="111"/>
      <c r="J216" s="112"/>
      <c r="K216" s="113"/>
      <c r="L216" s="113"/>
      <c r="M216" s="141"/>
      <c r="N216" s="141"/>
      <c r="O216" s="9"/>
      <c r="P216" s="9"/>
      <c r="Q216" s="9"/>
      <c r="R216" s="142"/>
      <c r="S216" s="116"/>
      <c r="T216" s="117"/>
      <c r="U216" s="118"/>
      <c r="V216" s="118"/>
      <c r="W216" s="118"/>
      <c r="X216" s="118"/>
      <c r="Y216" s="118"/>
      <c r="Z216" s="118"/>
      <c r="AA216" s="118"/>
      <c r="AB216" s="118"/>
      <c r="AC216" s="118"/>
      <c r="AD216" s="118"/>
      <c r="AE216" s="118"/>
      <c r="AF216" s="118"/>
      <c r="AG216" s="118"/>
      <c r="AH216" s="118"/>
      <c r="AI216" s="118"/>
      <c r="AJ216" s="118"/>
      <c r="AK216" s="118"/>
      <c r="AL216" s="118"/>
      <c r="AM216" s="118"/>
      <c r="AN216" s="118"/>
      <c r="AO216" s="118"/>
      <c r="AP216" s="118"/>
      <c r="AQ216" s="118"/>
      <c r="AR216" s="118"/>
      <c r="AS216" s="118"/>
      <c r="AT216" s="123"/>
      <c r="AU216" s="124"/>
      <c r="AV216" s="124"/>
      <c r="AW216" s="124"/>
      <c r="AX216" s="124"/>
      <c r="AY216" s="124"/>
      <c r="AZ216" s="124"/>
      <c r="BA216" s="124"/>
      <c r="BB216" s="124"/>
      <c r="BC216" s="124"/>
      <c r="BD216" s="124"/>
      <c r="BE216" s="124"/>
      <c r="BF216" s="124"/>
      <c r="BG216" s="124"/>
      <c r="BH216" s="124"/>
      <c r="BI216" s="124"/>
      <c r="BJ216" s="124"/>
      <c r="BK216" s="124"/>
      <c r="BL216" s="124"/>
      <c r="BM216" s="124"/>
      <c r="BN216" s="124"/>
      <c r="BO216" s="124"/>
      <c r="BP216" s="124"/>
      <c r="BQ216" s="124"/>
      <c r="BR216" s="125"/>
      <c r="BS216" s="88"/>
    </row>
    <row r="217">
      <c r="G217" s="9"/>
      <c r="H217" s="7"/>
      <c r="I217" s="111"/>
      <c r="J217" s="112"/>
      <c r="K217" s="113"/>
      <c r="L217" s="113"/>
      <c r="M217" s="141"/>
      <c r="N217" s="141"/>
      <c r="O217" s="9"/>
      <c r="P217" s="9"/>
      <c r="Q217" s="9"/>
      <c r="R217" s="142"/>
      <c r="S217" s="116"/>
      <c r="T217" s="117"/>
      <c r="U217" s="118"/>
      <c r="V217" s="118"/>
      <c r="W217" s="118"/>
      <c r="X217" s="118"/>
      <c r="Y217" s="118"/>
      <c r="Z217" s="118"/>
      <c r="AA217" s="118"/>
      <c r="AB217" s="118"/>
      <c r="AC217" s="118"/>
      <c r="AD217" s="118"/>
      <c r="AE217" s="118"/>
      <c r="AF217" s="118"/>
      <c r="AG217" s="118"/>
      <c r="AH217" s="118"/>
      <c r="AI217" s="118"/>
      <c r="AJ217" s="118"/>
      <c r="AK217" s="118"/>
      <c r="AL217" s="118"/>
      <c r="AM217" s="118"/>
      <c r="AN217" s="118"/>
      <c r="AO217" s="118"/>
      <c r="AP217" s="118"/>
      <c r="AQ217" s="118"/>
      <c r="AR217" s="118"/>
      <c r="AS217" s="118"/>
      <c r="AT217" s="123"/>
      <c r="AU217" s="124"/>
      <c r="AV217" s="124"/>
      <c r="AW217" s="124"/>
      <c r="AX217" s="124"/>
      <c r="AY217" s="124"/>
      <c r="AZ217" s="124"/>
      <c r="BA217" s="124"/>
      <c r="BB217" s="124"/>
      <c r="BC217" s="124"/>
      <c r="BD217" s="124"/>
      <c r="BE217" s="124"/>
      <c r="BF217" s="124"/>
      <c r="BG217" s="124"/>
      <c r="BH217" s="124"/>
      <c r="BI217" s="124"/>
      <c r="BJ217" s="124"/>
      <c r="BK217" s="124"/>
      <c r="BL217" s="124"/>
      <c r="BM217" s="124"/>
      <c r="BN217" s="124"/>
      <c r="BO217" s="124"/>
      <c r="BP217" s="124"/>
      <c r="BQ217" s="124"/>
      <c r="BR217" s="125"/>
      <c r="BS217" s="88"/>
    </row>
    <row r="218">
      <c r="G218" s="9"/>
      <c r="H218" s="7"/>
      <c r="I218" s="111"/>
      <c r="J218" s="112"/>
      <c r="K218" s="113"/>
      <c r="L218" s="113"/>
      <c r="M218" s="141"/>
      <c r="N218" s="141"/>
      <c r="O218" s="9"/>
      <c r="P218" s="9"/>
      <c r="Q218" s="9"/>
      <c r="R218" s="142"/>
      <c r="S218" s="116"/>
      <c r="T218" s="117"/>
      <c r="U218" s="118"/>
      <c r="V218" s="118"/>
      <c r="W218" s="118"/>
      <c r="X218" s="118"/>
      <c r="Y218" s="118"/>
      <c r="Z218" s="118"/>
      <c r="AA218" s="118"/>
      <c r="AB218" s="118"/>
      <c r="AC218" s="118"/>
      <c r="AD218" s="118"/>
      <c r="AE218" s="118"/>
      <c r="AF218" s="118"/>
      <c r="AG218" s="118"/>
      <c r="AH218" s="118"/>
      <c r="AI218" s="118"/>
      <c r="AJ218" s="118"/>
      <c r="AK218" s="118"/>
      <c r="AL218" s="118"/>
      <c r="AM218" s="118"/>
      <c r="AN218" s="118"/>
      <c r="AO218" s="118"/>
      <c r="AP218" s="118"/>
      <c r="AQ218" s="118"/>
      <c r="AR218" s="118"/>
      <c r="AS218" s="118"/>
      <c r="AT218" s="123"/>
      <c r="AU218" s="124"/>
      <c r="AV218" s="124"/>
      <c r="AW218" s="124"/>
      <c r="AX218" s="124"/>
      <c r="AY218" s="124"/>
      <c r="AZ218" s="124"/>
      <c r="BA218" s="124"/>
      <c r="BB218" s="124"/>
      <c r="BC218" s="124"/>
      <c r="BD218" s="124"/>
      <c r="BE218" s="124"/>
      <c r="BF218" s="124"/>
      <c r="BG218" s="124"/>
      <c r="BH218" s="124"/>
      <c r="BI218" s="124"/>
      <c r="BJ218" s="124"/>
      <c r="BK218" s="124"/>
      <c r="BL218" s="124"/>
      <c r="BM218" s="124"/>
      <c r="BN218" s="124"/>
      <c r="BO218" s="124"/>
      <c r="BP218" s="124"/>
      <c r="BQ218" s="124"/>
      <c r="BR218" s="125"/>
      <c r="BS218" s="88"/>
    </row>
    <row r="219">
      <c r="G219" s="9"/>
      <c r="H219" s="7"/>
      <c r="I219" s="111"/>
      <c r="J219" s="112"/>
      <c r="K219" s="113"/>
      <c r="L219" s="113"/>
      <c r="M219" s="141"/>
      <c r="N219" s="141"/>
      <c r="O219" s="9"/>
      <c r="P219" s="9"/>
      <c r="Q219" s="9"/>
      <c r="R219" s="142"/>
      <c r="S219" s="116"/>
      <c r="T219" s="117"/>
      <c r="U219" s="118"/>
      <c r="V219" s="118"/>
      <c r="W219" s="118"/>
      <c r="X219" s="118"/>
      <c r="Y219" s="118"/>
      <c r="Z219" s="118"/>
      <c r="AA219" s="118"/>
      <c r="AB219" s="118"/>
      <c r="AC219" s="118"/>
      <c r="AD219" s="118"/>
      <c r="AE219" s="118"/>
      <c r="AF219" s="118"/>
      <c r="AG219" s="118"/>
      <c r="AH219" s="118"/>
      <c r="AI219" s="118"/>
      <c r="AJ219" s="118"/>
      <c r="AK219" s="118"/>
      <c r="AL219" s="118"/>
      <c r="AM219" s="118"/>
      <c r="AN219" s="118"/>
      <c r="AO219" s="118"/>
      <c r="AP219" s="118"/>
      <c r="AQ219" s="118"/>
      <c r="AR219" s="118"/>
      <c r="AS219" s="118"/>
      <c r="AT219" s="123"/>
      <c r="AU219" s="124"/>
      <c r="AV219" s="124"/>
      <c r="AW219" s="124"/>
      <c r="AX219" s="124"/>
      <c r="AY219" s="124"/>
      <c r="AZ219" s="124"/>
      <c r="BA219" s="124"/>
      <c r="BB219" s="124"/>
      <c r="BC219" s="124"/>
      <c r="BD219" s="124"/>
      <c r="BE219" s="124"/>
      <c r="BF219" s="124"/>
      <c r="BG219" s="124"/>
      <c r="BH219" s="124"/>
      <c r="BI219" s="124"/>
      <c r="BJ219" s="124"/>
      <c r="BK219" s="124"/>
      <c r="BL219" s="124"/>
      <c r="BM219" s="124"/>
      <c r="BN219" s="124"/>
      <c r="BO219" s="124"/>
      <c r="BP219" s="124"/>
      <c r="BQ219" s="124"/>
      <c r="BR219" s="125"/>
      <c r="BS219" s="88"/>
    </row>
    <row r="220">
      <c r="G220" s="9"/>
      <c r="H220" s="7"/>
      <c r="I220" s="111"/>
      <c r="J220" s="112"/>
      <c r="K220" s="113"/>
      <c r="L220" s="113"/>
      <c r="M220" s="141"/>
      <c r="N220" s="141"/>
      <c r="O220" s="9"/>
      <c r="P220" s="9"/>
      <c r="Q220" s="9"/>
      <c r="R220" s="142"/>
      <c r="S220" s="116"/>
      <c r="T220" s="117"/>
      <c r="U220" s="118"/>
      <c r="V220" s="118"/>
      <c r="W220" s="118"/>
      <c r="X220" s="118"/>
      <c r="Y220" s="118"/>
      <c r="Z220" s="118"/>
      <c r="AA220" s="118"/>
      <c r="AB220" s="118"/>
      <c r="AC220" s="118"/>
      <c r="AD220" s="118"/>
      <c r="AE220" s="118"/>
      <c r="AF220" s="118"/>
      <c r="AG220" s="118"/>
      <c r="AH220" s="118"/>
      <c r="AI220" s="118"/>
      <c r="AJ220" s="118"/>
      <c r="AK220" s="118"/>
      <c r="AL220" s="118"/>
      <c r="AM220" s="118"/>
      <c r="AN220" s="118"/>
      <c r="AO220" s="118"/>
      <c r="AP220" s="118"/>
      <c r="AQ220" s="118"/>
      <c r="AR220" s="118"/>
      <c r="AS220" s="118"/>
      <c r="AT220" s="123"/>
      <c r="AU220" s="124"/>
      <c r="AV220" s="124"/>
      <c r="AW220" s="124"/>
      <c r="AX220" s="124"/>
      <c r="AY220" s="124"/>
      <c r="AZ220" s="124"/>
      <c r="BA220" s="124"/>
      <c r="BB220" s="124"/>
      <c r="BC220" s="124"/>
      <c r="BD220" s="124"/>
      <c r="BE220" s="124"/>
      <c r="BF220" s="124"/>
      <c r="BG220" s="124"/>
      <c r="BH220" s="124"/>
      <c r="BI220" s="124"/>
      <c r="BJ220" s="124"/>
      <c r="BK220" s="124"/>
      <c r="BL220" s="124"/>
      <c r="BM220" s="124"/>
      <c r="BN220" s="124"/>
      <c r="BO220" s="124"/>
      <c r="BP220" s="124"/>
      <c r="BQ220" s="124"/>
      <c r="BR220" s="125"/>
      <c r="BS220" s="88"/>
    </row>
    <row r="221">
      <c r="G221" s="9"/>
      <c r="H221" s="7"/>
      <c r="I221" s="111"/>
      <c r="J221" s="112"/>
      <c r="K221" s="113"/>
      <c r="L221" s="113"/>
      <c r="M221" s="141"/>
      <c r="N221" s="141"/>
      <c r="O221" s="9"/>
      <c r="P221" s="9"/>
      <c r="Q221" s="9"/>
      <c r="R221" s="142"/>
      <c r="S221" s="116"/>
      <c r="T221" s="117"/>
      <c r="U221" s="118"/>
      <c r="V221" s="118"/>
      <c r="W221" s="118"/>
      <c r="X221" s="118"/>
      <c r="Y221" s="118"/>
      <c r="Z221" s="118"/>
      <c r="AA221" s="118"/>
      <c r="AB221" s="118"/>
      <c r="AC221" s="118"/>
      <c r="AD221" s="118"/>
      <c r="AE221" s="118"/>
      <c r="AF221" s="118"/>
      <c r="AG221" s="118"/>
      <c r="AH221" s="118"/>
      <c r="AI221" s="118"/>
      <c r="AJ221" s="118"/>
      <c r="AK221" s="118"/>
      <c r="AL221" s="118"/>
      <c r="AM221" s="118"/>
      <c r="AN221" s="118"/>
      <c r="AO221" s="118"/>
      <c r="AP221" s="118"/>
      <c r="AQ221" s="118"/>
      <c r="AR221" s="118"/>
      <c r="AS221" s="118"/>
      <c r="AT221" s="123"/>
      <c r="AU221" s="124"/>
      <c r="AV221" s="124"/>
      <c r="AW221" s="124"/>
      <c r="AX221" s="124"/>
      <c r="AY221" s="124"/>
      <c r="AZ221" s="124"/>
      <c r="BA221" s="124"/>
      <c r="BB221" s="124"/>
      <c r="BC221" s="124"/>
      <c r="BD221" s="124"/>
      <c r="BE221" s="124"/>
      <c r="BF221" s="124"/>
      <c r="BG221" s="124"/>
      <c r="BH221" s="124"/>
      <c r="BI221" s="124"/>
      <c r="BJ221" s="124"/>
      <c r="BK221" s="124"/>
      <c r="BL221" s="124"/>
      <c r="BM221" s="124"/>
      <c r="BN221" s="124"/>
      <c r="BO221" s="124"/>
      <c r="BP221" s="124"/>
      <c r="BQ221" s="124"/>
      <c r="BR221" s="125"/>
      <c r="BS221" s="88"/>
    </row>
    <row r="222">
      <c r="G222" s="9"/>
      <c r="H222" s="7"/>
      <c r="I222" s="111"/>
      <c r="J222" s="112"/>
      <c r="K222" s="113"/>
      <c r="L222" s="113"/>
      <c r="M222" s="141"/>
      <c r="N222" s="141"/>
      <c r="O222" s="9"/>
      <c r="P222" s="9"/>
      <c r="Q222" s="9"/>
      <c r="R222" s="142"/>
      <c r="S222" s="116"/>
      <c r="T222" s="117"/>
      <c r="U222" s="118"/>
      <c r="V222" s="118"/>
      <c r="W222" s="118"/>
      <c r="X222" s="118"/>
      <c r="Y222" s="118"/>
      <c r="Z222" s="118"/>
      <c r="AA222" s="118"/>
      <c r="AB222" s="118"/>
      <c r="AC222" s="118"/>
      <c r="AD222" s="118"/>
      <c r="AE222" s="118"/>
      <c r="AF222" s="118"/>
      <c r="AG222" s="118"/>
      <c r="AH222" s="118"/>
      <c r="AI222" s="118"/>
      <c r="AJ222" s="118"/>
      <c r="AK222" s="118"/>
      <c r="AL222" s="118"/>
      <c r="AM222" s="118"/>
      <c r="AN222" s="118"/>
      <c r="AO222" s="118"/>
      <c r="AP222" s="118"/>
      <c r="AQ222" s="118"/>
      <c r="AR222" s="118"/>
      <c r="AS222" s="118"/>
      <c r="AT222" s="123"/>
      <c r="AU222" s="124"/>
      <c r="AV222" s="124"/>
      <c r="AW222" s="124"/>
      <c r="AX222" s="124"/>
      <c r="AY222" s="124"/>
      <c r="AZ222" s="124"/>
      <c r="BA222" s="124"/>
      <c r="BB222" s="124"/>
      <c r="BC222" s="124"/>
      <c r="BD222" s="124"/>
      <c r="BE222" s="124"/>
      <c r="BF222" s="124"/>
      <c r="BG222" s="124"/>
      <c r="BH222" s="124"/>
      <c r="BI222" s="124"/>
      <c r="BJ222" s="124"/>
      <c r="BK222" s="124"/>
      <c r="BL222" s="124"/>
      <c r="BM222" s="124"/>
      <c r="BN222" s="124"/>
      <c r="BO222" s="124"/>
      <c r="BP222" s="124"/>
      <c r="BQ222" s="124"/>
      <c r="BR222" s="125"/>
      <c r="BS222" s="88"/>
    </row>
    <row r="223">
      <c r="G223" s="9"/>
      <c r="H223" s="7"/>
      <c r="I223" s="111"/>
      <c r="J223" s="112"/>
      <c r="K223" s="113"/>
      <c r="L223" s="113"/>
      <c r="M223" s="141"/>
      <c r="N223" s="141"/>
      <c r="O223" s="9"/>
      <c r="P223" s="9"/>
      <c r="Q223" s="9"/>
      <c r="R223" s="142"/>
      <c r="S223" s="116"/>
      <c r="T223" s="117"/>
      <c r="U223" s="118"/>
      <c r="V223" s="118"/>
      <c r="W223" s="118"/>
      <c r="X223" s="118"/>
      <c r="Y223" s="118"/>
      <c r="Z223" s="118"/>
      <c r="AA223" s="118"/>
      <c r="AB223" s="118"/>
      <c r="AC223" s="118"/>
      <c r="AD223" s="118"/>
      <c r="AE223" s="118"/>
      <c r="AF223" s="118"/>
      <c r="AG223" s="118"/>
      <c r="AH223" s="118"/>
      <c r="AI223" s="118"/>
      <c r="AJ223" s="118"/>
      <c r="AK223" s="118"/>
      <c r="AL223" s="118"/>
      <c r="AM223" s="118"/>
      <c r="AN223" s="118"/>
      <c r="AO223" s="118"/>
      <c r="AP223" s="118"/>
      <c r="AQ223" s="118"/>
      <c r="AR223" s="118"/>
      <c r="AS223" s="118"/>
      <c r="AT223" s="123"/>
      <c r="AU223" s="124"/>
      <c r="AV223" s="124"/>
      <c r="AW223" s="124"/>
      <c r="AX223" s="124"/>
      <c r="AY223" s="124"/>
      <c r="AZ223" s="124"/>
      <c r="BA223" s="124"/>
      <c r="BB223" s="124"/>
      <c r="BC223" s="124"/>
      <c r="BD223" s="124"/>
      <c r="BE223" s="124"/>
      <c r="BF223" s="124"/>
      <c r="BG223" s="124"/>
      <c r="BH223" s="124"/>
      <c r="BI223" s="124"/>
      <c r="BJ223" s="124"/>
      <c r="BK223" s="124"/>
      <c r="BL223" s="124"/>
      <c r="BM223" s="124"/>
      <c r="BN223" s="124"/>
      <c r="BO223" s="124"/>
      <c r="BP223" s="124"/>
      <c r="BQ223" s="124"/>
      <c r="BR223" s="125"/>
      <c r="BS223" s="88"/>
    </row>
    <row r="224">
      <c r="G224" s="9"/>
      <c r="H224" s="9"/>
      <c r="I224" s="9"/>
      <c r="J224" s="143"/>
      <c r="K224" s="141"/>
      <c r="L224" s="141"/>
      <c r="M224" s="141"/>
      <c r="N224" s="141"/>
      <c r="O224" s="9"/>
      <c r="P224" s="9"/>
      <c r="Q224" s="9"/>
      <c r="R224" s="142"/>
      <c r="S224" s="116"/>
      <c r="T224" s="117"/>
      <c r="U224" s="118"/>
      <c r="V224" s="118"/>
      <c r="W224" s="118"/>
      <c r="X224" s="118"/>
      <c r="Y224" s="118"/>
      <c r="Z224" s="118"/>
      <c r="AA224" s="118"/>
      <c r="AB224" s="118"/>
      <c r="AC224" s="118"/>
      <c r="AD224" s="118"/>
      <c r="AE224" s="118"/>
      <c r="AF224" s="118"/>
      <c r="AG224" s="118"/>
      <c r="AH224" s="118"/>
      <c r="AI224" s="118"/>
      <c r="AJ224" s="118"/>
      <c r="AK224" s="118"/>
      <c r="AL224" s="118"/>
      <c r="AM224" s="118"/>
      <c r="AN224" s="118"/>
      <c r="AO224" s="118"/>
      <c r="AP224" s="118"/>
      <c r="AQ224" s="118"/>
      <c r="AR224" s="118"/>
      <c r="AS224" s="118"/>
      <c r="AT224" s="123"/>
      <c r="AU224" s="124"/>
      <c r="AV224" s="124"/>
      <c r="AW224" s="124"/>
      <c r="AX224" s="124"/>
      <c r="AY224" s="124"/>
      <c r="AZ224" s="124"/>
      <c r="BA224" s="124"/>
      <c r="BB224" s="124"/>
      <c r="BC224" s="124"/>
      <c r="BD224" s="124"/>
      <c r="BE224" s="124"/>
      <c r="BF224" s="124"/>
      <c r="BG224" s="124"/>
      <c r="BH224" s="124"/>
      <c r="BI224" s="124"/>
      <c r="BJ224" s="124"/>
      <c r="BK224" s="124"/>
      <c r="BL224" s="124"/>
      <c r="BM224" s="124"/>
      <c r="BN224" s="124"/>
      <c r="BO224" s="124"/>
      <c r="BP224" s="124"/>
      <c r="BQ224" s="124"/>
      <c r="BR224" s="125"/>
      <c r="BS224" s="88"/>
    </row>
    <row r="225">
      <c r="G225" s="9"/>
      <c r="H225" s="9"/>
      <c r="I225" s="9"/>
      <c r="J225" s="143"/>
      <c r="K225" s="141"/>
      <c r="L225" s="141"/>
      <c r="M225" s="141"/>
      <c r="N225" s="141"/>
      <c r="O225" s="9"/>
      <c r="P225" s="9"/>
      <c r="Q225" s="9"/>
      <c r="R225" s="142"/>
      <c r="S225" s="116"/>
      <c r="T225" s="117"/>
      <c r="U225" s="118"/>
      <c r="V225" s="118"/>
      <c r="W225" s="118"/>
      <c r="X225" s="118"/>
      <c r="Y225" s="118"/>
      <c r="Z225" s="118"/>
      <c r="AA225" s="118"/>
      <c r="AB225" s="118"/>
      <c r="AC225" s="118"/>
      <c r="AD225" s="118"/>
      <c r="AE225" s="118"/>
      <c r="AF225" s="118"/>
      <c r="AG225" s="118"/>
      <c r="AH225" s="118"/>
      <c r="AI225" s="118"/>
      <c r="AJ225" s="118"/>
      <c r="AK225" s="118"/>
      <c r="AL225" s="118"/>
      <c r="AM225" s="118"/>
      <c r="AN225" s="118"/>
      <c r="AO225" s="118"/>
      <c r="AP225" s="118"/>
      <c r="AQ225" s="118"/>
      <c r="AR225" s="118"/>
      <c r="AS225" s="118"/>
      <c r="AT225" s="123"/>
      <c r="AU225" s="124"/>
      <c r="AV225" s="124"/>
      <c r="AW225" s="124"/>
      <c r="AX225" s="124"/>
      <c r="AY225" s="124"/>
      <c r="AZ225" s="124"/>
      <c r="BA225" s="124"/>
      <c r="BB225" s="124"/>
      <c r="BC225" s="124"/>
      <c r="BD225" s="124"/>
      <c r="BE225" s="124"/>
      <c r="BF225" s="124"/>
      <c r="BG225" s="124"/>
      <c r="BH225" s="124"/>
      <c r="BI225" s="124"/>
      <c r="BJ225" s="124"/>
      <c r="BK225" s="124"/>
      <c r="BL225" s="124"/>
      <c r="BM225" s="124"/>
      <c r="BN225" s="124"/>
      <c r="BO225" s="124"/>
      <c r="BP225" s="124"/>
      <c r="BQ225" s="124"/>
      <c r="BR225" s="125"/>
      <c r="BS225" s="88"/>
    </row>
    <row r="226">
      <c r="G226" s="9"/>
      <c r="H226" s="9"/>
      <c r="I226" s="9"/>
      <c r="J226" s="143"/>
      <c r="K226" s="141"/>
      <c r="L226" s="141"/>
      <c r="M226" s="141"/>
      <c r="N226" s="141"/>
      <c r="O226" s="9"/>
      <c r="P226" s="9"/>
      <c r="Q226" s="9"/>
      <c r="R226" s="142"/>
      <c r="S226" s="116"/>
      <c r="T226" s="117"/>
      <c r="U226" s="118"/>
      <c r="V226" s="118"/>
      <c r="W226" s="118"/>
      <c r="X226" s="118"/>
      <c r="Y226" s="118"/>
      <c r="Z226" s="118"/>
      <c r="AA226" s="118"/>
      <c r="AB226" s="118"/>
      <c r="AC226" s="118"/>
      <c r="AD226" s="118"/>
      <c r="AE226" s="118"/>
      <c r="AF226" s="118"/>
      <c r="AG226" s="118"/>
      <c r="AH226" s="118"/>
      <c r="AI226" s="118"/>
      <c r="AJ226" s="118"/>
      <c r="AK226" s="118"/>
      <c r="AL226" s="118"/>
      <c r="AM226" s="118"/>
      <c r="AN226" s="118"/>
      <c r="AO226" s="118"/>
      <c r="AP226" s="118"/>
      <c r="AQ226" s="118"/>
      <c r="AR226" s="118"/>
      <c r="AS226" s="118"/>
      <c r="AT226" s="123"/>
      <c r="AU226" s="124"/>
      <c r="AV226" s="124"/>
      <c r="AW226" s="124"/>
      <c r="AX226" s="124"/>
      <c r="AY226" s="124"/>
      <c r="AZ226" s="124"/>
      <c r="BA226" s="124"/>
      <c r="BB226" s="124"/>
      <c r="BC226" s="124"/>
      <c r="BD226" s="124"/>
      <c r="BE226" s="124"/>
      <c r="BF226" s="124"/>
      <c r="BG226" s="124"/>
      <c r="BH226" s="124"/>
      <c r="BI226" s="124"/>
      <c r="BJ226" s="124"/>
      <c r="BK226" s="124"/>
      <c r="BL226" s="124"/>
      <c r="BM226" s="124"/>
      <c r="BN226" s="124"/>
      <c r="BO226" s="124"/>
      <c r="BP226" s="124"/>
      <c r="BQ226" s="124"/>
      <c r="BR226" s="125"/>
      <c r="BS226" s="88"/>
    </row>
    <row r="227">
      <c r="G227" s="9"/>
      <c r="H227" s="9"/>
      <c r="I227" s="9"/>
      <c r="J227" s="143"/>
      <c r="K227" s="141"/>
      <c r="L227" s="141"/>
      <c r="M227" s="141"/>
      <c r="N227" s="141"/>
      <c r="O227" s="9"/>
      <c r="P227" s="9"/>
      <c r="Q227" s="9"/>
      <c r="R227" s="142"/>
      <c r="S227" s="116"/>
      <c r="T227" s="117"/>
      <c r="U227" s="118"/>
      <c r="V227" s="118"/>
      <c r="W227" s="118"/>
      <c r="X227" s="118"/>
      <c r="Y227" s="118"/>
      <c r="Z227" s="118"/>
      <c r="AA227" s="118"/>
      <c r="AB227" s="118"/>
      <c r="AC227" s="118"/>
      <c r="AD227" s="118"/>
      <c r="AE227" s="118"/>
      <c r="AF227" s="118"/>
      <c r="AG227" s="118"/>
      <c r="AH227" s="118"/>
      <c r="AI227" s="118"/>
      <c r="AJ227" s="118"/>
      <c r="AK227" s="118"/>
      <c r="AL227" s="118"/>
      <c r="AM227" s="118"/>
      <c r="AN227" s="118"/>
      <c r="AO227" s="118"/>
      <c r="AP227" s="118"/>
      <c r="AQ227" s="118"/>
      <c r="AR227" s="118"/>
      <c r="AS227" s="118"/>
      <c r="AT227" s="123"/>
      <c r="AU227" s="124"/>
      <c r="AV227" s="124"/>
      <c r="AW227" s="124"/>
      <c r="AX227" s="124"/>
      <c r="AY227" s="124"/>
      <c r="AZ227" s="124"/>
      <c r="BA227" s="124"/>
      <c r="BB227" s="124"/>
      <c r="BC227" s="124"/>
      <c r="BD227" s="124"/>
      <c r="BE227" s="124"/>
      <c r="BF227" s="124"/>
      <c r="BG227" s="124"/>
      <c r="BH227" s="124"/>
      <c r="BI227" s="124"/>
      <c r="BJ227" s="124"/>
      <c r="BK227" s="124"/>
      <c r="BL227" s="124"/>
      <c r="BM227" s="124"/>
      <c r="BN227" s="124"/>
      <c r="BO227" s="124"/>
      <c r="BP227" s="124"/>
      <c r="BQ227" s="124"/>
      <c r="BR227" s="125"/>
      <c r="BS227" s="88"/>
    </row>
    <row r="228">
      <c r="G228" s="9"/>
      <c r="H228" s="9"/>
      <c r="I228" s="9"/>
      <c r="J228" s="143"/>
      <c r="K228" s="141"/>
      <c r="L228" s="141"/>
      <c r="M228" s="141"/>
      <c r="N228" s="141"/>
      <c r="O228" s="9"/>
      <c r="P228" s="9"/>
      <c r="Q228" s="9"/>
      <c r="R228" s="142"/>
      <c r="S228" s="116"/>
      <c r="T228" s="117"/>
      <c r="U228" s="118"/>
      <c r="V228" s="118"/>
      <c r="W228" s="118"/>
      <c r="X228" s="118"/>
      <c r="Y228" s="118"/>
      <c r="Z228" s="118"/>
      <c r="AA228" s="118"/>
      <c r="AB228" s="118"/>
      <c r="AC228" s="118"/>
      <c r="AD228" s="118"/>
      <c r="AE228" s="118"/>
      <c r="AF228" s="118"/>
      <c r="AG228" s="118"/>
      <c r="AH228" s="118"/>
      <c r="AI228" s="118"/>
      <c r="AJ228" s="118"/>
      <c r="AK228" s="118"/>
      <c r="AL228" s="118"/>
      <c r="AM228" s="118"/>
      <c r="AN228" s="118"/>
      <c r="AO228" s="118"/>
      <c r="AP228" s="118"/>
      <c r="AQ228" s="118"/>
      <c r="AR228" s="118"/>
      <c r="AS228" s="118"/>
      <c r="AT228" s="123"/>
      <c r="AU228" s="124"/>
      <c r="AV228" s="124"/>
      <c r="AW228" s="124"/>
      <c r="AX228" s="124"/>
      <c r="AY228" s="124"/>
      <c r="AZ228" s="124"/>
      <c r="BA228" s="124"/>
      <c r="BB228" s="124"/>
      <c r="BC228" s="124"/>
      <c r="BD228" s="124"/>
      <c r="BE228" s="124"/>
      <c r="BF228" s="124"/>
      <c r="BG228" s="124"/>
      <c r="BH228" s="124"/>
      <c r="BI228" s="124"/>
      <c r="BJ228" s="124"/>
      <c r="BK228" s="124"/>
      <c r="BL228" s="124"/>
      <c r="BM228" s="124"/>
      <c r="BN228" s="124"/>
      <c r="BO228" s="124"/>
      <c r="BP228" s="124"/>
      <c r="BQ228" s="124"/>
      <c r="BR228" s="125"/>
      <c r="BS228" s="88"/>
    </row>
    <row r="229">
      <c r="G229" s="9"/>
      <c r="H229" s="9"/>
      <c r="I229" s="9"/>
      <c r="J229" s="143"/>
      <c r="K229" s="141"/>
      <c r="L229" s="141"/>
      <c r="M229" s="141"/>
      <c r="N229" s="141"/>
      <c r="O229" s="9"/>
      <c r="P229" s="9"/>
      <c r="Q229" s="9"/>
      <c r="R229" s="142"/>
      <c r="S229" s="116"/>
      <c r="T229" s="117"/>
      <c r="U229" s="118"/>
      <c r="V229" s="118"/>
      <c r="W229" s="118"/>
      <c r="X229" s="118"/>
      <c r="Y229" s="118"/>
      <c r="Z229" s="118"/>
      <c r="AA229" s="118"/>
      <c r="AB229" s="118"/>
      <c r="AC229" s="118"/>
      <c r="AD229" s="118"/>
      <c r="AE229" s="118"/>
      <c r="AF229" s="118"/>
      <c r="AG229" s="118"/>
      <c r="AH229" s="118"/>
      <c r="AI229" s="118"/>
      <c r="AJ229" s="118"/>
      <c r="AK229" s="118"/>
      <c r="AL229" s="118"/>
      <c r="AM229" s="118"/>
      <c r="AN229" s="118"/>
      <c r="AO229" s="118"/>
      <c r="AP229" s="118"/>
      <c r="AQ229" s="118"/>
      <c r="AR229" s="118"/>
      <c r="AS229" s="118"/>
      <c r="AT229" s="123"/>
      <c r="AU229" s="124"/>
      <c r="AV229" s="124"/>
      <c r="AW229" s="124"/>
      <c r="AX229" s="124"/>
      <c r="AY229" s="124"/>
      <c r="AZ229" s="124"/>
      <c r="BA229" s="124"/>
      <c r="BB229" s="124"/>
      <c r="BC229" s="124"/>
      <c r="BD229" s="124"/>
      <c r="BE229" s="124"/>
      <c r="BF229" s="124"/>
      <c r="BG229" s="124"/>
      <c r="BH229" s="124"/>
      <c r="BI229" s="124"/>
      <c r="BJ229" s="124"/>
      <c r="BK229" s="124"/>
      <c r="BL229" s="124"/>
      <c r="BM229" s="124"/>
      <c r="BN229" s="124"/>
      <c r="BO229" s="124"/>
      <c r="BP229" s="124"/>
      <c r="BQ229" s="124"/>
      <c r="BR229" s="125"/>
      <c r="BS229" s="88"/>
    </row>
    <row r="230">
      <c r="G230" s="9"/>
      <c r="H230" s="9"/>
      <c r="I230" s="9"/>
      <c r="J230" s="143"/>
      <c r="K230" s="141"/>
      <c r="L230" s="141"/>
      <c r="M230" s="141"/>
      <c r="N230" s="141"/>
      <c r="O230" s="9"/>
      <c r="P230" s="9"/>
      <c r="Q230" s="9"/>
      <c r="R230" s="142"/>
      <c r="S230" s="116"/>
      <c r="T230" s="117"/>
      <c r="U230" s="118"/>
      <c r="V230" s="118"/>
      <c r="W230" s="118"/>
      <c r="X230" s="118"/>
      <c r="Y230" s="118"/>
      <c r="Z230" s="118"/>
      <c r="AA230" s="118"/>
      <c r="AB230" s="118"/>
      <c r="AC230" s="118"/>
      <c r="AD230" s="118"/>
      <c r="AE230" s="118"/>
      <c r="AF230" s="118"/>
      <c r="AG230" s="118"/>
      <c r="AH230" s="118"/>
      <c r="AI230" s="118"/>
      <c r="AJ230" s="118"/>
      <c r="AK230" s="118"/>
      <c r="AL230" s="118"/>
      <c r="AM230" s="118"/>
      <c r="AN230" s="118"/>
      <c r="AO230" s="118"/>
      <c r="AP230" s="118"/>
      <c r="AQ230" s="118"/>
      <c r="AR230" s="118"/>
      <c r="AS230" s="118"/>
      <c r="AT230" s="123"/>
      <c r="AU230" s="124"/>
      <c r="AV230" s="124"/>
      <c r="AW230" s="124"/>
      <c r="AX230" s="124"/>
      <c r="AY230" s="124"/>
      <c r="AZ230" s="124"/>
      <c r="BA230" s="124"/>
      <c r="BB230" s="124"/>
      <c r="BC230" s="124"/>
      <c r="BD230" s="124"/>
      <c r="BE230" s="124"/>
      <c r="BF230" s="124"/>
      <c r="BG230" s="124"/>
      <c r="BH230" s="124"/>
      <c r="BI230" s="124"/>
      <c r="BJ230" s="124"/>
      <c r="BK230" s="124"/>
      <c r="BL230" s="124"/>
      <c r="BM230" s="124"/>
      <c r="BN230" s="124"/>
      <c r="BO230" s="124"/>
      <c r="BP230" s="124"/>
      <c r="BQ230" s="124"/>
      <c r="BR230" s="125"/>
      <c r="BS230" s="88"/>
    </row>
    <row r="231">
      <c r="G231" s="9"/>
      <c r="H231" s="9"/>
      <c r="I231" s="9"/>
      <c r="J231" s="143"/>
      <c r="K231" s="141"/>
      <c r="L231" s="141"/>
      <c r="M231" s="141"/>
      <c r="N231" s="141"/>
      <c r="O231" s="9"/>
      <c r="P231" s="9"/>
      <c r="Q231" s="9"/>
      <c r="R231" s="142"/>
      <c r="S231" s="116"/>
      <c r="T231" s="117"/>
      <c r="U231" s="118"/>
      <c r="V231" s="118"/>
      <c r="W231" s="118"/>
      <c r="X231" s="118"/>
      <c r="Y231" s="118"/>
      <c r="Z231" s="118"/>
      <c r="AA231" s="118"/>
      <c r="AB231" s="118"/>
      <c r="AC231" s="118"/>
      <c r="AD231" s="118"/>
      <c r="AE231" s="118"/>
      <c r="AF231" s="118"/>
      <c r="AG231" s="118"/>
      <c r="AH231" s="118"/>
      <c r="AI231" s="118"/>
      <c r="AJ231" s="118"/>
      <c r="AK231" s="118"/>
      <c r="AL231" s="118"/>
      <c r="AM231" s="118"/>
      <c r="AN231" s="118"/>
      <c r="AO231" s="118"/>
      <c r="AP231" s="118"/>
      <c r="AQ231" s="118"/>
      <c r="AR231" s="118"/>
      <c r="AS231" s="118"/>
      <c r="AT231" s="123"/>
      <c r="AU231" s="124"/>
      <c r="AV231" s="124"/>
      <c r="AW231" s="124"/>
      <c r="AX231" s="124"/>
      <c r="AY231" s="124"/>
      <c r="AZ231" s="124"/>
      <c r="BA231" s="124"/>
      <c r="BB231" s="124"/>
      <c r="BC231" s="124"/>
      <c r="BD231" s="124"/>
      <c r="BE231" s="124"/>
      <c r="BF231" s="124"/>
      <c r="BG231" s="124"/>
      <c r="BH231" s="124"/>
      <c r="BI231" s="124"/>
      <c r="BJ231" s="124"/>
      <c r="BK231" s="124"/>
      <c r="BL231" s="124"/>
      <c r="BM231" s="124"/>
      <c r="BN231" s="124"/>
      <c r="BO231" s="124"/>
      <c r="BP231" s="124"/>
      <c r="BQ231" s="124"/>
      <c r="BR231" s="125"/>
      <c r="BS231" s="88"/>
    </row>
    <row r="232">
      <c r="G232" s="9"/>
      <c r="H232" s="9"/>
      <c r="I232" s="9"/>
      <c r="J232" s="143"/>
      <c r="K232" s="141"/>
      <c r="L232" s="141"/>
      <c r="M232" s="141"/>
      <c r="N232" s="141"/>
      <c r="O232" s="9"/>
      <c r="P232" s="9"/>
      <c r="Q232" s="9"/>
      <c r="R232" s="142"/>
      <c r="S232" s="116"/>
      <c r="T232" s="117"/>
      <c r="U232" s="118"/>
      <c r="V232" s="118"/>
      <c r="W232" s="118"/>
      <c r="X232" s="118"/>
      <c r="Y232" s="118"/>
      <c r="Z232" s="118"/>
      <c r="AA232" s="118"/>
      <c r="AB232" s="118"/>
      <c r="AC232" s="118"/>
      <c r="AD232" s="118"/>
      <c r="AE232" s="118"/>
      <c r="AF232" s="118"/>
      <c r="AG232" s="118"/>
      <c r="AH232" s="118"/>
      <c r="AI232" s="118"/>
      <c r="AJ232" s="118"/>
      <c r="AK232" s="118"/>
      <c r="AL232" s="118"/>
      <c r="AM232" s="118"/>
      <c r="AN232" s="118"/>
      <c r="AO232" s="118"/>
      <c r="AP232" s="118"/>
      <c r="AQ232" s="118"/>
      <c r="AR232" s="118"/>
      <c r="AS232" s="118"/>
      <c r="AT232" s="123"/>
      <c r="AU232" s="124"/>
      <c r="AV232" s="124"/>
      <c r="AW232" s="124"/>
      <c r="AX232" s="124"/>
      <c r="AY232" s="124"/>
      <c r="AZ232" s="124"/>
      <c r="BA232" s="124"/>
      <c r="BB232" s="124"/>
      <c r="BC232" s="124"/>
      <c r="BD232" s="124"/>
      <c r="BE232" s="124"/>
      <c r="BF232" s="124"/>
      <c r="BG232" s="124"/>
      <c r="BH232" s="124"/>
      <c r="BI232" s="124"/>
      <c r="BJ232" s="124"/>
      <c r="BK232" s="124"/>
      <c r="BL232" s="124"/>
      <c r="BM232" s="124"/>
      <c r="BN232" s="124"/>
      <c r="BO232" s="124"/>
      <c r="BP232" s="124"/>
      <c r="BQ232" s="124"/>
      <c r="BR232" s="125"/>
      <c r="BS232" s="88"/>
    </row>
    <row r="233">
      <c r="G233" s="9"/>
      <c r="H233" s="9"/>
      <c r="I233" s="9"/>
      <c r="J233" s="143"/>
      <c r="K233" s="141"/>
      <c r="L233" s="141"/>
      <c r="M233" s="141"/>
      <c r="N233" s="141"/>
      <c r="O233" s="9"/>
      <c r="P233" s="9"/>
      <c r="Q233" s="9"/>
      <c r="R233" s="142"/>
      <c r="S233" s="116"/>
      <c r="T233" s="117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18"/>
      <c r="AE233" s="118"/>
      <c r="AF233" s="118"/>
      <c r="AG233" s="118"/>
      <c r="AH233" s="118"/>
      <c r="AI233" s="118"/>
      <c r="AJ233" s="118"/>
      <c r="AK233" s="118"/>
      <c r="AL233" s="118"/>
      <c r="AM233" s="118"/>
      <c r="AN233" s="118"/>
      <c r="AO233" s="118"/>
      <c r="AP233" s="118"/>
      <c r="AQ233" s="118"/>
      <c r="AR233" s="118"/>
      <c r="AS233" s="118"/>
      <c r="AT233" s="123"/>
      <c r="AU233" s="124"/>
      <c r="AV233" s="124"/>
      <c r="AW233" s="124"/>
      <c r="AX233" s="124"/>
      <c r="AY233" s="124"/>
      <c r="AZ233" s="124"/>
      <c r="BA233" s="124"/>
      <c r="BB233" s="124"/>
      <c r="BC233" s="124"/>
      <c r="BD233" s="124"/>
      <c r="BE233" s="124"/>
      <c r="BF233" s="124"/>
      <c r="BG233" s="124"/>
      <c r="BH233" s="124"/>
      <c r="BI233" s="124"/>
      <c r="BJ233" s="124"/>
      <c r="BK233" s="124"/>
      <c r="BL233" s="124"/>
      <c r="BM233" s="124"/>
      <c r="BN233" s="124"/>
      <c r="BO233" s="124"/>
      <c r="BP233" s="124"/>
      <c r="BQ233" s="124"/>
      <c r="BR233" s="125"/>
      <c r="BS233" s="88"/>
    </row>
    <row r="234">
      <c r="G234" s="9"/>
      <c r="H234" s="9"/>
      <c r="I234" s="9"/>
      <c r="J234" s="143"/>
      <c r="K234" s="141"/>
      <c r="L234" s="141"/>
      <c r="M234" s="141"/>
      <c r="N234" s="141"/>
      <c r="O234" s="9"/>
      <c r="P234" s="9"/>
      <c r="Q234" s="9"/>
      <c r="R234" s="142"/>
      <c r="S234" s="116"/>
      <c r="T234" s="117"/>
      <c r="U234" s="118"/>
      <c r="V234" s="118"/>
      <c r="W234" s="118"/>
      <c r="X234" s="118"/>
      <c r="Y234" s="118"/>
      <c r="Z234" s="118"/>
      <c r="AA234" s="118"/>
      <c r="AB234" s="118"/>
      <c r="AC234" s="118"/>
      <c r="AD234" s="118"/>
      <c r="AE234" s="118"/>
      <c r="AF234" s="118"/>
      <c r="AG234" s="118"/>
      <c r="AH234" s="118"/>
      <c r="AI234" s="118"/>
      <c r="AJ234" s="118"/>
      <c r="AK234" s="118"/>
      <c r="AL234" s="118"/>
      <c r="AM234" s="118"/>
      <c r="AN234" s="118"/>
      <c r="AO234" s="118"/>
      <c r="AP234" s="118"/>
      <c r="AQ234" s="118"/>
      <c r="AR234" s="118"/>
      <c r="AS234" s="118"/>
      <c r="AT234" s="123"/>
      <c r="AU234" s="124"/>
      <c r="AV234" s="124"/>
      <c r="AW234" s="124"/>
      <c r="AX234" s="124"/>
      <c r="AY234" s="124"/>
      <c r="AZ234" s="124"/>
      <c r="BA234" s="124"/>
      <c r="BB234" s="124"/>
      <c r="BC234" s="124"/>
      <c r="BD234" s="124"/>
      <c r="BE234" s="124"/>
      <c r="BF234" s="124"/>
      <c r="BG234" s="124"/>
      <c r="BH234" s="124"/>
      <c r="BI234" s="124"/>
      <c r="BJ234" s="124"/>
      <c r="BK234" s="124"/>
      <c r="BL234" s="124"/>
      <c r="BM234" s="124"/>
      <c r="BN234" s="124"/>
      <c r="BO234" s="124"/>
      <c r="BP234" s="124"/>
      <c r="BQ234" s="124"/>
      <c r="BR234" s="125"/>
      <c r="BS234" s="88"/>
    </row>
    <row r="235">
      <c r="G235" s="9"/>
      <c r="H235" s="9"/>
      <c r="I235" s="9"/>
      <c r="J235" s="143"/>
      <c r="K235" s="141"/>
      <c r="L235" s="141"/>
      <c r="M235" s="141"/>
      <c r="N235" s="141"/>
      <c r="O235" s="9"/>
      <c r="P235" s="9"/>
      <c r="Q235" s="9"/>
      <c r="R235" s="142"/>
      <c r="S235" s="116"/>
      <c r="T235" s="117"/>
      <c r="U235" s="118"/>
      <c r="V235" s="118"/>
      <c r="W235" s="118"/>
      <c r="X235" s="118"/>
      <c r="Y235" s="118"/>
      <c r="Z235" s="118"/>
      <c r="AA235" s="118"/>
      <c r="AB235" s="118"/>
      <c r="AC235" s="118"/>
      <c r="AD235" s="118"/>
      <c r="AE235" s="118"/>
      <c r="AF235" s="118"/>
      <c r="AG235" s="118"/>
      <c r="AH235" s="118"/>
      <c r="AI235" s="118"/>
      <c r="AJ235" s="118"/>
      <c r="AK235" s="118"/>
      <c r="AL235" s="118"/>
      <c r="AM235" s="118"/>
      <c r="AN235" s="118"/>
      <c r="AO235" s="118"/>
      <c r="AP235" s="118"/>
      <c r="AQ235" s="118"/>
      <c r="AR235" s="118"/>
      <c r="AS235" s="118"/>
      <c r="AT235" s="123"/>
      <c r="AU235" s="124"/>
      <c r="AV235" s="124"/>
      <c r="AW235" s="124"/>
      <c r="AX235" s="124"/>
      <c r="AY235" s="124"/>
      <c r="AZ235" s="124"/>
      <c r="BA235" s="124"/>
      <c r="BB235" s="124"/>
      <c r="BC235" s="124"/>
      <c r="BD235" s="124"/>
      <c r="BE235" s="124"/>
      <c r="BF235" s="124"/>
      <c r="BG235" s="124"/>
      <c r="BH235" s="124"/>
      <c r="BI235" s="124"/>
      <c r="BJ235" s="124"/>
      <c r="BK235" s="124"/>
      <c r="BL235" s="124"/>
      <c r="BM235" s="124"/>
      <c r="BN235" s="124"/>
      <c r="BO235" s="124"/>
      <c r="BP235" s="124"/>
      <c r="BQ235" s="124"/>
      <c r="BR235" s="125"/>
      <c r="BS235" s="88"/>
    </row>
    <row r="236">
      <c r="G236" s="9"/>
      <c r="H236" s="9"/>
      <c r="I236" s="9"/>
      <c r="J236" s="143"/>
      <c r="K236" s="141"/>
      <c r="L236" s="141"/>
      <c r="M236" s="141"/>
      <c r="N236" s="141"/>
      <c r="O236" s="9"/>
      <c r="P236" s="9"/>
      <c r="Q236" s="9"/>
      <c r="R236" s="142"/>
      <c r="S236" s="116"/>
      <c r="T236" s="117"/>
      <c r="U236" s="118"/>
      <c r="V236" s="118"/>
      <c r="W236" s="118"/>
      <c r="X236" s="118"/>
      <c r="Y236" s="118"/>
      <c r="Z236" s="118"/>
      <c r="AA236" s="118"/>
      <c r="AB236" s="118"/>
      <c r="AC236" s="118"/>
      <c r="AD236" s="118"/>
      <c r="AE236" s="118"/>
      <c r="AF236" s="118"/>
      <c r="AG236" s="118"/>
      <c r="AH236" s="118"/>
      <c r="AI236" s="118"/>
      <c r="AJ236" s="118"/>
      <c r="AK236" s="118"/>
      <c r="AL236" s="118"/>
      <c r="AM236" s="118"/>
      <c r="AN236" s="118"/>
      <c r="AO236" s="118"/>
      <c r="AP236" s="118"/>
      <c r="AQ236" s="118"/>
      <c r="AR236" s="118"/>
      <c r="AS236" s="118"/>
      <c r="AT236" s="123"/>
      <c r="AU236" s="124"/>
      <c r="AV236" s="124"/>
      <c r="AW236" s="124"/>
      <c r="AX236" s="124"/>
      <c r="AY236" s="124"/>
      <c r="AZ236" s="124"/>
      <c r="BA236" s="124"/>
      <c r="BB236" s="124"/>
      <c r="BC236" s="124"/>
      <c r="BD236" s="124"/>
      <c r="BE236" s="124"/>
      <c r="BF236" s="124"/>
      <c r="BG236" s="124"/>
      <c r="BH236" s="124"/>
      <c r="BI236" s="124"/>
      <c r="BJ236" s="124"/>
      <c r="BK236" s="124"/>
      <c r="BL236" s="124"/>
      <c r="BM236" s="124"/>
      <c r="BN236" s="124"/>
      <c r="BO236" s="124"/>
      <c r="BP236" s="124"/>
      <c r="BQ236" s="124"/>
      <c r="BR236" s="125"/>
      <c r="BS236" s="88"/>
    </row>
    <row r="237">
      <c r="G237" s="9"/>
      <c r="H237" s="9"/>
      <c r="I237" s="9"/>
      <c r="J237" s="143"/>
      <c r="K237" s="141"/>
      <c r="L237" s="141"/>
      <c r="M237" s="141"/>
      <c r="N237" s="141"/>
      <c r="O237" s="9"/>
      <c r="P237" s="9"/>
      <c r="Q237" s="9"/>
      <c r="R237" s="142"/>
      <c r="S237" s="116"/>
      <c r="T237" s="117"/>
      <c r="U237" s="118"/>
      <c r="V237" s="118"/>
      <c r="W237" s="118"/>
      <c r="X237" s="118"/>
      <c r="Y237" s="118"/>
      <c r="Z237" s="118"/>
      <c r="AA237" s="118"/>
      <c r="AB237" s="118"/>
      <c r="AC237" s="118"/>
      <c r="AD237" s="118"/>
      <c r="AE237" s="118"/>
      <c r="AF237" s="118"/>
      <c r="AG237" s="118"/>
      <c r="AH237" s="118"/>
      <c r="AI237" s="118"/>
      <c r="AJ237" s="118"/>
      <c r="AK237" s="118"/>
      <c r="AL237" s="118"/>
      <c r="AM237" s="118"/>
      <c r="AN237" s="118"/>
      <c r="AO237" s="118"/>
      <c r="AP237" s="118"/>
      <c r="AQ237" s="118"/>
      <c r="AR237" s="118"/>
      <c r="AS237" s="118"/>
      <c r="AT237" s="123"/>
      <c r="AU237" s="124"/>
      <c r="AV237" s="124"/>
      <c r="AW237" s="124"/>
      <c r="AX237" s="124"/>
      <c r="AY237" s="124"/>
      <c r="AZ237" s="124"/>
      <c r="BA237" s="124"/>
      <c r="BB237" s="124"/>
      <c r="BC237" s="124"/>
      <c r="BD237" s="124"/>
      <c r="BE237" s="124"/>
      <c r="BF237" s="124"/>
      <c r="BG237" s="124"/>
      <c r="BH237" s="124"/>
      <c r="BI237" s="124"/>
      <c r="BJ237" s="124"/>
      <c r="BK237" s="124"/>
      <c r="BL237" s="124"/>
      <c r="BM237" s="124"/>
      <c r="BN237" s="124"/>
      <c r="BO237" s="124"/>
      <c r="BP237" s="124"/>
      <c r="BQ237" s="124"/>
      <c r="BR237" s="125"/>
      <c r="BS237" s="88"/>
    </row>
    <row r="238">
      <c r="G238" s="9"/>
      <c r="H238" s="9"/>
      <c r="I238" s="9"/>
      <c r="J238" s="143"/>
      <c r="K238" s="141"/>
      <c r="L238" s="141"/>
      <c r="M238" s="141"/>
      <c r="N238" s="141"/>
      <c r="O238" s="9"/>
      <c r="P238" s="9"/>
      <c r="Q238" s="9"/>
      <c r="R238" s="142"/>
      <c r="S238" s="116"/>
      <c r="T238" s="117"/>
      <c r="U238" s="118"/>
      <c r="V238" s="118"/>
      <c r="W238" s="118"/>
      <c r="X238" s="118"/>
      <c r="Y238" s="118"/>
      <c r="Z238" s="118"/>
      <c r="AA238" s="118"/>
      <c r="AB238" s="118"/>
      <c r="AC238" s="118"/>
      <c r="AD238" s="118"/>
      <c r="AE238" s="118"/>
      <c r="AF238" s="118"/>
      <c r="AG238" s="118"/>
      <c r="AH238" s="118"/>
      <c r="AI238" s="118"/>
      <c r="AJ238" s="118"/>
      <c r="AK238" s="118"/>
      <c r="AL238" s="118"/>
      <c r="AM238" s="118"/>
      <c r="AN238" s="118"/>
      <c r="AO238" s="118"/>
      <c r="AP238" s="118"/>
      <c r="AQ238" s="118"/>
      <c r="AR238" s="118"/>
      <c r="AS238" s="118"/>
      <c r="AT238" s="123"/>
      <c r="AU238" s="124"/>
      <c r="AV238" s="124"/>
      <c r="AW238" s="124"/>
      <c r="AX238" s="124"/>
      <c r="AY238" s="124"/>
      <c r="AZ238" s="124"/>
      <c r="BA238" s="124"/>
      <c r="BB238" s="124"/>
      <c r="BC238" s="124"/>
      <c r="BD238" s="124"/>
      <c r="BE238" s="124"/>
      <c r="BF238" s="124"/>
      <c r="BG238" s="124"/>
      <c r="BH238" s="124"/>
      <c r="BI238" s="124"/>
      <c r="BJ238" s="124"/>
      <c r="BK238" s="124"/>
      <c r="BL238" s="124"/>
      <c r="BM238" s="124"/>
      <c r="BN238" s="124"/>
      <c r="BO238" s="124"/>
      <c r="BP238" s="124"/>
      <c r="BQ238" s="124"/>
      <c r="BR238" s="125"/>
      <c r="BS238" s="88"/>
    </row>
    <row r="239">
      <c r="G239" s="9"/>
      <c r="H239" s="9"/>
      <c r="I239" s="9"/>
      <c r="J239" s="143"/>
      <c r="K239" s="141"/>
      <c r="L239" s="141"/>
      <c r="M239" s="141"/>
      <c r="N239" s="141"/>
      <c r="O239" s="9"/>
      <c r="P239" s="9"/>
      <c r="Q239" s="9"/>
      <c r="R239" s="142"/>
      <c r="S239" s="116"/>
      <c r="T239" s="117"/>
      <c r="U239" s="118"/>
      <c r="V239" s="118"/>
      <c r="W239" s="118"/>
      <c r="X239" s="118"/>
      <c r="Y239" s="118"/>
      <c r="Z239" s="118"/>
      <c r="AA239" s="118"/>
      <c r="AB239" s="118"/>
      <c r="AC239" s="118"/>
      <c r="AD239" s="118"/>
      <c r="AE239" s="118"/>
      <c r="AF239" s="118"/>
      <c r="AG239" s="118"/>
      <c r="AH239" s="118"/>
      <c r="AI239" s="118"/>
      <c r="AJ239" s="118"/>
      <c r="AK239" s="118"/>
      <c r="AL239" s="118"/>
      <c r="AM239" s="118"/>
      <c r="AN239" s="118"/>
      <c r="AO239" s="118"/>
      <c r="AP239" s="118"/>
      <c r="AQ239" s="118"/>
      <c r="AR239" s="118"/>
      <c r="AS239" s="118"/>
      <c r="AT239" s="123"/>
      <c r="AU239" s="124"/>
      <c r="AV239" s="124"/>
      <c r="AW239" s="124"/>
      <c r="AX239" s="124"/>
      <c r="AY239" s="124"/>
      <c r="AZ239" s="124"/>
      <c r="BA239" s="124"/>
      <c r="BB239" s="124"/>
      <c r="BC239" s="124"/>
      <c r="BD239" s="124"/>
      <c r="BE239" s="124"/>
      <c r="BF239" s="124"/>
      <c r="BG239" s="124"/>
      <c r="BH239" s="124"/>
      <c r="BI239" s="124"/>
      <c r="BJ239" s="124"/>
      <c r="BK239" s="124"/>
      <c r="BL239" s="124"/>
      <c r="BM239" s="124"/>
      <c r="BN239" s="124"/>
      <c r="BO239" s="124"/>
      <c r="BP239" s="124"/>
      <c r="BQ239" s="124"/>
      <c r="BR239" s="125"/>
      <c r="BS239" s="88"/>
    </row>
    <row r="240">
      <c r="G240" s="9"/>
      <c r="H240" s="9"/>
      <c r="I240" s="9"/>
      <c r="J240" s="143"/>
      <c r="K240" s="141"/>
      <c r="L240" s="141"/>
      <c r="M240" s="141"/>
      <c r="N240" s="141"/>
      <c r="O240" s="9"/>
      <c r="P240" s="9"/>
      <c r="Q240" s="9"/>
      <c r="R240" s="142"/>
      <c r="S240" s="116"/>
      <c r="T240" s="117"/>
      <c r="U240" s="118"/>
      <c r="V240" s="118"/>
      <c r="W240" s="118"/>
      <c r="X240" s="118"/>
      <c r="Y240" s="118"/>
      <c r="Z240" s="118"/>
      <c r="AA240" s="118"/>
      <c r="AB240" s="118"/>
      <c r="AC240" s="118"/>
      <c r="AD240" s="118"/>
      <c r="AE240" s="118"/>
      <c r="AF240" s="118"/>
      <c r="AG240" s="118"/>
      <c r="AH240" s="118"/>
      <c r="AI240" s="118"/>
      <c r="AJ240" s="118"/>
      <c r="AK240" s="118"/>
      <c r="AL240" s="118"/>
      <c r="AM240" s="118"/>
      <c r="AN240" s="118"/>
      <c r="AO240" s="118"/>
      <c r="AP240" s="118"/>
      <c r="AQ240" s="118"/>
      <c r="AR240" s="118"/>
      <c r="AS240" s="118"/>
      <c r="AT240" s="123"/>
      <c r="AU240" s="124"/>
      <c r="AV240" s="124"/>
      <c r="AW240" s="124"/>
      <c r="AX240" s="124"/>
      <c r="AY240" s="124"/>
      <c r="AZ240" s="124"/>
      <c r="BA240" s="124"/>
      <c r="BB240" s="124"/>
      <c r="BC240" s="124"/>
      <c r="BD240" s="124"/>
      <c r="BE240" s="124"/>
      <c r="BF240" s="124"/>
      <c r="BG240" s="124"/>
      <c r="BH240" s="124"/>
      <c r="BI240" s="124"/>
      <c r="BJ240" s="124"/>
      <c r="BK240" s="124"/>
      <c r="BL240" s="124"/>
      <c r="BM240" s="124"/>
      <c r="BN240" s="124"/>
      <c r="BO240" s="124"/>
      <c r="BP240" s="124"/>
      <c r="BQ240" s="124"/>
      <c r="BR240" s="125"/>
      <c r="BS240" s="88"/>
    </row>
    <row r="241">
      <c r="G241" s="9"/>
      <c r="H241" s="9"/>
      <c r="I241" s="9"/>
      <c r="J241" s="143"/>
      <c r="K241" s="141"/>
      <c r="L241" s="141"/>
      <c r="M241" s="141"/>
      <c r="N241" s="141"/>
      <c r="O241" s="9"/>
      <c r="P241" s="9"/>
      <c r="Q241" s="9"/>
      <c r="R241" s="142"/>
      <c r="S241" s="116"/>
      <c r="T241" s="117"/>
      <c r="U241" s="118"/>
      <c r="V241" s="118"/>
      <c r="W241" s="118"/>
      <c r="X241" s="118"/>
      <c r="Y241" s="118"/>
      <c r="Z241" s="118"/>
      <c r="AA241" s="118"/>
      <c r="AB241" s="118"/>
      <c r="AC241" s="118"/>
      <c r="AD241" s="118"/>
      <c r="AE241" s="118"/>
      <c r="AF241" s="118"/>
      <c r="AG241" s="118"/>
      <c r="AH241" s="118"/>
      <c r="AI241" s="118"/>
      <c r="AJ241" s="118"/>
      <c r="AK241" s="118"/>
      <c r="AL241" s="118"/>
      <c r="AM241" s="118"/>
      <c r="AN241" s="118"/>
      <c r="AO241" s="118"/>
      <c r="AP241" s="118"/>
      <c r="AQ241" s="118"/>
      <c r="AR241" s="118"/>
      <c r="AS241" s="118"/>
      <c r="AT241" s="123"/>
      <c r="AU241" s="124"/>
      <c r="AV241" s="124"/>
      <c r="AW241" s="124"/>
      <c r="AX241" s="124"/>
      <c r="AY241" s="124"/>
      <c r="AZ241" s="124"/>
      <c r="BA241" s="124"/>
      <c r="BB241" s="124"/>
      <c r="BC241" s="124"/>
      <c r="BD241" s="124"/>
      <c r="BE241" s="124"/>
      <c r="BF241" s="124"/>
      <c r="BG241" s="124"/>
      <c r="BH241" s="124"/>
      <c r="BI241" s="124"/>
      <c r="BJ241" s="124"/>
      <c r="BK241" s="124"/>
      <c r="BL241" s="124"/>
      <c r="BM241" s="124"/>
      <c r="BN241" s="124"/>
      <c r="BO241" s="124"/>
      <c r="BP241" s="124"/>
      <c r="BQ241" s="124"/>
      <c r="BR241" s="125"/>
      <c r="BS241" s="88"/>
    </row>
    <row r="242">
      <c r="G242" s="9"/>
      <c r="H242" s="9"/>
      <c r="I242" s="9"/>
      <c r="J242" s="143"/>
      <c r="K242" s="141"/>
      <c r="L242" s="141"/>
      <c r="M242" s="141"/>
      <c r="N242" s="141"/>
      <c r="O242" s="9"/>
      <c r="P242" s="9"/>
      <c r="Q242" s="9"/>
      <c r="R242" s="142"/>
      <c r="S242" s="116"/>
      <c r="T242" s="117"/>
      <c r="U242" s="118"/>
      <c r="V242" s="118"/>
      <c r="W242" s="118"/>
      <c r="X242" s="118"/>
      <c r="Y242" s="118"/>
      <c r="Z242" s="118"/>
      <c r="AA242" s="118"/>
      <c r="AB242" s="118"/>
      <c r="AC242" s="118"/>
      <c r="AD242" s="118"/>
      <c r="AE242" s="118"/>
      <c r="AF242" s="118"/>
      <c r="AG242" s="118"/>
      <c r="AH242" s="118"/>
      <c r="AI242" s="118"/>
      <c r="AJ242" s="118"/>
      <c r="AK242" s="118"/>
      <c r="AL242" s="118"/>
      <c r="AM242" s="118"/>
      <c r="AN242" s="118"/>
      <c r="AO242" s="118"/>
      <c r="AP242" s="118"/>
      <c r="AQ242" s="118"/>
      <c r="AR242" s="118"/>
      <c r="AS242" s="118"/>
      <c r="AT242" s="123"/>
      <c r="AU242" s="124"/>
      <c r="AV242" s="124"/>
      <c r="AW242" s="124"/>
      <c r="AX242" s="124"/>
      <c r="AY242" s="124"/>
      <c r="AZ242" s="124"/>
      <c r="BA242" s="124"/>
      <c r="BB242" s="124"/>
      <c r="BC242" s="124"/>
      <c r="BD242" s="124"/>
      <c r="BE242" s="124"/>
      <c r="BF242" s="124"/>
      <c r="BG242" s="124"/>
      <c r="BH242" s="124"/>
      <c r="BI242" s="124"/>
      <c r="BJ242" s="124"/>
      <c r="BK242" s="124"/>
      <c r="BL242" s="124"/>
      <c r="BM242" s="124"/>
      <c r="BN242" s="124"/>
      <c r="BO242" s="124"/>
      <c r="BP242" s="124"/>
      <c r="BQ242" s="124"/>
      <c r="BR242" s="125"/>
      <c r="BS242" s="88"/>
    </row>
    <row r="243">
      <c r="G243" s="9"/>
      <c r="H243" s="9"/>
      <c r="I243" s="9"/>
      <c r="J243" s="143"/>
      <c r="K243" s="141"/>
      <c r="L243" s="141"/>
      <c r="M243" s="141"/>
      <c r="N243" s="141"/>
      <c r="O243" s="9"/>
      <c r="P243" s="9"/>
      <c r="Q243" s="9"/>
      <c r="R243" s="142"/>
      <c r="S243" s="116"/>
      <c r="T243" s="117"/>
      <c r="U243" s="118"/>
      <c r="V243" s="118"/>
      <c r="W243" s="118"/>
      <c r="X243" s="118"/>
      <c r="Y243" s="118"/>
      <c r="Z243" s="118"/>
      <c r="AA243" s="118"/>
      <c r="AB243" s="118"/>
      <c r="AC243" s="118"/>
      <c r="AD243" s="118"/>
      <c r="AE243" s="118"/>
      <c r="AF243" s="118"/>
      <c r="AG243" s="118"/>
      <c r="AH243" s="118"/>
      <c r="AI243" s="118"/>
      <c r="AJ243" s="118"/>
      <c r="AK243" s="118"/>
      <c r="AL243" s="118"/>
      <c r="AM243" s="118"/>
      <c r="AN243" s="118"/>
      <c r="AO243" s="118"/>
      <c r="AP243" s="118"/>
      <c r="AQ243" s="118"/>
      <c r="AR243" s="118"/>
      <c r="AS243" s="118"/>
      <c r="AT243" s="123"/>
      <c r="AU243" s="124"/>
      <c r="AV243" s="124"/>
      <c r="AW243" s="124"/>
      <c r="AX243" s="124"/>
      <c r="AY243" s="124"/>
      <c r="AZ243" s="124"/>
      <c r="BA243" s="124"/>
      <c r="BB243" s="124"/>
      <c r="BC243" s="124"/>
      <c r="BD243" s="124"/>
      <c r="BE243" s="124"/>
      <c r="BF243" s="124"/>
      <c r="BG243" s="124"/>
      <c r="BH243" s="124"/>
      <c r="BI243" s="124"/>
      <c r="BJ243" s="124"/>
      <c r="BK243" s="124"/>
      <c r="BL243" s="124"/>
      <c r="BM243" s="124"/>
      <c r="BN243" s="124"/>
      <c r="BO243" s="124"/>
      <c r="BP243" s="124"/>
      <c r="BQ243" s="124"/>
      <c r="BR243" s="125"/>
      <c r="BS243" s="88"/>
    </row>
    <row r="244">
      <c r="G244" s="9"/>
      <c r="H244" s="9"/>
      <c r="I244" s="9"/>
      <c r="J244" s="143"/>
      <c r="K244" s="141"/>
      <c r="L244" s="141"/>
      <c r="M244" s="141"/>
      <c r="N244" s="141"/>
      <c r="O244" s="9"/>
      <c r="P244" s="9"/>
      <c r="Q244" s="9"/>
      <c r="R244" s="142"/>
      <c r="S244" s="116"/>
      <c r="T244" s="117"/>
      <c r="U244" s="118"/>
      <c r="V244" s="118"/>
      <c r="W244" s="118"/>
      <c r="X244" s="118"/>
      <c r="Y244" s="118"/>
      <c r="Z244" s="118"/>
      <c r="AA244" s="118"/>
      <c r="AB244" s="118"/>
      <c r="AC244" s="118"/>
      <c r="AD244" s="118"/>
      <c r="AE244" s="118"/>
      <c r="AF244" s="118"/>
      <c r="AG244" s="118"/>
      <c r="AH244" s="118"/>
      <c r="AI244" s="118"/>
      <c r="AJ244" s="118"/>
      <c r="AK244" s="118"/>
      <c r="AL244" s="118"/>
      <c r="AM244" s="118"/>
      <c r="AN244" s="118"/>
      <c r="AO244" s="118"/>
      <c r="AP244" s="118"/>
      <c r="AQ244" s="118"/>
      <c r="AR244" s="118"/>
      <c r="AS244" s="118"/>
      <c r="AT244" s="123"/>
      <c r="AU244" s="124"/>
      <c r="AV244" s="124"/>
      <c r="AW244" s="124"/>
      <c r="AX244" s="124"/>
      <c r="AY244" s="124"/>
      <c r="AZ244" s="124"/>
      <c r="BA244" s="124"/>
      <c r="BB244" s="124"/>
      <c r="BC244" s="124"/>
      <c r="BD244" s="124"/>
      <c r="BE244" s="124"/>
      <c r="BF244" s="124"/>
      <c r="BG244" s="124"/>
      <c r="BH244" s="124"/>
      <c r="BI244" s="124"/>
      <c r="BJ244" s="124"/>
      <c r="BK244" s="124"/>
      <c r="BL244" s="124"/>
      <c r="BM244" s="124"/>
      <c r="BN244" s="124"/>
      <c r="BO244" s="124"/>
      <c r="BP244" s="124"/>
      <c r="BQ244" s="124"/>
      <c r="BR244" s="125"/>
      <c r="BS244" s="88"/>
    </row>
    <row r="245">
      <c r="G245" s="9"/>
      <c r="H245" s="9"/>
      <c r="I245" s="9"/>
      <c r="J245" s="143"/>
      <c r="K245" s="141"/>
      <c r="L245" s="141"/>
      <c r="M245" s="141"/>
      <c r="N245" s="141"/>
      <c r="O245" s="9"/>
      <c r="P245" s="9"/>
      <c r="Q245" s="9"/>
      <c r="R245" s="142"/>
      <c r="S245" s="116"/>
      <c r="T245" s="117"/>
      <c r="U245" s="118"/>
      <c r="V245" s="118"/>
      <c r="W245" s="118"/>
      <c r="X245" s="118"/>
      <c r="Y245" s="118"/>
      <c r="Z245" s="118"/>
      <c r="AA245" s="118"/>
      <c r="AB245" s="118"/>
      <c r="AC245" s="118"/>
      <c r="AD245" s="118"/>
      <c r="AE245" s="118"/>
      <c r="AF245" s="118"/>
      <c r="AG245" s="118"/>
      <c r="AH245" s="118"/>
      <c r="AI245" s="118"/>
      <c r="AJ245" s="118"/>
      <c r="AK245" s="118"/>
      <c r="AL245" s="118"/>
      <c r="AM245" s="118"/>
      <c r="AN245" s="118"/>
      <c r="AO245" s="118"/>
      <c r="AP245" s="118"/>
      <c r="AQ245" s="118"/>
      <c r="AR245" s="118"/>
      <c r="AS245" s="118"/>
      <c r="AT245" s="123"/>
      <c r="AU245" s="124"/>
      <c r="AV245" s="124"/>
      <c r="AW245" s="124"/>
      <c r="AX245" s="124"/>
      <c r="AY245" s="124"/>
      <c r="AZ245" s="124"/>
      <c r="BA245" s="124"/>
      <c r="BB245" s="124"/>
      <c r="BC245" s="124"/>
      <c r="BD245" s="124"/>
      <c r="BE245" s="124"/>
      <c r="BF245" s="124"/>
      <c r="BG245" s="124"/>
      <c r="BH245" s="124"/>
      <c r="BI245" s="124"/>
      <c r="BJ245" s="124"/>
      <c r="BK245" s="124"/>
      <c r="BL245" s="124"/>
      <c r="BM245" s="124"/>
      <c r="BN245" s="124"/>
      <c r="BO245" s="124"/>
      <c r="BP245" s="124"/>
      <c r="BQ245" s="124"/>
      <c r="BR245" s="125"/>
      <c r="BS245" s="88"/>
    </row>
    <row r="246">
      <c r="G246" s="9"/>
      <c r="H246" s="9"/>
      <c r="I246" s="9"/>
      <c r="J246" s="143"/>
      <c r="K246" s="141"/>
      <c r="L246" s="141"/>
      <c r="M246" s="141"/>
      <c r="N246" s="141"/>
      <c r="O246" s="9"/>
      <c r="P246" s="9"/>
      <c r="Q246" s="9"/>
      <c r="R246" s="142"/>
      <c r="S246" s="116"/>
      <c r="T246" s="117"/>
      <c r="U246" s="118"/>
      <c r="V246" s="118"/>
      <c r="W246" s="118"/>
      <c r="X246" s="118"/>
      <c r="Y246" s="118"/>
      <c r="Z246" s="118"/>
      <c r="AA246" s="118"/>
      <c r="AB246" s="118"/>
      <c r="AC246" s="118"/>
      <c r="AD246" s="118"/>
      <c r="AE246" s="118"/>
      <c r="AF246" s="118"/>
      <c r="AG246" s="118"/>
      <c r="AH246" s="118"/>
      <c r="AI246" s="118"/>
      <c r="AJ246" s="118"/>
      <c r="AK246" s="118"/>
      <c r="AL246" s="118"/>
      <c r="AM246" s="118"/>
      <c r="AN246" s="118"/>
      <c r="AO246" s="118"/>
      <c r="AP246" s="118"/>
      <c r="AQ246" s="118"/>
      <c r="AR246" s="118"/>
      <c r="AS246" s="118"/>
      <c r="AT246" s="123"/>
      <c r="AU246" s="124"/>
      <c r="AV246" s="124"/>
      <c r="AW246" s="124"/>
      <c r="AX246" s="124"/>
      <c r="AY246" s="124"/>
      <c r="AZ246" s="124"/>
      <c r="BA246" s="124"/>
      <c r="BB246" s="124"/>
      <c r="BC246" s="124"/>
      <c r="BD246" s="124"/>
      <c r="BE246" s="124"/>
      <c r="BF246" s="124"/>
      <c r="BG246" s="124"/>
      <c r="BH246" s="124"/>
      <c r="BI246" s="124"/>
      <c r="BJ246" s="124"/>
      <c r="BK246" s="124"/>
      <c r="BL246" s="124"/>
      <c r="BM246" s="124"/>
      <c r="BN246" s="124"/>
      <c r="BO246" s="124"/>
      <c r="BP246" s="124"/>
      <c r="BQ246" s="124"/>
      <c r="BR246" s="125"/>
      <c r="BS246" s="88"/>
    </row>
    <row r="247">
      <c r="G247" s="9"/>
      <c r="H247" s="9"/>
      <c r="I247" s="9"/>
      <c r="J247" s="143"/>
      <c r="K247" s="141"/>
      <c r="L247" s="141"/>
      <c r="M247" s="141"/>
      <c r="N247" s="141"/>
      <c r="O247" s="9"/>
      <c r="P247" s="9"/>
      <c r="Q247" s="9"/>
      <c r="R247" s="142"/>
      <c r="S247" s="116"/>
      <c r="T247" s="117"/>
      <c r="U247" s="118"/>
      <c r="V247" s="118"/>
      <c r="W247" s="118"/>
      <c r="X247" s="118"/>
      <c r="Y247" s="118"/>
      <c r="Z247" s="118"/>
      <c r="AA247" s="118"/>
      <c r="AB247" s="118"/>
      <c r="AC247" s="118"/>
      <c r="AD247" s="118"/>
      <c r="AE247" s="118"/>
      <c r="AF247" s="118"/>
      <c r="AG247" s="118"/>
      <c r="AH247" s="118"/>
      <c r="AI247" s="118"/>
      <c r="AJ247" s="118"/>
      <c r="AK247" s="118"/>
      <c r="AL247" s="118"/>
      <c r="AM247" s="118"/>
      <c r="AN247" s="118"/>
      <c r="AO247" s="118"/>
      <c r="AP247" s="118"/>
      <c r="AQ247" s="118"/>
      <c r="AR247" s="118"/>
      <c r="AS247" s="118"/>
      <c r="AT247" s="123"/>
      <c r="AU247" s="124"/>
      <c r="AV247" s="124"/>
      <c r="AW247" s="124"/>
      <c r="AX247" s="124"/>
      <c r="AY247" s="124"/>
      <c r="AZ247" s="124"/>
      <c r="BA247" s="124"/>
      <c r="BB247" s="124"/>
      <c r="BC247" s="124"/>
      <c r="BD247" s="124"/>
      <c r="BE247" s="124"/>
      <c r="BF247" s="124"/>
      <c r="BG247" s="124"/>
      <c r="BH247" s="124"/>
      <c r="BI247" s="124"/>
      <c r="BJ247" s="124"/>
      <c r="BK247" s="124"/>
      <c r="BL247" s="124"/>
      <c r="BM247" s="124"/>
      <c r="BN247" s="124"/>
      <c r="BO247" s="124"/>
      <c r="BP247" s="124"/>
      <c r="BQ247" s="124"/>
      <c r="BR247" s="125"/>
      <c r="BS247" s="88"/>
    </row>
    <row r="248">
      <c r="G248" s="9"/>
      <c r="H248" s="9"/>
      <c r="I248" s="9"/>
      <c r="J248" s="143"/>
      <c r="K248" s="141"/>
      <c r="L248" s="141"/>
      <c r="M248" s="141"/>
      <c r="N248" s="141"/>
      <c r="O248" s="9"/>
      <c r="P248" s="9"/>
      <c r="Q248" s="9"/>
      <c r="R248" s="142"/>
      <c r="S248" s="116"/>
      <c r="T248" s="117"/>
      <c r="U248" s="118"/>
      <c r="V248" s="118"/>
      <c r="W248" s="118"/>
      <c r="X248" s="118"/>
      <c r="Y248" s="118"/>
      <c r="Z248" s="118"/>
      <c r="AA248" s="118"/>
      <c r="AB248" s="118"/>
      <c r="AC248" s="118"/>
      <c r="AD248" s="118"/>
      <c r="AE248" s="118"/>
      <c r="AF248" s="118"/>
      <c r="AG248" s="118"/>
      <c r="AH248" s="118"/>
      <c r="AI248" s="118"/>
      <c r="AJ248" s="118"/>
      <c r="AK248" s="118"/>
      <c r="AL248" s="118"/>
      <c r="AM248" s="118"/>
      <c r="AN248" s="118"/>
      <c r="AO248" s="118"/>
      <c r="AP248" s="118"/>
      <c r="AQ248" s="118"/>
      <c r="AR248" s="118"/>
      <c r="AS248" s="118"/>
      <c r="AT248" s="123"/>
      <c r="AU248" s="124"/>
      <c r="AV248" s="124"/>
      <c r="AW248" s="124"/>
      <c r="AX248" s="124"/>
      <c r="AY248" s="124"/>
      <c r="AZ248" s="124"/>
      <c r="BA248" s="124"/>
      <c r="BB248" s="124"/>
      <c r="BC248" s="124"/>
      <c r="BD248" s="124"/>
      <c r="BE248" s="124"/>
      <c r="BF248" s="124"/>
      <c r="BG248" s="124"/>
      <c r="BH248" s="124"/>
      <c r="BI248" s="124"/>
      <c r="BJ248" s="124"/>
      <c r="BK248" s="124"/>
      <c r="BL248" s="124"/>
      <c r="BM248" s="124"/>
      <c r="BN248" s="124"/>
      <c r="BO248" s="124"/>
      <c r="BP248" s="124"/>
      <c r="BQ248" s="124"/>
      <c r="BR248" s="125"/>
      <c r="BS248" s="88"/>
    </row>
    <row r="249">
      <c r="G249" s="9"/>
      <c r="H249" s="9"/>
      <c r="I249" s="9"/>
      <c r="J249" s="143"/>
      <c r="K249" s="141"/>
      <c r="L249" s="141"/>
      <c r="M249" s="141"/>
      <c r="N249" s="141"/>
      <c r="O249" s="9"/>
      <c r="P249" s="9"/>
      <c r="Q249" s="9"/>
      <c r="R249" s="142"/>
      <c r="S249" s="116"/>
      <c r="T249" s="117"/>
      <c r="U249" s="118"/>
      <c r="V249" s="118"/>
      <c r="W249" s="118"/>
      <c r="X249" s="118"/>
      <c r="Y249" s="118"/>
      <c r="Z249" s="118"/>
      <c r="AA249" s="118"/>
      <c r="AB249" s="118"/>
      <c r="AC249" s="118"/>
      <c r="AD249" s="118"/>
      <c r="AE249" s="118"/>
      <c r="AF249" s="118"/>
      <c r="AG249" s="118"/>
      <c r="AH249" s="118"/>
      <c r="AI249" s="118"/>
      <c r="AJ249" s="118"/>
      <c r="AK249" s="118"/>
      <c r="AL249" s="118"/>
      <c r="AM249" s="118"/>
      <c r="AN249" s="118"/>
      <c r="AO249" s="118"/>
      <c r="AP249" s="118"/>
      <c r="AQ249" s="118"/>
      <c r="AR249" s="118"/>
      <c r="AS249" s="118"/>
      <c r="AT249" s="123"/>
      <c r="AU249" s="124"/>
      <c r="AV249" s="124"/>
      <c r="AW249" s="124"/>
      <c r="AX249" s="124"/>
      <c r="AY249" s="124"/>
      <c r="AZ249" s="124"/>
      <c r="BA249" s="124"/>
      <c r="BB249" s="124"/>
      <c r="BC249" s="124"/>
      <c r="BD249" s="124"/>
      <c r="BE249" s="124"/>
      <c r="BF249" s="124"/>
      <c r="BG249" s="124"/>
      <c r="BH249" s="124"/>
      <c r="BI249" s="124"/>
      <c r="BJ249" s="124"/>
      <c r="BK249" s="124"/>
      <c r="BL249" s="124"/>
      <c r="BM249" s="124"/>
      <c r="BN249" s="124"/>
      <c r="BO249" s="124"/>
      <c r="BP249" s="124"/>
      <c r="BQ249" s="124"/>
      <c r="BR249" s="125"/>
      <c r="BS249" s="88"/>
    </row>
    <row r="250">
      <c r="G250" s="9"/>
      <c r="H250" s="9"/>
      <c r="I250" s="9"/>
      <c r="J250" s="143"/>
      <c r="K250" s="141"/>
      <c r="L250" s="141"/>
      <c r="M250" s="141"/>
      <c r="N250" s="141"/>
      <c r="O250" s="9"/>
      <c r="P250" s="9"/>
      <c r="Q250" s="9"/>
      <c r="R250" s="142"/>
      <c r="S250" s="116"/>
      <c r="T250" s="117"/>
      <c r="U250" s="118"/>
      <c r="V250" s="118"/>
      <c r="W250" s="118"/>
      <c r="X250" s="118"/>
      <c r="Y250" s="118"/>
      <c r="Z250" s="118"/>
      <c r="AA250" s="118"/>
      <c r="AB250" s="118"/>
      <c r="AC250" s="118"/>
      <c r="AD250" s="118"/>
      <c r="AE250" s="118"/>
      <c r="AF250" s="118"/>
      <c r="AG250" s="118"/>
      <c r="AH250" s="118"/>
      <c r="AI250" s="118"/>
      <c r="AJ250" s="118"/>
      <c r="AK250" s="118"/>
      <c r="AL250" s="118"/>
      <c r="AM250" s="118"/>
      <c r="AN250" s="118"/>
      <c r="AO250" s="118"/>
      <c r="AP250" s="118"/>
      <c r="AQ250" s="118"/>
      <c r="AR250" s="118"/>
      <c r="AS250" s="118"/>
      <c r="AT250" s="123"/>
      <c r="AU250" s="124"/>
      <c r="AV250" s="124"/>
      <c r="AW250" s="124"/>
      <c r="AX250" s="124"/>
      <c r="AY250" s="124"/>
      <c r="AZ250" s="124"/>
      <c r="BA250" s="124"/>
      <c r="BB250" s="124"/>
      <c r="BC250" s="124"/>
      <c r="BD250" s="124"/>
      <c r="BE250" s="124"/>
      <c r="BF250" s="124"/>
      <c r="BG250" s="124"/>
      <c r="BH250" s="124"/>
      <c r="BI250" s="124"/>
      <c r="BJ250" s="124"/>
      <c r="BK250" s="124"/>
      <c r="BL250" s="124"/>
      <c r="BM250" s="124"/>
      <c r="BN250" s="124"/>
      <c r="BO250" s="124"/>
      <c r="BP250" s="124"/>
      <c r="BQ250" s="124"/>
      <c r="BR250" s="125"/>
      <c r="BS250" s="88"/>
    </row>
    <row r="251">
      <c r="G251" s="9"/>
      <c r="H251" s="9"/>
      <c r="I251" s="9"/>
      <c r="J251" s="143"/>
      <c r="K251" s="141"/>
      <c r="L251" s="141"/>
      <c r="M251" s="141"/>
      <c r="N251" s="141"/>
      <c r="O251" s="9"/>
      <c r="P251" s="9"/>
      <c r="Q251" s="9"/>
      <c r="R251" s="142"/>
      <c r="S251" s="116"/>
      <c r="T251" s="117"/>
      <c r="U251" s="118"/>
      <c r="V251" s="118"/>
      <c r="W251" s="118"/>
      <c r="X251" s="118"/>
      <c r="Y251" s="118"/>
      <c r="Z251" s="118"/>
      <c r="AA251" s="118"/>
      <c r="AB251" s="118"/>
      <c r="AC251" s="118"/>
      <c r="AD251" s="118"/>
      <c r="AE251" s="118"/>
      <c r="AF251" s="118"/>
      <c r="AG251" s="118"/>
      <c r="AH251" s="118"/>
      <c r="AI251" s="118"/>
      <c r="AJ251" s="118"/>
      <c r="AK251" s="118"/>
      <c r="AL251" s="118"/>
      <c r="AM251" s="118"/>
      <c r="AN251" s="118"/>
      <c r="AO251" s="118"/>
      <c r="AP251" s="118"/>
      <c r="AQ251" s="118"/>
      <c r="AR251" s="118"/>
      <c r="AS251" s="118"/>
      <c r="AT251" s="123"/>
      <c r="AU251" s="124"/>
      <c r="AV251" s="124"/>
      <c r="AW251" s="124"/>
      <c r="AX251" s="124"/>
      <c r="AY251" s="124"/>
      <c r="AZ251" s="124"/>
      <c r="BA251" s="124"/>
      <c r="BB251" s="124"/>
      <c r="BC251" s="124"/>
      <c r="BD251" s="124"/>
      <c r="BE251" s="124"/>
      <c r="BF251" s="124"/>
      <c r="BG251" s="124"/>
      <c r="BH251" s="124"/>
      <c r="BI251" s="124"/>
      <c r="BJ251" s="124"/>
      <c r="BK251" s="124"/>
      <c r="BL251" s="124"/>
      <c r="BM251" s="124"/>
      <c r="BN251" s="124"/>
      <c r="BO251" s="124"/>
      <c r="BP251" s="124"/>
      <c r="BQ251" s="124"/>
      <c r="BR251" s="125"/>
      <c r="BS251" s="88"/>
    </row>
    <row r="252">
      <c r="G252" s="9"/>
      <c r="H252" s="9"/>
      <c r="I252" s="9"/>
      <c r="J252" s="143"/>
      <c r="K252" s="141"/>
      <c r="L252" s="141"/>
      <c r="M252" s="141"/>
      <c r="N252" s="141"/>
      <c r="O252" s="9"/>
      <c r="P252" s="9"/>
      <c r="Q252" s="9"/>
      <c r="R252" s="142"/>
      <c r="S252" s="116"/>
      <c r="T252" s="117"/>
      <c r="U252" s="118"/>
      <c r="V252" s="118"/>
      <c r="W252" s="118"/>
      <c r="X252" s="118"/>
      <c r="Y252" s="118"/>
      <c r="Z252" s="118"/>
      <c r="AA252" s="118"/>
      <c r="AB252" s="118"/>
      <c r="AC252" s="118"/>
      <c r="AD252" s="118"/>
      <c r="AE252" s="118"/>
      <c r="AF252" s="118"/>
      <c r="AG252" s="118"/>
      <c r="AH252" s="118"/>
      <c r="AI252" s="118"/>
      <c r="AJ252" s="118"/>
      <c r="AK252" s="118"/>
      <c r="AL252" s="118"/>
      <c r="AM252" s="118"/>
      <c r="AN252" s="118"/>
      <c r="AO252" s="118"/>
      <c r="AP252" s="118"/>
      <c r="AQ252" s="118"/>
      <c r="AR252" s="118"/>
      <c r="AS252" s="118"/>
      <c r="AT252" s="123"/>
      <c r="AU252" s="124"/>
      <c r="AV252" s="124"/>
      <c r="AW252" s="124"/>
      <c r="AX252" s="124"/>
      <c r="AY252" s="124"/>
      <c r="AZ252" s="124"/>
      <c r="BA252" s="124"/>
      <c r="BB252" s="124"/>
      <c r="BC252" s="124"/>
      <c r="BD252" s="124"/>
      <c r="BE252" s="124"/>
      <c r="BF252" s="124"/>
      <c r="BG252" s="124"/>
      <c r="BH252" s="124"/>
      <c r="BI252" s="124"/>
      <c r="BJ252" s="124"/>
      <c r="BK252" s="124"/>
      <c r="BL252" s="124"/>
      <c r="BM252" s="124"/>
      <c r="BN252" s="124"/>
      <c r="BO252" s="124"/>
      <c r="BP252" s="124"/>
      <c r="BQ252" s="124"/>
      <c r="BR252" s="125"/>
      <c r="BS252" s="88"/>
    </row>
    <row r="253">
      <c r="G253" s="9"/>
      <c r="H253" s="9"/>
      <c r="I253" s="9"/>
      <c r="J253" s="143"/>
      <c r="K253" s="141"/>
      <c r="L253" s="141"/>
      <c r="M253" s="141"/>
      <c r="N253" s="141"/>
      <c r="O253" s="9"/>
      <c r="P253" s="9"/>
      <c r="Q253" s="9"/>
      <c r="R253" s="142"/>
      <c r="S253" s="116"/>
      <c r="T253" s="117"/>
      <c r="U253" s="118"/>
      <c r="V253" s="118"/>
      <c r="W253" s="118"/>
      <c r="X253" s="118"/>
      <c r="Y253" s="118"/>
      <c r="Z253" s="118"/>
      <c r="AA253" s="118"/>
      <c r="AB253" s="118"/>
      <c r="AC253" s="118"/>
      <c r="AD253" s="118"/>
      <c r="AE253" s="118"/>
      <c r="AF253" s="118"/>
      <c r="AG253" s="118"/>
      <c r="AH253" s="118"/>
      <c r="AI253" s="118"/>
      <c r="AJ253" s="118"/>
      <c r="AK253" s="118"/>
      <c r="AL253" s="118"/>
      <c r="AM253" s="118"/>
      <c r="AN253" s="118"/>
      <c r="AO253" s="118"/>
      <c r="AP253" s="118"/>
      <c r="AQ253" s="118"/>
      <c r="AR253" s="118"/>
      <c r="AS253" s="118"/>
      <c r="AT253" s="123"/>
      <c r="AU253" s="124"/>
      <c r="AV253" s="124"/>
      <c r="AW253" s="124"/>
      <c r="AX253" s="124"/>
      <c r="AY253" s="124"/>
      <c r="AZ253" s="124"/>
      <c r="BA253" s="124"/>
      <c r="BB253" s="124"/>
      <c r="BC253" s="124"/>
      <c r="BD253" s="124"/>
      <c r="BE253" s="124"/>
      <c r="BF253" s="124"/>
      <c r="BG253" s="124"/>
      <c r="BH253" s="124"/>
      <c r="BI253" s="124"/>
      <c r="BJ253" s="124"/>
      <c r="BK253" s="124"/>
      <c r="BL253" s="124"/>
      <c r="BM253" s="124"/>
      <c r="BN253" s="124"/>
      <c r="BO253" s="124"/>
      <c r="BP253" s="124"/>
      <c r="BQ253" s="124"/>
      <c r="BR253" s="125"/>
      <c r="BS253" s="88"/>
    </row>
    <row r="254">
      <c r="G254" s="9"/>
      <c r="H254" s="9"/>
      <c r="I254" s="9"/>
      <c r="J254" s="143"/>
      <c r="K254" s="141"/>
      <c r="L254" s="141"/>
      <c r="M254" s="141"/>
      <c r="N254" s="141"/>
      <c r="O254" s="9"/>
      <c r="P254" s="9"/>
      <c r="Q254" s="9"/>
      <c r="R254" s="142"/>
      <c r="S254" s="116"/>
      <c r="T254" s="117"/>
      <c r="U254" s="118"/>
      <c r="V254" s="118"/>
      <c r="W254" s="118"/>
      <c r="X254" s="118"/>
      <c r="Y254" s="118"/>
      <c r="Z254" s="118"/>
      <c r="AA254" s="118"/>
      <c r="AB254" s="118"/>
      <c r="AC254" s="118"/>
      <c r="AD254" s="118"/>
      <c r="AE254" s="118"/>
      <c r="AF254" s="118"/>
      <c r="AG254" s="118"/>
      <c r="AH254" s="118"/>
      <c r="AI254" s="118"/>
      <c r="AJ254" s="118"/>
      <c r="AK254" s="118"/>
      <c r="AL254" s="118"/>
      <c r="AM254" s="118"/>
      <c r="AN254" s="118"/>
      <c r="AO254" s="118"/>
      <c r="AP254" s="118"/>
      <c r="AQ254" s="118"/>
      <c r="AR254" s="118"/>
      <c r="AS254" s="118"/>
      <c r="AT254" s="123"/>
      <c r="AU254" s="124"/>
      <c r="AV254" s="124"/>
      <c r="AW254" s="124"/>
      <c r="AX254" s="124"/>
      <c r="AY254" s="124"/>
      <c r="AZ254" s="124"/>
      <c r="BA254" s="124"/>
      <c r="BB254" s="124"/>
      <c r="BC254" s="124"/>
      <c r="BD254" s="124"/>
      <c r="BE254" s="124"/>
      <c r="BF254" s="124"/>
      <c r="BG254" s="124"/>
      <c r="BH254" s="124"/>
      <c r="BI254" s="124"/>
      <c r="BJ254" s="124"/>
      <c r="BK254" s="124"/>
      <c r="BL254" s="124"/>
      <c r="BM254" s="124"/>
      <c r="BN254" s="124"/>
      <c r="BO254" s="124"/>
      <c r="BP254" s="124"/>
      <c r="BQ254" s="124"/>
      <c r="BR254" s="125"/>
      <c r="BS254" s="88"/>
    </row>
    <row r="255">
      <c r="G255" s="9"/>
      <c r="H255" s="9"/>
      <c r="I255" s="9"/>
      <c r="J255" s="143"/>
      <c r="K255" s="141"/>
      <c r="L255" s="141"/>
      <c r="M255" s="141"/>
      <c r="N255" s="141"/>
      <c r="O255" s="9"/>
      <c r="P255" s="9"/>
      <c r="Q255" s="9"/>
      <c r="R255" s="142"/>
      <c r="S255" s="116"/>
      <c r="T255" s="117"/>
      <c r="U255" s="118"/>
      <c r="V255" s="118"/>
      <c r="W255" s="118"/>
      <c r="X255" s="118"/>
      <c r="Y255" s="118"/>
      <c r="Z255" s="118"/>
      <c r="AA255" s="118"/>
      <c r="AB255" s="118"/>
      <c r="AC255" s="118"/>
      <c r="AD255" s="118"/>
      <c r="AE255" s="118"/>
      <c r="AF255" s="118"/>
      <c r="AG255" s="118"/>
      <c r="AH255" s="118"/>
      <c r="AI255" s="118"/>
      <c r="AJ255" s="118"/>
      <c r="AK255" s="118"/>
      <c r="AL255" s="118"/>
      <c r="AM255" s="118"/>
      <c r="AN255" s="118"/>
      <c r="AO255" s="118"/>
      <c r="AP255" s="118"/>
      <c r="AQ255" s="118"/>
      <c r="AR255" s="118"/>
      <c r="AS255" s="118"/>
      <c r="AT255" s="123"/>
      <c r="AU255" s="124"/>
      <c r="AV255" s="124"/>
      <c r="AW255" s="124"/>
      <c r="AX255" s="124"/>
      <c r="AY255" s="124"/>
      <c r="AZ255" s="124"/>
      <c r="BA255" s="124"/>
      <c r="BB255" s="124"/>
      <c r="BC255" s="124"/>
      <c r="BD255" s="124"/>
      <c r="BE255" s="124"/>
      <c r="BF255" s="124"/>
      <c r="BG255" s="124"/>
      <c r="BH255" s="124"/>
      <c r="BI255" s="124"/>
      <c r="BJ255" s="124"/>
      <c r="BK255" s="124"/>
      <c r="BL255" s="124"/>
      <c r="BM255" s="124"/>
      <c r="BN255" s="124"/>
      <c r="BO255" s="124"/>
      <c r="BP255" s="124"/>
      <c r="BQ255" s="124"/>
      <c r="BR255" s="125"/>
      <c r="BS255" s="88"/>
    </row>
    <row r="256">
      <c r="G256" s="9"/>
      <c r="H256" s="9"/>
      <c r="I256" s="9"/>
      <c r="J256" s="143"/>
      <c r="K256" s="141"/>
      <c r="L256" s="141"/>
      <c r="M256" s="141"/>
      <c r="N256" s="141"/>
      <c r="O256" s="9"/>
      <c r="P256" s="9"/>
      <c r="Q256" s="9"/>
      <c r="R256" s="142"/>
      <c r="S256" s="116"/>
      <c r="T256" s="117"/>
      <c r="U256" s="118"/>
      <c r="V256" s="118"/>
      <c r="W256" s="118"/>
      <c r="X256" s="118"/>
      <c r="Y256" s="118"/>
      <c r="Z256" s="118"/>
      <c r="AA256" s="118"/>
      <c r="AB256" s="118"/>
      <c r="AC256" s="118"/>
      <c r="AD256" s="118"/>
      <c r="AE256" s="118"/>
      <c r="AF256" s="118"/>
      <c r="AG256" s="118"/>
      <c r="AH256" s="118"/>
      <c r="AI256" s="118"/>
      <c r="AJ256" s="118"/>
      <c r="AK256" s="118"/>
      <c r="AL256" s="118"/>
      <c r="AM256" s="118"/>
      <c r="AN256" s="118"/>
      <c r="AO256" s="118"/>
      <c r="AP256" s="118"/>
      <c r="AQ256" s="118"/>
      <c r="AR256" s="118"/>
      <c r="AS256" s="118"/>
      <c r="AT256" s="123"/>
      <c r="AU256" s="124"/>
      <c r="AV256" s="124"/>
      <c r="AW256" s="124"/>
      <c r="AX256" s="124"/>
      <c r="AY256" s="124"/>
      <c r="AZ256" s="124"/>
      <c r="BA256" s="124"/>
      <c r="BB256" s="124"/>
      <c r="BC256" s="124"/>
      <c r="BD256" s="124"/>
      <c r="BE256" s="124"/>
      <c r="BF256" s="124"/>
      <c r="BG256" s="124"/>
      <c r="BH256" s="124"/>
      <c r="BI256" s="124"/>
      <c r="BJ256" s="124"/>
      <c r="BK256" s="124"/>
      <c r="BL256" s="124"/>
      <c r="BM256" s="124"/>
      <c r="BN256" s="124"/>
      <c r="BO256" s="124"/>
      <c r="BP256" s="124"/>
      <c r="BQ256" s="124"/>
      <c r="BR256" s="125"/>
      <c r="BS256" s="88"/>
    </row>
    <row r="257">
      <c r="G257" s="9"/>
      <c r="H257" s="9"/>
      <c r="I257" s="9"/>
      <c r="J257" s="143"/>
      <c r="K257" s="141"/>
      <c r="L257" s="141"/>
      <c r="M257" s="141"/>
      <c r="N257" s="141"/>
      <c r="O257" s="9"/>
      <c r="P257" s="9"/>
      <c r="Q257" s="9"/>
      <c r="R257" s="142"/>
      <c r="S257" s="116"/>
      <c r="T257" s="117"/>
      <c r="U257" s="118"/>
      <c r="V257" s="118"/>
      <c r="W257" s="118"/>
      <c r="X257" s="118"/>
      <c r="Y257" s="118"/>
      <c r="Z257" s="118"/>
      <c r="AA257" s="118"/>
      <c r="AB257" s="118"/>
      <c r="AC257" s="118"/>
      <c r="AD257" s="118"/>
      <c r="AE257" s="118"/>
      <c r="AF257" s="118"/>
      <c r="AG257" s="118"/>
      <c r="AH257" s="118"/>
      <c r="AI257" s="118"/>
      <c r="AJ257" s="118"/>
      <c r="AK257" s="118"/>
      <c r="AL257" s="118"/>
      <c r="AM257" s="118"/>
      <c r="AN257" s="118"/>
      <c r="AO257" s="118"/>
      <c r="AP257" s="118"/>
      <c r="AQ257" s="118"/>
      <c r="AR257" s="118"/>
      <c r="AS257" s="118"/>
      <c r="AT257" s="123"/>
      <c r="AU257" s="124"/>
      <c r="AV257" s="124"/>
      <c r="AW257" s="124"/>
      <c r="AX257" s="124"/>
      <c r="AY257" s="124"/>
      <c r="AZ257" s="124"/>
      <c r="BA257" s="124"/>
      <c r="BB257" s="124"/>
      <c r="BC257" s="124"/>
      <c r="BD257" s="124"/>
      <c r="BE257" s="124"/>
      <c r="BF257" s="124"/>
      <c r="BG257" s="124"/>
      <c r="BH257" s="124"/>
      <c r="BI257" s="124"/>
      <c r="BJ257" s="124"/>
      <c r="BK257" s="124"/>
      <c r="BL257" s="124"/>
      <c r="BM257" s="124"/>
      <c r="BN257" s="124"/>
      <c r="BO257" s="124"/>
      <c r="BP257" s="124"/>
      <c r="BQ257" s="124"/>
      <c r="BR257" s="125"/>
      <c r="BS257" s="88"/>
    </row>
    <row r="258">
      <c r="G258" s="9"/>
      <c r="H258" s="9"/>
      <c r="I258" s="9"/>
      <c r="J258" s="143"/>
      <c r="K258" s="141"/>
      <c r="L258" s="141"/>
      <c r="M258" s="141"/>
      <c r="N258" s="141"/>
      <c r="O258" s="9"/>
      <c r="P258" s="9"/>
      <c r="Q258" s="9"/>
      <c r="R258" s="142"/>
      <c r="S258" s="116"/>
      <c r="T258" s="117"/>
      <c r="U258" s="118"/>
      <c r="V258" s="118"/>
      <c r="W258" s="118"/>
      <c r="X258" s="118"/>
      <c r="Y258" s="118"/>
      <c r="Z258" s="118"/>
      <c r="AA258" s="118"/>
      <c r="AB258" s="118"/>
      <c r="AC258" s="118"/>
      <c r="AD258" s="118"/>
      <c r="AE258" s="118"/>
      <c r="AF258" s="118"/>
      <c r="AG258" s="118"/>
      <c r="AH258" s="118"/>
      <c r="AI258" s="118"/>
      <c r="AJ258" s="118"/>
      <c r="AK258" s="118"/>
      <c r="AL258" s="118"/>
      <c r="AM258" s="118"/>
      <c r="AN258" s="118"/>
      <c r="AO258" s="118"/>
      <c r="AP258" s="118"/>
      <c r="AQ258" s="118"/>
      <c r="AR258" s="118"/>
      <c r="AS258" s="118"/>
      <c r="AT258" s="123"/>
      <c r="AU258" s="124"/>
      <c r="AV258" s="124"/>
      <c r="AW258" s="124"/>
      <c r="AX258" s="124"/>
      <c r="AY258" s="124"/>
      <c r="AZ258" s="124"/>
      <c r="BA258" s="124"/>
      <c r="BB258" s="124"/>
      <c r="BC258" s="124"/>
      <c r="BD258" s="124"/>
      <c r="BE258" s="124"/>
      <c r="BF258" s="124"/>
      <c r="BG258" s="124"/>
      <c r="BH258" s="124"/>
      <c r="BI258" s="124"/>
      <c r="BJ258" s="124"/>
      <c r="BK258" s="124"/>
      <c r="BL258" s="124"/>
      <c r="BM258" s="124"/>
      <c r="BN258" s="124"/>
      <c r="BO258" s="124"/>
      <c r="BP258" s="124"/>
      <c r="BQ258" s="124"/>
      <c r="BR258" s="125"/>
      <c r="BS258" s="88"/>
    </row>
    <row r="259">
      <c r="G259" s="9"/>
      <c r="H259" s="9"/>
      <c r="I259" s="9"/>
      <c r="J259" s="143"/>
      <c r="K259" s="141"/>
      <c r="L259" s="141"/>
      <c r="M259" s="141"/>
      <c r="N259" s="141"/>
      <c r="O259" s="9"/>
      <c r="P259" s="9"/>
      <c r="Q259" s="9"/>
      <c r="R259" s="142"/>
      <c r="S259" s="116"/>
      <c r="T259" s="117"/>
      <c r="U259" s="118"/>
      <c r="V259" s="118"/>
      <c r="W259" s="118"/>
      <c r="X259" s="118"/>
      <c r="Y259" s="118"/>
      <c r="Z259" s="118"/>
      <c r="AA259" s="118"/>
      <c r="AB259" s="118"/>
      <c r="AC259" s="118"/>
      <c r="AD259" s="118"/>
      <c r="AE259" s="118"/>
      <c r="AF259" s="118"/>
      <c r="AG259" s="118"/>
      <c r="AH259" s="118"/>
      <c r="AI259" s="118"/>
      <c r="AJ259" s="118"/>
      <c r="AK259" s="118"/>
      <c r="AL259" s="118"/>
      <c r="AM259" s="118"/>
      <c r="AN259" s="118"/>
      <c r="AO259" s="118"/>
      <c r="AP259" s="118"/>
      <c r="AQ259" s="118"/>
      <c r="AR259" s="118"/>
      <c r="AS259" s="118"/>
      <c r="AT259" s="123"/>
      <c r="AU259" s="124"/>
      <c r="AV259" s="124"/>
      <c r="AW259" s="124"/>
      <c r="AX259" s="124"/>
      <c r="AY259" s="124"/>
      <c r="AZ259" s="124"/>
      <c r="BA259" s="124"/>
      <c r="BB259" s="124"/>
      <c r="BC259" s="124"/>
      <c r="BD259" s="124"/>
      <c r="BE259" s="124"/>
      <c r="BF259" s="124"/>
      <c r="BG259" s="124"/>
      <c r="BH259" s="124"/>
      <c r="BI259" s="124"/>
      <c r="BJ259" s="124"/>
      <c r="BK259" s="124"/>
      <c r="BL259" s="124"/>
      <c r="BM259" s="124"/>
      <c r="BN259" s="124"/>
      <c r="BO259" s="124"/>
      <c r="BP259" s="124"/>
      <c r="BQ259" s="124"/>
      <c r="BR259" s="125"/>
      <c r="BS259" s="88"/>
    </row>
    <row r="260">
      <c r="G260" s="9"/>
      <c r="H260" s="9"/>
      <c r="I260" s="9"/>
      <c r="J260" s="143"/>
      <c r="K260" s="141"/>
      <c r="L260" s="141"/>
      <c r="M260" s="141"/>
      <c r="N260" s="141"/>
      <c r="O260" s="9"/>
      <c r="P260" s="9"/>
      <c r="Q260" s="9"/>
      <c r="R260" s="142"/>
      <c r="S260" s="116"/>
      <c r="T260" s="117"/>
      <c r="U260" s="118"/>
      <c r="V260" s="118"/>
      <c r="W260" s="118"/>
      <c r="X260" s="118"/>
      <c r="Y260" s="118"/>
      <c r="Z260" s="118"/>
      <c r="AA260" s="118"/>
      <c r="AB260" s="118"/>
      <c r="AC260" s="118"/>
      <c r="AD260" s="118"/>
      <c r="AE260" s="118"/>
      <c r="AF260" s="118"/>
      <c r="AG260" s="118"/>
      <c r="AH260" s="118"/>
      <c r="AI260" s="118"/>
      <c r="AJ260" s="118"/>
      <c r="AK260" s="118"/>
      <c r="AL260" s="118"/>
      <c r="AM260" s="118"/>
      <c r="AN260" s="118"/>
      <c r="AO260" s="118"/>
      <c r="AP260" s="118"/>
      <c r="AQ260" s="118"/>
      <c r="AR260" s="118"/>
      <c r="AS260" s="118"/>
      <c r="AT260" s="123"/>
      <c r="AU260" s="124"/>
      <c r="AV260" s="124"/>
      <c r="AW260" s="124"/>
      <c r="AX260" s="124"/>
      <c r="AY260" s="124"/>
      <c r="AZ260" s="124"/>
      <c r="BA260" s="124"/>
      <c r="BB260" s="124"/>
      <c r="BC260" s="124"/>
      <c r="BD260" s="124"/>
      <c r="BE260" s="124"/>
      <c r="BF260" s="124"/>
      <c r="BG260" s="124"/>
      <c r="BH260" s="124"/>
      <c r="BI260" s="124"/>
      <c r="BJ260" s="124"/>
      <c r="BK260" s="124"/>
      <c r="BL260" s="124"/>
      <c r="BM260" s="124"/>
      <c r="BN260" s="124"/>
      <c r="BO260" s="124"/>
      <c r="BP260" s="124"/>
      <c r="BQ260" s="124"/>
      <c r="BR260" s="125"/>
      <c r="BS260" s="88"/>
    </row>
    <row r="261">
      <c r="G261" s="9"/>
      <c r="H261" s="9"/>
      <c r="I261" s="9"/>
      <c r="J261" s="143"/>
      <c r="K261" s="141"/>
      <c r="L261" s="141"/>
      <c r="M261" s="141"/>
      <c r="N261" s="141"/>
      <c r="O261" s="9"/>
      <c r="P261" s="9"/>
      <c r="Q261" s="9"/>
      <c r="R261" s="142"/>
      <c r="S261" s="116"/>
      <c r="T261" s="117"/>
      <c r="U261" s="118"/>
      <c r="V261" s="118"/>
      <c r="W261" s="118"/>
      <c r="X261" s="118"/>
      <c r="Y261" s="118"/>
      <c r="Z261" s="118"/>
      <c r="AA261" s="118"/>
      <c r="AB261" s="118"/>
      <c r="AC261" s="118"/>
      <c r="AD261" s="118"/>
      <c r="AE261" s="118"/>
      <c r="AF261" s="118"/>
      <c r="AG261" s="118"/>
      <c r="AH261" s="118"/>
      <c r="AI261" s="118"/>
      <c r="AJ261" s="118"/>
      <c r="AK261" s="118"/>
      <c r="AL261" s="118"/>
      <c r="AM261" s="118"/>
      <c r="AN261" s="118"/>
      <c r="AO261" s="118"/>
      <c r="AP261" s="118"/>
      <c r="AQ261" s="118"/>
      <c r="AR261" s="118"/>
      <c r="AS261" s="118"/>
      <c r="AT261" s="123"/>
      <c r="AU261" s="124"/>
      <c r="AV261" s="124"/>
      <c r="AW261" s="124"/>
      <c r="AX261" s="124"/>
      <c r="AY261" s="124"/>
      <c r="AZ261" s="124"/>
      <c r="BA261" s="124"/>
      <c r="BB261" s="124"/>
      <c r="BC261" s="124"/>
      <c r="BD261" s="124"/>
      <c r="BE261" s="124"/>
      <c r="BF261" s="124"/>
      <c r="BG261" s="124"/>
      <c r="BH261" s="124"/>
      <c r="BI261" s="124"/>
      <c r="BJ261" s="124"/>
      <c r="BK261" s="124"/>
      <c r="BL261" s="124"/>
      <c r="BM261" s="124"/>
      <c r="BN261" s="124"/>
      <c r="BO261" s="124"/>
      <c r="BP261" s="124"/>
      <c r="BQ261" s="124"/>
      <c r="BR261" s="125"/>
      <c r="BS261" s="88"/>
    </row>
    <row r="262">
      <c r="G262" s="9"/>
      <c r="H262" s="9"/>
      <c r="I262" s="9"/>
      <c r="J262" s="143"/>
      <c r="K262" s="141"/>
      <c r="L262" s="141"/>
      <c r="M262" s="141"/>
      <c r="N262" s="141"/>
      <c r="O262" s="9"/>
      <c r="P262" s="9"/>
      <c r="Q262" s="9"/>
      <c r="R262" s="142"/>
      <c r="S262" s="116"/>
      <c r="T262" s="117"/>
      <c r="U262" s="118"/>
      <c r="V262" s="118"/>
      <c r="W262" s="118"/>
      <c r="X262" s="118"/>
      <c r="Y262" s="118"/>
      <c r="Z262" s="118"/>
      <c r="AA262" s="118"/>
      <c r="AB262" s="118"/>
      <c r="AC262" s="118"/>
      <c r="AD262" s="118"/>
      <c r="AE262" s="118"/>
      <c r="AF262" s="118"/>
      <c r="AG262" s="118"/>
      <c r="AH262" s="118"/>
      <c r="AI262" s="118"/>
      <c r="AJ262" s="118"/>
      <c r="AK262" s="118"/>
      <c r="AL262" s="118"/>
      <c r="AM262" s="118"/>
      <c r="AN262" s="118"/>
      <c r="AO262" s="118"/>
      <c r="AP262" s="118"/>
      <c r="AQ262" s="118"/>
      <c r="AR262" s="118"/>
      <c r="AS262" s="118"/>
      <c r="AT262" s="123"/>
      <c r="AU262" s="124"/>
      <c r="AV262" s="124"/>
      <c r="AW262" s="124"/>
      <c r="AX262" s="124"/>
      <c r="AY262" s="124"/>
      <c r="AZ262" s="124"/>
      <c r="BA262" s="124"/>
      <c r="BB262" s="124"/>
      <c r="BC262" s="124"/>
      <c r="BD262" s="124"/>
      <c r="BE262" s="124"/>
      <c r="BF262" s="124"/>
      <c r="BG262" s="124"/>
      <c r="BH262" s="124"/>
      <c r="BI262" s="124"/>
      <c r="BJ262" s="124"/>
      <c r="BK262" s="124"/>
      <c r="BL262" s="124"/>
      <c r="BM262" s="124"/>
      <c r="BN262" s="124"/>
      <c r="BO262" s="124"/>
      <c r="BP262" s="124"/>
      <c r="BQ262" s="124"/>
      <c r="BR262" s="125"/>
      <c r="BS262" s="88"/>
    </row>
    <row r="263">
      <c r="G263" s="9"/>
      <c r="H263" s="9"/>
      <c r="I263" s="9"/>
      <c r="J263" s="143"/>
      <c r="K263" s="141"/>
      <c r="L263" s="141"/>
      <c r="M263" s="141"/>
      <c r="N263" s="141"/>
      <c r="O263" s="9"/>
      <c r="P263" s="9"/>
      <c r="Q263" s="9"/>
      <c r="R263" s="142"/>
      <c r="S263" s="116"/>
      <c r="T263" s="117"/>
      <c r="U263" s="118"/>
      <c r="V263" s="118"/>
      <c r="W263" s="118"/>
      <c r="X263" s="118"/>
      <c r="Y263" s="118"/>
      <c r="Z263" s="118"/>
      <c r="AA263" s="118"/>
      <c r="AB263" s="118"/>
      <c r="AC263" s="118"/>
      <c r="AD263" s="118"/>
      <c r="AE263" s="118"/>
      <c r="AF263" s="118"/>
      <c r="AG263" s="118"/>
      <c r="AH263" s="118"/>
      <c r="AI263" s="118"/>
      <c r="AJ263" s="118"/>
      <c r="AK263" s="118"/>
      <c r="AL263" s="118"/>
      <c r="AM263" s="118"/>
      <c r="AN263" s="118"/>
      <c r="AO263" s="118"/>
      <c r="AP263" s="118"/>
      <c r="AQ263" s="118"/>
      <c r="AR263" s="118"/>
      <c r="AS263" s="118"/>
      <c r="AT263" s="123"/>
      <c r="AU263" s="124"/>
      <c r="AV263" s="124"/>
      <c r="AW263" s="124"/>
      <c r="AX263" s="124"/>
      <c r="AY263" s="124"/>
      <c r="AZ263" s="124"/>
      <c r="BA263" s="124"/>
      <c r="BB263" s="124"/>
      <c r="BC263" s="124"/>
      <c r="BD263" s="124"/>
      <c r="BE263" s="124"/>
      <c r="BF263" s="124"/>
      <c r="BG263" s="124"/>
      <c r="BH263" s="124"/>
      <c r="BI263" s="124"/>
      <c r="BJ263" s="124"/>
      <c r="BK263" s="124"/>
      <c r="BL263" s="124"/>
      <c r="BM263" s="124"/>
      <c r="BN263" s="124"/>
      <c r="BO263" s="124"/>
      <c r="BP263" s="124"/>
      <c r="BQ263" s="124"/>
      <c r="BR263" s="125"/>
      <c r="BS263" s="88"/>
    </row>
    <row r="264">
      <c r="G264" s="9"/>
      <c r="H264" s="9"/>
      <c r="I264" s="9"/>
      <c r="J264" s="143"/>
      <c r="K264" s="141"/>
      <c r="L264" s="141"/>
      <c r="M264" s="141"/>
      <c r="N264" s="141"/>
      <c r="O264" s="9"/>
      <c r="P264" s="9"/>
      <c r="Q264" s="9"/>
      <c r="R264" s="142"/>
      <c r="S264" s="116"/>
      <c r="T264" s="117"/>
      <c r="U264" s="118"/>
      <c r="V264" s="118"/>
      <c r="W264" s="118"/>
      <c r="X264" s="118"/>
      <c r="Y264" s="118"/>
      <c r="Z264" s="118"/>
      <c r="AA264" s="118"/>
      <c r="AB264" s="118"/>
      <c r="AC264" s="118"/>
      <c r="AD264" s="118"/>
      <c r="AE264" s="118"/>
      <c r="AF264" s="118"/>
      <c r="AG264" s="118"/>
      <c r="AH264" s="118"/>
      <c r="AI264" s="118"/>
      <c r="AJ264" s="118"/>
      <c r="AK264" s="118"/>
      <c r="AL264" s="118"/>
      <c r="AM264" s="118"/>
      <c r="AN264" s="118"/>
      <c r="AO264" s="118"/>
      <c r="AP264" s="118"/>
      <c r="AQ264" s="118"/>
      <c r="AR264" s="118"/>
      <c r="AS264" s="118"/>
      <c r="AT264" s="123"/>
      <c r="AU264" s="124"/>
      <c r="AV264" s="124"/>
      <c r="AW264" s="124"/>
      <c r="AX264" s="124"/>
      <c r="AY264" s="124"/>
      <c r="AZ264" s="124"/>
      <c r="BA264" s="124"/>
      <c r="BB264" s="124"/>
      <c r="BC264" s="124"/>
      <c r="BD264" s="124"/>
      <c r="BE264" s="124"/>
      <c r="BF264" s="124"/>
      <c r="BG264" s="124"/>
      <c r="BH264" s="124"/>
      <c r="BI264" s="124"/>
      <c r="BJ264" s="124"/>
      <c r="BK264" s="124"/>
      <c r="BL264" s="124"/>
      <c r="BM264" s="124"/>
      <c r="BN264" s="124"/>
      <c r="BO264" s="124"/>
      <c r="BP264" s="124"/>
      <c r="BQ264" s="124"/>
      <c r="BR264" s="125"/>
      <c r="BS264" s="88"/>
    </row>
    <row r="265">
      <c r="G265" s="9"/>
      <c r="H265" s="9"/>
      <c r="I265" s="9"/>
      <c r="J265" s="143"/>
      <c r="K265" s="141"/>
      <c r="L265" s="141"/>
      <c r="M265" s="141"/>
      <c r="N265" s="141"/>
      <c r="O265" s="9"/>
      <c r="P265" s="9"/>
      <c r="Q265" s="9"/>
      <c r="R265" s="142"/>
      <c r="S265" s="116"/>
      <c r="T265" s="117"/>
      <c r="U265" s="118"/>
      <c r="V265" s="118"/>
      <c r="W265" s="118"/>
      <c r="X265" s="118"/>
      <c r="Y265" s="118"/>
      <c r="Z265" s="118"/>
      <c r="AA265" s="118"/>
      <c r="AB265" s="118"/>
      <c r="AC265" s="118"/>
      <c r="AD265" s="118"/>
      <c r="AE265" s="118"/>
      <c r="AF265" s="118"/>
      <c r="AG265" s="118"/>
      <c r="AH265" s="118"/>
      <c r="AI265" s="118"/>
      <c r="AJ265" s="118"/>
      <c r="AK265" s="118"/>
      <c r="AL265" s="118"/>
      <c r="AM265" s="118"/>
      <c r="AN265" s="118"/>
      <c r="AO265" s="118"/>
      <c r="AP265" s="118"/>
      <c r="AQ265" s="118"/>
      <c r="AR265" s="118"/>
      <c r="AS265" s="118"/>
      <c r="AT265" s="123"/>
      <c r="AU265" s="124"/>
      <c r="AV265" s="124"/>
      <c r="AW265" s="124"/>
      <c r="AX265" s="124"/>
      <c r="AY265" s="124"/>
      <c r="AZ265" s="124"/>
      <c r="BA265" s="124"/>
      <c r="BB265" s="124"/>
      <c r="BC265" s="124"/>
      <c r="BD265" s="124"/>
      <c r="BE265" s="124"/>
      <c r="BF265" s="124"/>
      <c r="BG265" s="124"/>
      <c r="BH265" s="124"/>
      <c r="BI265" s="124"/>
      <c r="BJ265" s="124"/>
      <c r="BK265" s="124"/>
      <c r="BL265" s="124"/>
      <c r="BM265" s="124"/>
      <c r="BN265" s="124"/>
      <c r="BO265" s="124"/>
      <c r="BP265" s="124"/>
      <c r="BQ265" s="124"/>
      <c r="BR265" s="125"/>
      <c r="BS265" s="88"/>
    </row>
    <row r="266">
      <c r="G266" s="9"/>
      <c r="H266" s="9"/>
      <c r="I266" s="9"/>
      <c r="J266" s="143"/>
      <c r="K266" s="141"/>
      <c r="L266" s="141"/>
      <c r="M266" s="141"/>
      <c r="N266" s="141"/>
      <c r="O266" s="9"/>
      <c r="P266" s="9"/>
      <c r="Q266" s="9"/>
      <c r="R266" s="142"/>
      <c r="S266" s="116"/>
      <c r="T266" s="117"/>
      <c r="U266" s="118"/>
      <c r="V266" s="118"/>
      <c r="W266" s="118"/>
      <c r="X266" s="118"/>
      <c r="Y266" s="118"/>
      <c r="Z266" s="118"/>
      <c r="AA266" s="118"/>
      <c r="AB266" s="118"/>
      <c r="AC266" s="118"/>
      <c r="AD266" s="118"/>
      <c r="AE266" s="118"/>
      <c r="AF266" s="118"/>
      <c r="AG266" s="118"/>
      <c r="AH266" s="118"/>
      <c r="AI266" s="118"/>
      <c r="AJ266" s="118"/>
      <c r="AK266" s="118"/>
      <c r="AL266" s="118"/>
      <c r="AM266" s="118"/>
      <c r="AN266" s="118"/>
      <c r="AO266" s="118"/>
      <c r="AP266" s="118"/>
      <c r="AQ266" s="118"/>
      <c r="AR266" s="118"/>
      <c r="AS266" s="118"/>
      <c r="AT266" s="123"/>
      <c r="AU266" s="124"/>
      <c r="AV266" s="124"/>
      <c r="AW266" s="124"/>
      <c r="AX266" s="124"/>
      <c r="AY266" s="124"/>
      <c r="AZ266" s="124"/>
      <c r="BA266" s="124"/>
      <c r="BB266" s="124"/>
      <c r="BC266" s="124"/>
      <c r="BD266" s="124"/>
      <c r="BE266" s="124"/>
      <c r="BF266" s="124"/>
      <c r="BG266" s="124"/>
      <c r="BH266" s="124"/>
      <c r="BI266" s="124"/>
      <c r="BJ266" s="124"/>
      <c r="BK266" s="124"/>
      <c r="BL266" s="124"/>
      <c r="BM266" s="124"/>
      <c r="BN266" s="124"/>
      <c r="BO266" s="124"/>
      <c r="BP266" s="124"/>
      <c r="BQ266" s="124"/>
      <c r="BR266" s="125"/>
      <c r="BS266" s="88"/>
    </row>
    <row r="267">
      <c r="G267" s="9"/>
      <c r="H267" s="9"/>
      <c r="I267" s="9"/>
      <c r="J267" s="143"/>
      <c r="K267" s="141"/>
      <c r="L267" s="141"/>
      <c r="M267" s="141"/>
      <c r="N267" s="141"/>
      <c r="O267" s="9"/>
      <c r="P267" s="9"/>
      <c r="Q267" s="9"/>
      <c r="R267" s="142"/>
      <c r="S267" s="116"/>
      <c r="T267" s="117"/>
      <c r="U267" s="118"/>
      <c r="V267" s="118"/>
      <c r="W267" s="118"/>
      <c r="X267" s="118"/>
      <c r="Y267" s="118"/>
      <c r="Z267" s="118"/>
      <c r="AA267" s="118"/>
      <c r="AB267" s="118"/>
      <c r="AC267" s="118"/>
      <c r="AD267" s="118"/>
      <c r="AE267" s="118"/>
      <c r="AF267" s="118"/>
      <c r="AG267" s="118"/>
      <c r="AH267" s="118"/>
      <c r="AI267" s="118"/>
      <c r="AJ267" s="118"/>
      <c r="AK267" s="118"/>
      <c r="AL267" s="118"/>
      <c r="AM267" s="118"/>
      <c r="AN267" s="118"/>
      <c r="AO267" s="118"/>
      <c r="AP267" s="118"/>
      <c r="AQ267" s="118"/>
      <c r="AR267" s="118"/>
      <c r="AS267" s="118"/>
      <c r="AT267" s="123"/>
      <c r="AU267" s="124"/>
      <c r="AV267" s="124"/>
      <c r="AW267" s="124"/>
      <c r="AX267" s="124"/>
      <c r="AY267" s="124"/>
      <c r="AZ267" s="124"/>
      <c r="BA267" s="124"/>
      <c r="BB267" s="124"/>
      <c r="BC267" s="124"/>
      <c r="BD267" s="124"/>
      <c r="BE267" s="124"/>
      <c r="BF267" s="124"/>
      <c r="BG267" s="124"/>
      <c r="BH267" s="124"/>
      <c r="BI267" s="124"/>
      <c r="BJ267" s="124"/>
      <c r="BK267" s="124"/>
      <c r="BL267" s="124"/>
      <c r="BM267" s="124"/>
      <c r="BN267" s="124"/>
      <c r="BO267" s="124"/>
      <c r="BP267" s="124"/>
      <c r="BQ267" s="124"/>
      <c r="BR267" s="125"/>
      <c r="BS267" s="88"/>
    </row>
    <row r="268">
      <c r="G268" s="9"/>
      <c r="H268" s="9"/>
      <c r="I268" s="9"/>
      <c r="J268" s="143"/>
      <c r="K268" s="141"/>
      <c r="L268" s="141"/>
      <c r="M268" s="141"/>
      <c r="N268" s="141"/>
      <c r="O268" s="9"/>
      <c r="P268" s="9"/>
      <c r="Q268" s="9"/>
      <c r="R268" s="142"/>
      <c r="S268" s="116"/>
      <c r="T268" s="117"/>
      <c r="U268" s="118"/>
      <c r="V268" s="118"/>
      <c r="W268" s="118"/>
      <c r="X268" s="118"/>
      <c r="Y268" s="118"/>
      <c r="Z268" s="118"/>
      <c r="AA268" s="118"/>
      <c r="AB268" s="118"/>
      <c r="AC268" s="118"/>
      <c r="AD268" s="118"/>
      <c r="AE268" s="118"/>
      <c r="AF268" s="118"/>
      <c r="AG268" s="118"/>
      <c r="AH268" s="118"/>
      <c r="AI268" s="118"/>
      <c r="AJ268" s="118"/>
      <c r="AK268" s="118"/>
      <c r="AL268" s="118"/>
      <c r="AM268" s="118"/>
      <c r="AN268" s="118"/>
      <c r="AO268" s="118"/>
      <c r="AP268" s="118"/>
      <c r="AQ268" s="118"/>
      <c r="AR268" s="118"/>
      <c r="AS268" s="118"/>
      <c r="AT268" s="123"/>
      <c r="AU268" s="124"/>
      <c r="AV268" s="124"/>
      <c r="AW268" s="124"/>
      <c r="AX268" s="124"/>
      <c r="AY268" s="124"/>
      <c r="AZ268" s="124"/>
      <c r="BA268" s="124"/>
      <c r="BB268" s="124"/>
      <c r="BC268" s="124"/>
      <c r="BD268" s="124"/>
      <c r="BE268" s="124"/>
      <c r="BF268" s="124"/>
      <c r="BG268" s="124"/>
      <c r="BH268" s="124"/>
      <c r="BI268" s="124"/>
      <c r="BJ268" s="124"/>
      <c r="BK268" s="124"/>
      <c r="BL268" s="124"/>
      <c r="BM268" s="124"/>
      <c r="BN268" s="124"/>
      <c r="BO268" s="124"/>
      <c r="BP268" s="124"/>
      <c r="BQ268" s="124"/>
      <c r="BR268" s="125"/>
      <c r="BS268" s="88"/>
    </row>
    <row r="269">
      <c r="G269" s="9"/>
      <c r="H269" s="9"/>
      <c r="I269" s="9"/>
      <c r="J269" s="143"/>
      <c r="K269" s="141"/>
      <c r="L269" s="141"/>
      <c r="M269" s="141"/>
      <c r="N269" s="141"/>
      <c r="O269" s="9"/>
      <c r="P269" s="9"/>
      <c r="Q269" s="9"/>
      <c r="R269" s="142"/>
      <c r="S269" s="116"/>
      <c r="T269" s="117"/>
      <c r="U269" s="118"/>
      <c r="V269" s="118"/>
      <c r="W269" s="118"/>
      <c r="X269" s="118"/>
      <c r="Y269" s="118"/>
      <c r="Z269" s="118"/>
      <c r="AA269" s="118"/>
      <c r="AB269" s="118"/>
      <c r="AC269" s="118"/>
      <c r="AD269" s="118"/>
      <c r="AE269" s="118"/>
      <c r="AF269" s="118"/>
      <c r="AG269" s="118"/>
      <c r="AH269" s="118"/>
      <c r="AI269" s="118"/>
      <c r="AJ269" s="118"/>
      <c r="AK269" s="118"/>
      <c r="AL269" s="118"/>
      <c r="AM269" s="118"/>
      <c r="AN269" s="118"/>
      <c r="AO269" s="118"/>
      <c r="AP269" s="118"/>
      <c r="AQ269" s="118"/>
      <c r="AR269" s="118"/>
      <c r="AS269" s="118"/>
      <c r="AT269" s="123"/>
      <c r="AU269" s="124"/>
      <c r="AV269" s="124"/>
      <c r="AW269" s="124"/>
      <c r="AX269" s="124"/>
      <c r="AY269" s="124"/>
      <c r="AZ269" s="124"/>
      <c r="BA269" s="124"/>
      <c r="BB269" s="124"/>
      <c r="BC269" s="124"/>
      <c r="BD269" s="124"/>
      <c r="BE269" s="124"/>
      <c r="BF269" s="124"/>
      <c r="BG269" s="124"/>
      <c r="BH269" s="124"/>
      <c r="BI269" s="124"/>
      <c r="BJ269" s="124"/>
      <c r="BK269" s="124"/>
      <c r="BL269" s="124"/>
      <c r="BM269" s="124"/>
      <c r="BN269" s="124"/>
      <c r="BO269" s="124"/>
      <c r="BP269" s="124"/>
      <c r="BQ269" s="124"/>
      <c r="BR269" s="125"/>
      <c r="BS269" s="88"/>
    </row>
    <row r="270">
      <c r="G270" s="9"/>
      <c r="H270" s="9"/>
      <c r="I270" s="9"/>
      <c r="J270" s="143"/>
      <c r="K270" s="141"/>
      <c r="L270" s="141"/>
      <c r="M270" s="141"/>
      <c r="N270" s="141"/>
      <c r="O270" s="9"/>
      <c r="P270" s="9"/>
      <c r="Q270" s="9"/>
      <c r="R270" s="142"/>
      <c r="S270" s="116"/>
      <c r="T270" s="117"/>
      <c r="U270" s="118"/>
      <c r="V270" s="118"/>
      <c r="W270" s="118"/>
      <c r="X270" s="118"/>
      <c r="Y270" s="118"/>
      <c r="Z270" s="118"/>
      <c r="AA270" s="118"/>
      <c r="AB270" s="118"/>
      <c r="AC270" s="118"/>
      <c r="AD270" s="118"/>
      <c r="AE270" s="118"/>
      <c r="AF270" s="118"/>
      <c r="AG270" s="118"/>
      <c r="AH270" s="118"/>
      <c r="AI270" s="118"/>
      <c r="AJ270" s="118"/>
      <c r="AK270" s="118"/>
      <c r="AL270" s="118"/>
      <c r="AM270" s="118"/>
      <c r="AN270" s="118"/>
      <c r="AO270" s="118"/>
      <c r="AP270" s="118"/>
      <c r="AQ270" s="118"/>
      <c r="AR270" s="118"/>
      <c r="AS270" s="118"/>
      <c r="AT270" s="123"/>
      <c r="AU270" s="124"/>
      <c r="AV270" s="124"/>
      <c r="AW270" s="124"/>
      <c r="AX270" s="124"/>
      <c r="AY270" s="124"/>
      <c r="AZ270" s="124"/>
      <c r="BA270" s="124"/>
      <c r="BB270" s="124"/>
      <c r="BC270" s="124"/>
      <c r="BD270" s="124"/>
      <c r="BE270" s="124"/>
      <c r="BF270" s="124"/>
      <c r="BG270" s="124"/>
      <c r="BH270" s="124"/>
      <c r="BI270" s="124"/>
      <c r="BJ270" s="124"/>
      <c r="BK270" s="124"/>
      <c r="BL270" s="124"/>
      <c r="BM270" s="124"/>
      <c r="BN270" s="124"/>
      <c r="BO270" s="124"/>
      <c r="BP270" s="124"/>
      <c r="BQ270" s="124"/>
      <c r="BR270" s="125"/>
      <c r="BS270" s="88"/>
    </row>
    <row r="271">
      <c r="G271" s="9"/>
      <c r="H271" s="9"/>
      <c r="I271" s="9"/>
      <c r="J271" s="143"/>
      <c r="K271" s="141"/>
      <c r="L271" s="141"/>
      <c r="M271" s="141"/>
      <c r="N271" s="141"/>
      <c r="O271" s="9"/>
      <c r="P271" s="9"/>
      <c r="Q271" s="9"/>
      <c r="R271" s="142"/>
      <c r="S271" s="116"/>
      <c r="T271" s="117"/>
      <c r="U271" s="118"/>
      <c r="V271" s="118"/>
      <c r="W271" s="118"/>
      <c r="X271" s="118"/>
      <c r="Y271" s="118"/>
      <c r="Z271" s="118"/>
      <c r="AA271" s="118"/>
      <c r="AB271" s="118"/>
      <c r="AC271" s="118"/>
      <c r="AD271" s="118"/>
      <c r="AE271" s="118"/>
      <c r="AF271" s="118"/>
      <c r="AG271" s="118"/>
      <c r="AH271" s="118"/>
      <c r="AI271" s="118"/>
      <c r="AJ271" s="118"/>
      <c r="AK271" s="118"/>
      <c r="AL271" s="118"/>
      <c r="AM271" s="118"/>
      <c r="AN271" s="118"/>
      <c r="AO271" s="118"/>
      <c r="AP271" s="118"/>
      <c r="AQ271" s="118"/>
      <c r="AR271" s="118"/>
      <c r="AS271" s="118"/>
      <c r="AT271" s="123"/>
      <c r="AU271" s="124"/>
      <c r="AV271" s="124"/>
      <c r="AW271" s="124"/>
      <c r="AX271" s="124"/>
      <c r="AY271" s="124"/>
      <c r="AZ271" s="124"/>
      <c r="BA271" s="124"/>
      <c r="BB271" s="124"/>
      <c r="BC271" s="124"/>
      <c r="BD271" s="124"/>
      <c r="BE271" s="124"/>
      <c r="BF271" s="124"/>
      <c r="BG271" s="124"/>
      <c r="BH271" s="124"/>
      <c r="BI271" s="124"/>
      <c r="BJ271" s="124"/>
      <c r="BK271" s="124"/>
      <c r="BL271" s="124"/>
      <c r="BM271" s="124"/>
      <c r="BN271" s="124"/>
      <c r="BO271" s="124"/>
      <c r="BP271" s="124"/>
      <c r="BQ271" s="124"/>
      <c r="BR271" s="125"/>
      <c r="BS271" s="88"/>
    </row>
    <row r="272">
      <c r="G272" s="9"/>
      <c r="H272" s="9"/>
      <c r="I272" s="9"/>
      <c r="J272" s="143"/>
      <c r="K272" s="141"/>
      <c r="L272" s="141"/>
      <c r="M272" s="141"/>
      <c r="N272" s="141"/>
      <c r="O272" s="9"/>
      <c r="P272" s="9"/>
      <c r="Q272" s="9"/>
      <c r="R272" s="142"/>
      <c r="S272" s="116"/>
      <c r="T272" s="117"/>
      <c r="U272" s="118"/>
      <c r="V272" s="118"/>
      <c r="W272" s="118"/>
      <c r="X272" s="118"/>
      <c r="Y272" s="118"/>
      <c r="Z272" s="118"/>
      <c r="AA272" s="118"/>
      <c r="AB272" s="118"/>
      <c r="AC272" s="118"/>
      <c r="AD272" s="118"/>
      <c r="AE272" s="118"/>
      <c r="AF272" s="118"/>
      <c r="AG272" s="118"/>
      <c r="AH272" s="118"/>
      <c r="AI272" s="118"/>
      <c r="AJ272" s="118"/>
      <c r="AK272" s="118"/>
      <c r="AL272" s="118"/>
      <c r="AM272" s="118"/>
      <c r="AN272" s="118"/>
      <c r="AO272" s="118"/>
      <c r="AP272" s="118"/>
      <c r="AQ272" s="118"/>
      <c r="AR272" s="118"/>
      <c r="AS272" s="118"/>
      <c r="AT272" s="123"/>
      <c r="AU272" s="124"/>
      <c r="AV272" s="124"/>
      <c r="AW272" s="124"/>
      <c r="AX272" s="124"/>
      <c r="AY272" s="124"/>
      <c r="AZ272" s="124"/>
      <c r="BA272" s="124"/>
      <c r="BB272" s="124"/>
      <c r="BC272" s="124"/>
      <c r="BD272" s="124"/>
      <c r="BE272" s="124"/>
      <c r="BF272" s="124"/>
      <c r="BG272" s="124"/>
      <c r="BH272" s="124"/>
      <c r="BI272" s="124"/>
      <c r="BJ272" s="124"/>
      <c r="BK272" s="124"/>
      <c r="BL272" s="124"/>
      <c r="BM272" s="124"/>
      <c r="BN272" s="124"/>
      <c r="BO272" s="124"/>
      <c r="BP272" s="124"/>
      <c r="BQ272" s="124"/>
      <c r="BR272" s="125"/>
      <c r="BS272" s="88"/>
    </row>
    <row r="273">
      <c r="G273" s="9"/>
      <c r="H273" s="9"/>
      <c r="I273" s="9"/>
      <c r="J273" s="143"/>
      <c r="K273" s="141"/>
      <c r="L273" s="141"/>
      <c r="M273" s="141"/>
      <c r="N273" s="141"/>
      <c r="O273" s="9"/>
      <c r="P273" s="9"/>
      <c r="Q273" s="9"/>
      <c r="R273" s="142"/>
      <c r="S273" s="116"/>
      <c r="T273" s="117"/>
      <c r="U273" s="118"/>
      <c r="V273" s="118"/>
      <c r="W273" s="118"/>
      <c r="X273" s="118"/>
      <c r="Y273" s="118"/>
      <c r="Z273" s="118"/>
      <c r="AA273" s="118"/>
      <c r="AB273" s="118"/>
      <c r="AC273" s="118"/>
      <c r="AD273" s="118"/>
      <c r="AE273" s="118"/>
      <c r="AF273" s="118"/>
      <c r="AG273" s="118"/>
      <c r="AH273" s="118"/>
      <c r="AI273" s="118"/>
      <c r="AJ273" s="118"/>
      <c r="AK273" s="118"/>
      <c r="AL273" s="118"/>
      <c r="AM273" s="118"/>
      <c r="AN273" s="118"/>
      <c r="AO273" s="118"/>
      <c r="AP273" s="118"/>
      <c r="AQ273" s="118"/>
      <c r="AR273" s="118"/>
      <c r="AS273" s="118"/>
      <c r="AT273" s="123"/>
      <c r="AU273" s="124"/>
      <c r="AV273" s="124"/>
      <c r="AW273" s="124"/>
      <c r="AX273" s="124"/>
      <c r="AY273" s="124"/>
      <c r="AZ273" s="124"/>
      <c r="BA273" s="124"/>
      <c r="BB273" s="124"/>
      <c r="BC273" s="124"/>
      <c r="BD273" s="124"/>
      <c r="BE273" s="124"/>
      <c r="BF273" s="124"/>
      <c r="BG273" s="124"/>
      <c r="BH273" s="124"/>
      <c r="BI273" s="124"/>
      <c r="BJ273" s="124"/>
      <c r="BK273" s="124"/>
      <c r="BL273" s="124"/>
      <c r="BM273" s="124"/>
      <c r="BN273" s="124"/>
      <c r="BO273" s="124"/>
      <c r="BP273" s="124"/>
      <c r="BQ273" s="124"/>
      <c r="BR273" s="125"/>
      <c r="BS273" s="88"/>
    </row>
    <row r="274">
      <c r="G274" s="9"/>
      <c r="H274" s="9"/>
      <c r="I274" s="9"/>
      <c r="J274" s="143"/>
      <c r="K274" s="141"/>
      <c r="L274" s="141"/>
      <c r="M274" s="141"/>
      <c r="N274" s="141"/>
      <c r="O274" s="9"/>
      <c r="P274" s="9"/>
      <c r="Q274" s="9"/>
      <c r="R274" s="142"/>
      <c r="S274" s="116"/>
      <c r="T274" s="117"/>
      <c r="U274" s="118"/>
      <c r="V274" s="118"/>
      <c r="W274" s="118"/>
      <c r="X274" s="118"/>
      <c r="Y274" s="118"/>
      <c r="Z274" s="118"/>
      <c r="AA274" s="118"/>
      <c r="AB274" s="118"/>
      <c r="AC274" s="118"/>
      <c r="AD274" s="118"/>
      <c r="AE274" s="118"/>
      <c r="AF274" s="118"/>
      <c r="AG274" s="118"/>
      <c r="AH274" s="118"/>
      <c r="AI274" s="118"/>
      <c r="AJ274" s="118"/>
      <c r="AK274" s="118"/>
      <c r="AL274" s="118"/>
      <c r="AM274" s="118"/>
      <c r="AN274" s="118"/>
      <c r="AO274" s="118"/>
      <c r="AP274" s="118"/>
      <c r="AQ274" s="118"/>
      <c r="AR274" s="118"/>
      <c r="AS274" s="118"/>
      <c r="AT274" s="123"/>
      <c r="AU274" s="124"/>
      <c r="AV274" s="124"/>
      <c r="AW274" s="124"/>
      <c r="AX274" s="124"/>
      <c r="AY274" s="124"/>
      <c r="AZ274" s="124"/>
      <c r="BA274" s="124"/>
      <c r="BB274" s="124"/>
      <c r="BC274" s="124"/>
      <c r="BD274" s="124"/>
      <c r="BE274" s="124"/>
      <c r="BF274" s="124"/>
      <c r="BG274" s="124"/>
      <c r="BH274" s="124"/>
      <c r="BI274" s="124"/>
      <c r="BJ274" s="124"/>
      <c r="BK274" s="124"/>
      <c r="BL274" s="124"/>
      <c r="BM274" s="124"/>
      <c r="BN274" s="124"/>
      <c r="BO274" s="124"/>
      <c r="BP274" s="124"/>
      <c r="BQ274" s="124"/>
      <c r="BR274" s="125"/>
      <c r="BS274" s="88"/>
    </row>
    <row r="275">
      <c r="G275" s="9"/>
      <c r="H275" s="9"/>
      <c r="I275" s="9"/>
      <c r="J275" s="143"/>
      <c r="K275" s="141"/>
      <c r="L275" s="141"/>
      <c r="M275" s="141"/>
      <c r="N275" s="141"/>
      <c r="O275" s="9"/>
      <c r="P275" s="9"/>
      <c r="Q275" s="9"/>
      <c r="R275" s="142"/>
      <c r="S275" s="116"/>
      <c r="T275" s="117"/>
      <c r="U275" s="118"/>
      <c r="V275" s="118"/>
      <c r="W275" s="118"/>
      <c r="X275" s="118"/>
      <c r="Y275" s="118"/>
      <c r="Z275" s="118"/>
      <c r="AA275" s="118"/>
      <c r="AB275" s="118"/>
      <c r="AC275" s="118"/>
      <c r="AD275" s="118"/>
      <c r="AE275" s="118"/>
      <c r="AF275" s="118"/>
      <c r="AG275" s="118"/>
      <c r="AH275" s="118"/>
      <c r="AI275" s="118"/>
      <c r="AJ275" s="118"/>
      <c r="AK275" s="118"/>
      <c r="AL275" s="118"/>
      <c r="AM275" s="118"/>
      <c r="AN275" s="118"/>
      <c r="AO275" s="118"/>
      <c r="AP275" s="118"/>
      <c r="AQ275" s="118"/>
      <c r="AR275" s="118"/>
      <c r="AS275" s="118"/>
      <c r="AT275" s="123"/>
      <c r="AU275" s="124"/>
      <c r="AV275" s="124"/>
      <c r="AW275" s="124"/>
      <c r="AX275" s="124"/>
      <c r="AY275" s="124"/>
      <c r="AZ275" s="124"/>
      <c r="BA275" s="124"/>
      <c r="BB275" s="124"/>
      <c r="BC275" s="124"/>
      <c r="BD275" s="124"/>
      <c r="BE275" s="124"/>
      <c r="BF275" s="124"/>
      <c r="BG275" s="124"/>
      <c r="BH275" s="124"/>
      <c r="BI275" s="124"/>
      <c r="BJ275" s="124"/>
      <c r="BK275" s="124"/>
      <c r="BL275" s="124"/>
      <c r="BM275" s="124"/>
      <c r="BN275" s="124"/>
      <c r="BO275" s="124"/>
      <c r="BP275" s="124"/>
      <c r="BQ275" s="124"/>
      <c r="BR275" s="125"/>
      <c r="BS275" s="88"/>
    </row>
    <row r="276">
      <c r="G276" s="9"/>
      <c r="H276" s="9"/>
      <c r="I276" s="9"/>
      <c r="J276" s="143"/>
      <c r="K276" s="141"/>
      <c r="L276" s="141"/>
      <c r="M276" s="141"/>
      <c r="N276" s="141"/>
      <c r="O276" s="9"/>
      <c r="P276" s="9"/>
      <c r="Q276" s="9"/>
      <c r="R276" s="142"/>
      <c r="S276" s="116"/>
      <c r="T276" s="117"/>
      <c r="U276" s="118"/>
      <c r="V276" s="118"/>
      <c r="W276" s="118"/>
      <c r="X276" s="118"/>
      <c r="Y276" s="118"/>
      <c r="Z276" s="118"/>
      <c r="AA276" s="118"/>
      <c r="AB276" s="118"/>
      <c r="AC276" s="118"/>
      <c r="AD276" s="118"/>
      <c r="AE276" s="118"/>
      <c r="AF276" s="118"/>
      <c r="AG276" s="118"/>
      <c r="AH276" s="118"/>
      <c r="AI276" s="118"/>
      <c r="AJ276" s="118"/>
      <c r="AK276" s="118"/>
      <c r="AL276" s="118"/>
      <c r="AM276" s="118"/>
      <c r="AN276" s="118"/>
      <c r="AO276" s="118"/>
      <c r="AP276" s="118"/>
      <c r="AQ276" s="118"/>
      <c r="AR276" s="118"/>
      <c r="AS276" s="118"/>
      <c r="AT276" s="123"/>
      <c r="AU276" s="124"/>
      <c r="AV276" s="124"/>
      <c r="AW276" s="124"/>
      <c r="AX276" s="124"/>
      <c r="AY276" s="124"/>
      <c r="AZ276" s="124"/>
      <c r="BA276" s="124"/>
      <c r="BB276" s="124"/>
      <c r="BC276" s="124"/>
      <c r="BD276" s="124"/>
      <c r="BE276" s="124"/>
      <c r="BF276" s="124"/>
      <c r="BG276" s="124"/>
      <c r="BH276" s="124"/>
      <c r="BI276" s="124"/>
      <c r="BJ276" s="124"/>
      <c r="BK276" s="124"/>
      <c r="BL276" s="124"/>
      <c r="BM276" s="124"/>
      <c r="BN276" s="124"/>
      <c r="BO276" s="124"/>
      <c r="BP276" s="124"/>
      <c r="BQ276" s="124"/>
      <c r="BR276" s="125"/>
      <c r="BS276" s="88"/>
    </row>
    <row r="277">
      <c r="G277" s="9"/>
      <c r="H277" s="9"/>
      <c r="I277" s="9"/>
      <c r="J277" s="143"/>
      <c r="K277" s="141"/>
      <c r="L277" s="141"/>
      <c r="M277" s="141"/>
      <c r="N277" s="141"/>
      <c r="O277" s="9"/>
      <c r="P277" s="9"/>
      <c r="Q277" s="9"/>
      <c r="R277" s="142"/>
      <c r="S277" s="116"/>
      <c r="T277" s="117"/>
      <c r="U277" s="118"/>
      <c r="V277" s="118"/>
      <c r="W277" s="118"/>
      <c r="X277" s="118"/>
      <c r="Y277" s="118"/>
      <c r="Z277" s="118"/>
      <c r="AA277" s="118"/>
      <c r="AB277" s="118"/>
      <c r="AC277" s="118"/>
      <c r="AD277" s="118"/>
      <c r="AE277" s="118"/>
      <c r="AF277" s="118"/>
      <c r="AG277" s="118"/>
      <c r="AH277" s="118"/>
      <c r="AI277" s="118"/>
      <c r="AJ277" s="118"/>
      <c r="AK277" s="118"/>
      <c r="AL277" s="118"/>
      <c r="AM277" s="118"/>
      <c r="AN277" s="118"/>
      <c r="AO277" s="118"/>
      <c r="AP277" s="118"/>
      <c r="AQ277" s="118"/>
      <c r="AR277" s="118"/>
      <c r="AS277" s="118"/>
      <c r="AT277" s="123"/>
      <c r="AU277" s="124"/>
      <c r="AV277" s="124"/>
      <c r="AW277" s="124"/>
      <c r="AX277" s="124"/>
      <c r="AY277" s="124"/>
      <c r="AZ277" s="124"/>
      <c r="BA277" s="124"/>
      <c r="BB277" s="124"/>
      <c r="BC277" s="124"/>
      <c r="BD277" s="124"/>
      <c r="BE277" s="124"/>
      <c r="BF277" s="124"/>
      <c r="BG277" s="124"/>
      <c r="BH277" s="124"/>
      <c r="BI277" s="124"/>
      <c r="BJ277" s="124"/>
      <c r="BK277" s="124"/>
      <c r="BL277" s="124"/>
      <c r="BM277" s="124"/>
      <c r="BN277" s="124"/>
      <c r="BO277" s="124"/>
      <c r="BP277" s="124"/>
      <c r="BQ277" s="124"/>
      <c r="BR277" s="125"/>
      <c r="BS277" s="88"/>
    </row>
    <row r="278">
      <c r="G278" s="9"/>
      <c r="H278" s="9"/>
      <c r="I278" s="9"/>
      <c r="J278" s="143"/>
      <c r="K278" s="141"/>
      <c r="L278" s="141"/>
      <c r="M278" s="141"/>
      <c r="N278" s="141"/>
      <c r="O278" s="9"/>
      <c r="P278" s="9"/>
      <c r="Q278" s="9"/>
      <c r="R278" s="142"/>
      <c r="S278" s="116"/>
      <c r="T278" s="117"/>
      <c r="U278" s="118"/>
      <c r="V278" s="118"/>
      <c r="W278" s="118"/>
      <c r="X278" s="118"/>
      <c r="Y278" s="118"/>
      <c r="Z278" s="118"/>
      <c r="AA278" s="118"/>
      <c r="AB278" s="118"/>
      <c r="AC278" s="118"/>
      <c r="AD278" s="118"/>
      <c r="AE278" s="118"/>
      <c r="AF278" s="118"/>
      <c r="AG278" s="118"/>
      <c r="AH278" s="118"/>
      <c r="AI278" s="118"/>
      <c r="AJ278" s="118"/>
      <c r="AK278" s="118"/>
      <c r="AL278" s="118"/>
      <c r="AM278" s="118"/>
      <c r="AN278" s="118"/>
      <c r="AO278" s="118"/>
      <c r="AP278" s="118"/>
      <c r="AQ278" s="118"/>
      <c r="AR278" s="118"/>
      <c r="AS278" s="118"/>
      <c r="AT278" s="123"/>
      <c r="AU278" s="124"/>
      <c r="AV278" s="124"/>
      <c r="AW278" s="124"/>
      <c r="AX278" s="124"/>
      <c r="AY278" s="124"/>
      <c r="AZ278" s="124"/>
      <c r="BA278" s="124"/>
      <c r="BB278" s="124"/>
      <c r="BC278" s="124"/>
      <c r="BD278" s="124"/>
      <c r="BE278" s="124"/>
      <c r="BF278" s="124"/>
      <c r="BG278" s="124"/>
      <c r="BH278" s="124"/>
      <c r="BI278" s="124"/>
      <c r="BJ278" s="124"/>
      <c r="BK278" s="124"/>
      <c r="BL278" s="124"/>
      <c r="BM278" s="124"/>
      <c r="BN278" s="124"/>
      <c r="BO278" s="124"/>
      <c r="BP278" s="124"/>
      <c r="BQ278" s="124"/>
      <c r="BR278" s="125"/>
      <c r="BS278" s="88"/>
    </row>
    <row r="279">
      <c r="G279" s="9"/>
      <c r="H279" s="9"/>
      <c r="I279" s="9"/>
      <c r="J279" s="143"/>
      <c r="K279" s="141"/>
      <c r="L279" s="141"/>
      <c r="M279" s="141"/>
      <c r="N279" s="141"/>
      <c r="O279" s="9"/>
      <c r="P279" s="9"/>
      <c r="Q279" s="9"/>
      <c r="R279" s="142"/>
      <c r="S279" s="116"/>
      <c r="T279" s="117"/>
      <c r="U279" s="118"/>
      <c r="V279" s="118"/>
      <c r="W279" s="118"/>
      <c r="X279" s="118"/>
      <c r="Y279" s="118"/>
      <c r="Z279" s="118"/>
      <c r="AA279" s="118"/>
      <c r="AB279" s="118"/>
      <c r="AC279" s="118"/>
      <c r="AD279" s="118"/>
      <c r="AE279" s="118"/>
      <c r="AF279" s="118"/>
      <c r="AG279" s="118"/>
      <c r="AH279" s="118"/>
      <c r="AI279" s="118"/>
      <c r="AJ279" s="118"/>
      <c r="AK279" s="118"/>
      <c r="AL279" s="118"/>
      <c r="AM279" s="118"/>
      <c r="AN279" s="118"/>
      <c r="AO279" s="118"/>
      <c r="AP279" s="118"/>
      <c r="AQ279" s="118"/>
      <c r="AR279" s="118"/>
      <c r="AS279" s="118"/>
      <c r="AT279" s="123"/>
      <c r="AU279" s="124"/>
      <c r="AV279" s="124"/>
      <c r="AW279" s="124"/>
      <c r="AX279" s="124"/>
      <c r="AY279" s="124"/>
      <c r="AZ279" s="124"/>
      <c r="BA279" s="124"/>
      <c r="BB279" s="124"/>
      <c r="BC279" s="124"/>
      <c r="BD279" s="124"/>
      <c r="BE279" s="124"/>
      <c r="BF279" s="124"/>
      <c r="BG279" s="124"/>
      <c r="BH279" s="124"/>
      <c r="BI279" s="124"/>
      <c r="BJ279" s="124"/>
      <c r="BK279" s="124"/>
      <c r="BL279" s="124"/>
      <c r="BM279" s="124"/>
      <c r="BN279" s="124"/>
      <c r="BO279" s="124"/>
      <c r="BP279" s="124"/>
      <c r="BQ279" s="124"/>
      <c r="BR279" s="125"/>
      <c r="BS279" s="88"/>
    </row>
    <row r="280">
      <c r="G280" s="9"/>
      <c r="H280" s="9"/>
      <c r="I280" s="9"/>
      <c r="J280" s="143"/>
      <c r="K280" s="141"/>
      <c r="L280" s="141"/>
      <c r="M280" s="141"/>
      <c r="N280" s="141"/>
      <c r="O280" s="9"/>
      <c r="P280" s="9"/>
      <c r="Q280" s="9"/>
      <c r="R280" s="142"/>
      <c r="S280" s="116"/>
      <c r="T280" s="117"/>
      <c r="U280" s="118"/>
      <c r="V280" s="118"/>
      <c r="W280" s="118"/>
      <c r="X280" s="118"/>
      <c r="Y280" s="118"/>
      <c r="Z280" s="118"/>
      <c r="AA280" s="118"/>
      <c r="AB280" s="118"/>
      <c r="AC280" s="118"/>
      <c r="AD280" s="118"/>
      <c r="AE280" s="118"/>
      <c r="AF280" s="118"/>
      <c r="AG280" s="118"/>
      <c r="AH280" s="118"/>
      <c r="AI280" s="118"/>
      <c r="AJ280" s="118"/>
      <c r="AK280" s="118"/>
      <c r="AL280" s="118"/>
      <c r="AM280" s="118"/>
      <c r="AN280" s="118"/>
      <c r="AO280" s="118"/>
      <c r="AP280" s="118"/>
      <c r="AQ280" s="118"/>
      <c r="AR280" s="118"/>
      <c r="AS280" s="118"/>
      <c r="AT280" s="123"/>
      <c r="AU280" s="124"/>
      <c r="AV280" s="124"/>
      <c r="AW280" s="124"/>
      <c r="AX280" s="124"/>
      <c r="AY280" s="124"/>
      <c r="AZ280" s="124"/>
      <c r="BA280" s="124"/>
      <c r="BB280" s="124"/>
      <c r="BC280" s="124"/>
      <c r="BD280" s="124"/>
      <c r="BE280" s="124"/>
      <c r="BF280" s="124"/>
      <c r="BG280" s="124"/>
      <c r="BH280" s="124"/>
      <c r="BI280" s="124"/>
      <c r="BJ280" s="124"/>
      <c r="BK280" s="124"/>
      <c r="BL280" s="124"/>
      <c r="BM280" s="124"/>
      <c r="BN280" s="124"/>
      <c r="BO280" s="124"/>
      <c r="BP280" s="124"/>
      <c r="BQ280" s="124"/>
      <c r="BR280" s="125"/>
      <c r="BS280" s="88"/>
    </row>
    <row r="281">
      <c r="G281" s="9"/>
      <c r="H281" s="9"/>
      <c r="I281" s="9"/>
      <c r="J281" s="143"/>
      <c r="K281" s="141"/>
      <c r="L281" s="141"/>
      <c r="M281" s="141"/>
      <c r="N281" s="141"/>
      <c r="O281" s="9"/>
      <c r="P281" s="9"/>
      <c r="Q281" s="9"/>
      <c r="R281" s="142"/>
      <c r="S281" s="116"/>
      <c r="T281" s="117"/>
      <c r="U281" s="118"/>
      <c r="V281" s="118"/>
      <c r="W281" s="118"/>
      <c r="X281" s="118"/>
      <c r="Y281" s="118"/>
      <c r="Z281" s="118"/>
      <c r="AA281" s="118"/>
      <c r="AB281" s="118"/>
      <c r="AC281" s="118"/>
      <c r="AD281" s="118"/>
      <c r="AE281" s="118"/>
      <c r="AF281" s="118"/>
      <c r="AG281" s="118"/>
      <c r="AH281" s="118"/>
      <c r="AI281" s="118"/>
      <c r="AJ281" s="118"/>
      <c r="AK281" s="118"/>
      <c r="AL281" s="118"/>
      <c r="AM281" s="118"/>
      <c r="AN281" s="118"/>
      <c r="AO281" s="118"/>
      <c r="AP281" s="118"/>
      <c r="AQ281" s="118"/>
      <c r="AR281" s="118"/>
      <c r="AS281" s="118"/>
      <c r="AT281" s="123"/>
      <c r="AU281" s="124"/>
      <c r="AV281" s="124"/>
      <c r="AW281" s="124"/>
      <c r="AX281" s="124"/>
      <c r="AY281" s="124"/>
      <c r="AZ281" s="124"/>
      <c r="BA281" s="124"/>
      <c r="BB281" s="124"/>
      <c r="BC281" s="124"/>
      <c r="BD281" s="124"/>
      <c r="BE281" s="124"/>
      <c r="BF281" s="124"/>
      <c r="BG281" s="124"/>
      <c r="BH281" s="124"/>
      <c r="BI281" s="124"/>
      <c r="BJ281" s="124"/>
      <c r="BK281" s="124"/>
      <c r="BL281" s="124"/>
      <c r="BM281" s="124"/>
      <c r="BN281" s="124"/>
      <c r="BO281" s="124"/>
      <c r="BP281" s="124"/>
      <c r="BQ281" s="124"/>
      <c r="BR281" s="125"/>
      <c r="BS281" s="88"/>
    </row>
    <row r="282">
      <c r="G282" s="9"/>
      <c r="H282" s="9"/>
      <c r="I282" s="9"/>
      <c r="J282" s="143"/>
      <c r="K282" s="141"/>
      <c r="L282" s="141"/>
      <c r="M282" s="141"/>
      <c r="N282" s="141"/>
      <c r="O282" s="9"/>
      <c r="P282" s="9"/>
      <c r="Q282" s="9"/>
      <c r="R282" s="142"/>
      <c r="S282" s="116"/>
      <c r="T282" s="117"/>
      <c r="U282" s="118"/>
      <c r="V282" s="118"/>
      <c r="W282" s="118"/>
      <c r="X282" s="118"/>
      <c r="Y282" s="118"/>
      <c r="Z282" s="118"/>
      <c r="AA282" s="118"/>
      <c r="AB282" s="118"/>
      <c r="AC282" s="118"/>
      <c r="AD282" s="118"/>
      <c r="AE282" s="118"/>
      <c r="AF282" s="118"/>
      <c r="AG282" s="118"/>
      <c r="AH282" s="118"/>
      <c r="AI282" s="118"/>
      <c r="AJ282" s="118"/>
      <c r="AK282" s="118"/>
      <c r="AL282" s="118"/>
      <c r="AM282" s="118"/>
      <c r="AN282" s="118"/>
      <c r="AO282" s="118"/>
      <c r="AP282" s="118"/>
      <c r="AQ282" s="118"/>
      <c r="AR282" s="118"/>
      <c r="AS282" s="118"/>
      <c r="AT282" s="123"/>
      <c r="AU282" s="124"/>
      <c r="AV282" s="124"/>
      <c r="AW282" s="124"/>
      <c r="AX282" s="124"/>
      <c r="AY282" s="124"/>
      <c r="AZ282" s="124"/>
      <c r="BA282" s="124"/>
      <c r="BB282" s="124"/>
      <c r="BC282" s="124"/>
      <c r="BD282" s="124"/>
      <c r="BE282" s="124"/>
      <c r="BF282" s="124"/>
      <c r="BG282" s="124"/>
      <c r="BH282" s="124"/>
      <c r="BI282" s="124"/>
      <c r="BJ282" s="124"/>
      <c r="BK282" s="124"/>
      <c r="BL282" s="124"/>
      <c r="BM282" s="124"/>
      <c r="BN282" s="124"/>
      <c r="BO282" s="124"/>
      <c r="BP282" s="124"/>
      <c r="BQ282" s="124"/>
      <c r="BR282" s="125"/>
      <c r="BS282" s="88"/>
    </row>
    <row r="283">
      <c r="G283" s="9"/>
      <c r="H283" s="9"/>
      <c r="I283" s="9"/>
      <c r="J283" s="143"/>
      <c r="K283" s="141"/>
      <c r="L283" s="141"/>
      <c r="M283" s="141"/>
      <c r="N283" s="141"/>
      <c r="O283" s="9"/>
      <c r="P283" s="9"/>
      <c r="Q283" s="9"/>
      <c r="R283" s="142"/>
      <c r="S283" s="116"/>
      <c r="T283" s="117"/>
      <c r="U283" s="118"/>
      <c r="V283" s="118"/>
      <c r="W283" s="118"/>
      <c r="X283" s="118"/>
      <c r="Y283" s="118"/>
      <c r="Z283" s="118"/>
      <c r="AA283" s="118"/>
      <c r="AB283" s="118"/>
      <c r="AC283" s="118"/>
      <c r="AD283" s="118"/>
      <c r="AE283" s="118"/>
      <c r="AF283" s="118"/>
      <c r="AG283" s="118"/>
      <c r="AH283" s="118"/>
      <c r="AI283" s="118"/>
      <c r="AJ283" s="118"/>
      <c r="AK283" s="118"/>
      <c r="AL283" s="118"/>
      <c r="AM283" s="118"/>
      <c r="AN283" s="118"/>
      <c r="AO283" s="118"/>
      <c r="AP283" s="118"/>
      <c r="AQ283" s="118"/>
      <c r="AR283" s="118"/>
      <c r="AS283" s="118"/>
      <c r="AT283" s="123"/>
      <c r="AU283" s="124"/>
      <c r="AV283" s="124"/>
      <c r="AW283" s="124"/>
      <c r="AX283" s="124"/>
      <c r="AY283" s="124"/>
      <c r="AZ283" s="124"/>
      <c r="BA283" s="124"/>
      <c r="BB283" s="124"/>
      <c r="BC283" s="124"/>
      <c r="BD283" s="124"/>
      <c r="BE283" s="124"/>
      <c r="BF283" s="124"/>
      <c r="BG283" s="124"/>
      <c r="BH283" s="124"/>
      <c r="BI283" s="124"/>
      <c r="BJ283" s="124"/>
      <c r="BK283" s="124"/>
      <c r="BL283" s="124"/>
      <c r="BM283" s="124"/>
      <c r="BN283" s="124"/>
      <c r="BO283" s="124"/>
      <c r="BP283" s="124"/>
      <c r="BQ283" s="124"/>
      <c r="BR283" s="125"/>
      <c r="BS283" s="88"/>
    </row>
    <row r="284">
      <c r="G284" s="9"/>
      <c r="H284" s="9"/>
      <c r="I284" s="9"/>
      <c r="J284" s="143"/>
      <c r="K284" s="141"/>
      <c r="L284" s="141"/>
      <c r="M284" s="141"/>
      <c r="N284" s="141"/>
      <c r="O284" s="9"/>
      <c r="P284" s="9"/>
      <c r="Q284" s="9"/>
      <c r="R284" s="142"/>
      <c r="S284" s="116"/>
      <c r="T284" s="117"/>
      <c r="U284" s="118"/>
      <c r="V284" s="118"/>
      <c r="W284" s="118"/>
      <c r="X284" s="118"/>
      <c r="Y284" s="118"/>
      <c r="Z284" s="118"/>
      <c r="AA284" s="118"/>
      <c r="AB284" s="118"/>
      <c r="AC284" s="118"/>
      <c r="AD284" s="118"/>
      <c r="AE284" s="118"/>
      <c r="AF284" s="118"/>
      <c r="AG284" s="118"/>
      <c r="AH284" s="118"/>
      <c r="AI284" s="118"/>
      <c r="AJ284" s="118"/>
      <c r="AK284" s="118"/>
      <c r="AL284" s="118"/>
      <c r="AM284" s="118"/>
      <c r="AN284" s="118"/>
      <c r="AO284" s="118"/>
      <c r="AP284" s="118"/>
      <c r="AQ284" s="118"/>
      <c r="AR284" s="118"/>
      <c r="AS284" s="118"/>
      <c r="AT284" s="123"/>
      <c r="AU284" s="124"/>
      <c r="AV284" s="124"/>
      <c r="AW284" s="124"/>
      <c r="AX284" s="124"/>
      <c r="AY284" s="124"/>
      <c r="AZ284" s="124"/>
      <c r="BA284" s="124"/>
      <c r="BB284" s="124"/>
      <c r="BC284" s="124"/>
      <c r="BD284" s="124"/>
      <c r="BE284" s="124"/>
      <c r="BF284" s="124"/>
      <c r="BG284" s="124"/>
      <c r="BH284" s="124"/>
      <c r="BI284" s="124"/>
      <c r="BJ284" s="124"/>
      <c r="BK284" s="124"/>
      <c r="BL284" s="124"/>
      <c r="BM284" s="124"/>
      <c r="BN284" s="124"/>
      <c r="BO284" s="124"/>
      <c r="BP284" s="124"/>
      <c r="BQ284" s="124"/>
      <c r="BR284" s="125"/>
      <c r="BS284" s="88"/>
    </row>
    <row r="285">
      <c r="G285" s="9"/>
      <c r="H285" s="9"/>
      <c r="I285" s="9"/>
      <c r="J285" s="143"/>
      <c r="K285" s="141"/>
      <c r="L285" s="141"/>
      <c r="M285" s="141"/>
      <c r="N285" s="141"/>
      <c r="O285" s="9"/>
      <c r="P285" s="9"/>
      <c r="Q285" s="9"/>
      <c r="R285" s="142"/>
      <c r="S285" s="116"/>
      <c r="T285" s="117"/>
      <c r="U285" s="118"/>
      <c r="V285" s="118"/>
      <c r="W285" s="118"/>
      <c r="X285" s="118"/>
      <c r="Y285" s="118"/>
      <c r="Z285" s="118"/>
      <c r="AA285" s="118"/>
      <c r="AB285" s="118"/>
      <c r="AC285" s="118"/>
      <c r="AD285" s="118"/>
      <c r="AE285" s="118"/>
      <c r="AF285" s="118"/>
      <c r="AG285" s="118"/>
      <c r="AH285" s="118"/>
      <c r="AI285" s="118"/>
      <c r="AJ285" s="118"/>
      <c r="AK285" s="118"/>
      <c r="AL285" s="118"/>
      <c r="AM285" s="118"/>
      <c r="AN285" s="118"/>
      <c r="AO285" s="118"/>
      <c r="AP285" s="118"/>
      <c r="AQ285" s="118"/>
      <c r="AR285" s="118"/>
      <c r="AS285" s="118"/>
      <c r="AT285" s="123"/>
      <c r="AU285" s="124"/>
      <c r="AV285" s="124"/>
      <c r="AW285" s="124"/>
      <c r="AX285" s="124"/>
      <c r="AY285" s="124"/>
      <c r="AZ285" s="124"/>
      <c r="BA285" s="124"/>
      <c r="BB285" s="124"/>
      <c r="BC285" s="124"/>
      <c r="BD285" s="124"/>
      <c r="BE285" s="124"/>
      <c r="BF285" s="124"/>
      <c r="BG285" s="124"/>
      <c r="BH285" s="124"/>
      <c r="BI285" s="124"/>
      <c r="BJ285" s="124"/>
      <c r="BK285" s="124"/>
      <c r="BL285" s="124"/>
      <c r="BM285" s="124"/>
      <c r="BN285" s="124"/>
      <c r="BO285" s="124"/>
      <c r="BP285" s="124"/>
      <c r="BQ285" s="124"/>
      <c r="BR285" s="125"/>
      <c r="BS285" s="88"/>
    </row>
    <row r="286">
      <c r="G286" s="9"/>
      <c r="H286" s="9"/>
      <c r="I286" s="9"/>
      <c r="J286" s="143"/>
      <c r="K286" s="141"/>
      <c r="L286" s="141"/>
      <c r="M286" s="141"/>
      <c r="N286" s="141"/>
      <c r="O286" s="9"/>
      <c r="P286" s="9"/>
      <c r="Q286" s="9"/>
      <c r="R286" s="142"/>
      <c r="S286" s="116"/>
      <c r="T286" s="117"/>
      <c r="U286" s="118"/>
      <c r="V286" s="118"/>
      <c r="W286" s="118"/>
      <c r="X286" s="118"/>
      <c r="Y286" s="118"/>
      <c r="Z286" s="118"/>
      <c r="AA286" s="118"/>
      <c r="AB286" s="118"/>
      <c r="AC286" s="118"/>
      <c r="AD286" s="118"/>
      <c r="AE286" s="118"/>
      <c r="AF286" s="118"/>
      <c r="AG286" s="118"/>
      <c r="AH286" s="118"/>
      <c r="AI286" s="118"/>
      <c r="AJ286" s="118"/>
      <c r="AK286" s="118"/>
      <c r="AL286" s="118"/>
      <c r="AM286" s="118"/>
      <c r="AN286" s="118"/>
      <c r="AO286" s="118"/>
      <c r="AP286" s="118"/>
      <c r="AQ286" s="118"/>
      <c r="AR286" s="118"/>
      <c r="AS286" s="118"/>
      <c r="AT286" s="123"/>
      <c r="AU286" s="124"/>
      <c r="AV286" s="124"/>
      <c r="AW286" s="124"/>
      <c r="AX286" s="124"/>
      <c r="AY286" s="124"/>
      <c r="AZ286" s="124"/>
      <c r="BA286" s="124"/>
      <c r="BB286" s="124"/>
      <c r="BC286" s="124"/>
      <c r="BD286" s="124"/>
      <c r="BE286" s="124"/>
      <c r="BF286" s="124"/>
      <c r="BG286" s="124"/>
      <c r="BH286" s="124"/>
      <c r="BI286" s="124"/>
      <c r="BJ286" s="124"/>
      <c r="BK286" s="124"/>
      <c r="BL286" s="124"/>
      <c r="BM286" s="124"/>
      <c r="BN286" s="124"/>
      <c r="BO286" s="124"/>
      <c r="BP286" s="124"/>
      <c r="BQ286" s="124"/>
      <c r="BR286" s="125"/>
      <c r="BS286" s="88"/>
    </row>
    <row r="287">
      <c r="G287" s="9"/>
      <c r="H287" s="9"/>
      <c r="I287" s="9"/>
      <c r="J287" s="143"/>
      <c r="K287" s="141"/>
      <c r="L287" s="141"/>
      <c r="M287" s="141"/>
      <c r="N287" s="141"/>
      <c r="O287" s="9"/>
      <c r="P287" s="9"/>
      <c r="Q287" s="9"/>
      <c r="R287" s="142"/>
      <c r="S287" s="116"/>
      <c r="T287" s="117"/>
      <c r="U287" s="118"/>
      <c r="V287" s="118"/>
      <c r="W287" s="118"/>
      <c r="X287" s="118"/>
      <c r="Y287" s="118"/>
      <c r="Z287" s="118"/>
      <c r="AA287" s="118"/>
      <c r="AB287" s="118"/>
      <c r="AC287" s="118"/>
      <c r="AD287" s="118"/>
      <c r="AE287" s="118"/>
      <c r="AF287" s="118"/>
      <c r="AG287" s="118"/>
      <c r="AH287" s="118"/>
      <c r="AI287" s="118"/>
      <c r="AJ287" s="118"/>
      <c r="AK287" s="118"/>
      <c r="AL287" s="118"/>
      <c r="AM287" s="118"/>
      <c r="AN287" s="118"/>
      <c r="AO287" s="118"/>
      <c r="AP287" s="118"/>
      <c r="AQ287" s="118"/>
      <c r="AR287" s="118"/>
      <c r="AS287" s="118"/>
      <c r="AT287" s="123"/>
      <c r="AU287" s="124"/>
      <c r="AV287" s="124"/>
      <c r="AW287" s="124"/>
      <c r="AX287" s="124"/>
      <c r="AY287" s="124"/>
      <c r="AZ287" s="124"/>
      <c r="BA287" s="124"/>
      <c r="BB287" s="124"/>
      <c r="BC287" s="124"/>
      <c r="BD287" s="124"/>
      <c r="BE287" s="124"/>
      <c r="BF287" s="124"/>
      <c r="BG287" s="124"/>
      <c r="BH287" s="124"/>
      <c r="BI287" s="124"/>
      <c r="BJ287" s="124"/>
      <c r="BK287" s="124"/>
      <c r="BL287" s="124"/>
      <c r="BM287" s="124"/>
      <c r="BN287" s="124"/>
      <c r="BO287" s="124"/>
      <c r="BP287" s="124"/>
      <c r="BQ287" s="124"/>
      <c r="BR287" s="125"/>
      <c r="BS287" s="88"/>
    </row>
    <row r="288">
      <c r="G288" s="9"/>
      <c r="H288" s="9"/>
      <c r="I288" s="9"/>
      <c r="J288" s="143"/>
      <c r="K288" s="141"/>
      <c r="L288" s="141"/>
      <c r="M288" s="141"/>
      <c r="N288" s="141"/>
      <c r="O288" s="9"/>
      <c r="P288" s="9"/>
      <c r="Q288" s="9"/>
      <c r="R288" s="142"/>
      <c r="S288" s="116"/>
      <c r="T288" s="117"/>
      <c r="U288" s="118"/>
      <c r="V288" s="118"/>
      <c r="W288" s="118"/>
      <c r="X288" s="118"/>
      <c r="Y288" s="118"/>
      <c r="Z288" s="118"/>
      <c r="AA288" s="118"/>
      <c r="AB288" s="118"/>
      <c r="AC288" s="118"/>
      <c r="AD288" s="118"/>
      <c r="AE288" s="118"/>
      <c r="AF288" s="118"/>
      <c r="AG288" s="118"/>
      <c r="AH288" s="118"/>
      <c r="AI288" s="118"/>
      <c r="AJ288" s="118"/>
      <c r="AK288" s="118"/>
      <c r="AL288" s="118"/>
      <c r="AM288" s="118"/>
      <c r="AN288" s="118"/>
      <c r="AO288" s="118"/>
      <c r="AP288" s="118"/>
      <c r="AQ288" s="118"/>
      <c r="AR288" s="118"/>
      <c r="AS288" s="118"/>
      <c r="AT288" s="123"/>
      <c r="AU288" s="124"/>
      <c r="AV288" s="124"/>
      <c r="AW288" s="124"/>
      <c r="AX288" s="124"/>
      <c r="AY288" s="124"/>
      <c r="AZ288" s="124"/>
      <c r="BA288" s="124"/>
      <c r="BB288" s="124"/>
      <c r="BC288" s="124"/>
      <c r="BD288" s="124"/>
      <c r="BE288" s="124"/>
      <c r="BF288" s="124"/>
      <c r="BG288" s="124"/>
      <c r="BH288" s="124"/>
      <c r="BI288" s="124"/>
      <c r="BJ288" s="124"/>
      <c r="BK288" s="124"/>
      <c r="BL288" s="124"/>
      <c r="BM288" s="124"/>
      <c r="BN288" s="124"/>
      <c r="BO288" s="124"/>
      <c r="BP288" s="124"/>
      <c r="BQ288" s="124"/>
      <c r="BR288" s="125"/>
      <c r="BS288" s="88"/>
    </row>
    <row r="289">
      <c r="G289" s="9"/>
      <c r="H289" s="9"/>
      <c r="I289" s="9"/>
      <c r="J289" s="143"/>
      <c r="K289" s="141"/>
      <c r="L289" s="141"/>
      <c r="M289" s="141"/>
      <c r="N289" s="141"/>
      <c r="O289" s="9"/>
      <c r="P289" s="9"/>
      <c r="Q289" s="9"/>
      <c r="R289" s="142"/>
      <c r="S289" s="116"/>
      <c r="T289" s="117"/>
      <c r="U289" s="118"/>
      <c r="V289" s="118"/>
      <c r="W289" s="118"/>
      <c r="X289" s="118"/>
      <c r="Y289" s="118"/>
      <c r="Z289" s="118"/>
      <c r="AA289" s="118"/>
      <c r="AB289" s="118"/>
      <c r="AC289" s="118"/>
      <c r="AD289" s="118"/>
      <c r="AE289" s="118"/>
      <c r="AF289" s="118"/>
      <c r="AG289" s="118"/>
      <c r="AH289" s="118"/>
      <c r="AI289" s="118"/>
      <c r="AJ289" s="118"/>
      <c r="AK289" s="118"/>
      <c r="AL289" s="118"/>
      <c r="AM289" s="118"/>
      <c r="AN289" s="118"/>
      <c r="AO289" s="118"/>
      <c r="AP289" s="118"/>
      <c r="AQ289" s="118"/>
      <c r="AR289" s="118"/>
      <c r="AS289" s="118"/>
      <c r="AT289" s="123"/>
      <c r="AU289" s="124"/>
      <c r="AV289" s="124"/>
      <c r="AW289" s="124"/>
      <c r="AX289" s="124"/>
      <c r="AY289" s="124"/>
      <c r="AZ289" s="124"/>
      <c r="BA289" s="124"/>
      <c r="BB289" s="124"/>
      <c r="BC289" s="124"/>
      <c r="BD289" s="124"/>
      <c r="BE289" s="124"/>
      <c r="BF289" s="124"/>
      <c r="BG289" s="124"/>
      <c r="BH289" s="124"/>
      <c r="BI289" s="124"/>
      <c r="BJ289" s="124"/>
      <c r="BK289" s="124"/>
      <c r="BL289" s="124"/>
      <c r="BM289" s="124"/>
      <c r="BN289" s="124"/>
      <c r="BO289" s="124"/>
      <c r="BP289" s="124"/>
      <c r="BQ289" s="124"/>
      <c r="BR289" s="125"/>
      <c r="BS289" s="88"/>
    </row>
    <row r="290">
      <c r="G290" s="9"/>
      <c r="H290" s="9"/>
      <c r="I290" s="9"/>
      <c r="J290" s="143"/>
      <c r="K290" s="141"/>
      <c r="L290" s="141"/>
      <c r="M290" s="141"/>
      <c r="N290" s="141"/>
      <c r="O290" s="9"/>
      <c r="P290" s="9"/>
      <c r="Q290" s="9"/>
      <c r="R290" s="142"/>
      <c r="S290" s="116"/>
      <c r="T290" s="117"/>
      <c r="U290" s="118"/>
      <c r="V290" s="118"/>
      <c r="W290" s="118"/>
      <c r="X290" s="118"/>
      <c r="Y290" s="118"/>
      <c r="Z290" s="118"/>
      <c r="AA290" s="118"/>
      <c r="AB290" s="118"/>
      <c r="AC290" s="118"/>
      <c r="AD290" s="118"/>
      <c r="AE290" s="118"/>
      <c r="AF290" s="118"/>
      <c r="AG290" s="118"/>
      <c r="AH290" s="118"/>
      <c r="AI290" s="118"/>
      <c r="AJ290" s="118"/>
      <c r="AK290" s="118"/>
      <c r="AL290" s="118"/>
      <c r="AM290" s="118"/>
      <c r="AN290" s="118"/>
      <c r="AO290" s="118"/>
      <c r="AP290" s="118"/>
      <c r="AQ290" s="118"/>
      <c r="AR290" s="118"/>
      <c r="AS290" s="118"/>
      <c r="AT290" s="123"/>
      <c r="AU290" s="124"/>
      <c r="AV290" s="124"/>
      <c r="AW290" s="124"/>
      <c r="AX290" s="124"/>
      <c r="AY290" s="124"/>
      <c r="AZ290" s="124"/>
      <c r="BA290" s="124"/>
      <c r="BB290" s="124"/>
      <c r="BC290" s="124"/>
      <c r="BD290" s="124"/>
      <c r="BE290" s="124"/>
      <c r="BF290" s="124"/>
      <c r="BG290" s="124"/>
      <c r="BH290" s="124"/>
      <c r="BI290" s="124"/>
      <c r="BJ290" s="124"/>
      <c r="BK290" s="124"/>
      <c r="BL290" s="124"/>
      <c r="BM290" s="124"/>
      <c r="BN290" s="124"/>
      <c r="BO290" s="124"/>
      <c r="BP290" s="124"/>
      <c r="BQ290" s="124"/>
      <c r="BR290" s="125"/>
      <c r="BS290" s="88"/>
    </row>
    <row r="291">
      <c r="G291" s="9"/>
      <c r="H291" s="9"/>
      <c r="I291" s="9"/>
      <c r="J291" s="143"/>
      <c r="K291" s="141"/>
      <c r="L291" s="141"/>
      <c r="M291" s="141"/>
      <c r="N291" s="141"/>
      <c r="O291" s="9"/>
      <c r="P291" s="9"/>
      <c r="Q291" s="9"/>
      <c r="R291" s="142"/>
      <c r="S291" s="116"/>
      <c r="T291" s="117"/>
      <c r="U291" s="118"/>
      <c r="V291" s="118"/>
      <c r="W291" s="118"/>
      <c r="X291" s="118"/>
      <c r="Y291" s="118"/>
      <c r="Z291" s="118"/>
      <c r="AA291" s="118"/>
      <c r="AB291" s="118"/>
      <c r="AC291" s="118"/>
      <c r="AD291" s="118"/>
      <c r="AE291" s="118"/>
      <c r="AF291" s="118"/>
      <c r="AG291" s="118"/>
      <c r="AH291" s="118"/>
      <c r="AI291" s="118"/>
      <c r="AJ291" s="118"/>
      <c r="AK291" s="118"/>
      <c r="AL291" s="118"/>
      <c r="AM291" s="118"/>
      <c r="AN291" s="118"/>
      <c r="AO291" s="118"/>
      <c r="AP291" s="118"/>
      <c r="AQ291" s="118"/>
      <c r="AR291" s="118"/>
      <c r="AS291" s="118"/>
      <c r="AT291" s="123"/>
      <c r="AU291" s="124"/>
      <c r="AV291" s="124"/>
      <c r="AW291" s="124"/>
      <c r="AX291" s="124"/>
      <c r="AY291" s="124"/>
      <c r="AZ291" s="124"/>
      <c r="BA291" s="124"/>
      <c r="BB291" s="124"/>
      <c r="BC291" s="124"/>
      <c r="BD291" s="124"/>
      <c r="BE291" s="124"/>
      <c r="BF291" s="124"/>
      <c r="BG291" s="124"/>
      <c r="BH291" s="124"/>
      <c r="BI291" s="124"/>
      <c r="BJ291" s="124"/>
      <c r="BK291" s="124"/>
      <c r="BL291" s="124"/>
      <c r="BM291" s="124"/>
      <c r="BN291" s="124"/>
      <c r="BO291" s="124"/>
      <c r="BP291" s="124"/>
      <c r="BQ291" s="124"/>
      <c r="BR291" s="125"/>
      <c r="BS291" s="88"/>
    </row>
    <row r="292">
      <c r="G292" s="9"/>
      <c r="H292" s="9"/>
      <c r="I292" s="9"/>
      <c r="J292" s="143"/>
      <c r="K292" s="141"/>
      <c r="L292" s="141"/>
      <c r="M292" s="141"/>
      <c r="N292" s="141"/>
      <c r="O292" s="9"/>
      <c r="P292" s="9"/>
      <c r="Q292" s="9"/>
      <c r="R292" s="142"/>
      <c r="S292" s="116"/>
      <c r="T292" s="117"/>
      <c r="U292" s="118"/>
      <c r="V292" s="118"/>
      <c r="W292" s="118"/>
      <c r="X292" s="118"/>
      <c r="Y292" s="118"/>
      <c r="Z292" s="118"/>
      <c r="AA292" s="118"/>
      <c r="AB292" s="118"/>
      <c r="AC292" s="118"/>
      <c r="AD292" s="118"/>
      <c r="AE292" s="118"/>
      <c r="AF292" s="118"/>
      <c r="AG292" s="118"/>
      <c r="AH292" s="118"/>
      <c r="AI292" s="118"/>
      <c r="AJ292" s="118"/>
      <c r="AK292" s="118"/>
      <c r="AL292" s="118"/>
      <c r="AM292" s="118"/>
      <c r="AN292" s="118"/>
      <c r="AO292" s="118"/>
      <c r="AP292" s="118"/>
      <c r="AQ292" s="118"/>
      <c r="AR292" s="118"/>
      <c r="AS292" s="118"/>
      <c r="AT292" s="123"/>
      <c r="AU292" s="124"/>
      <c r="AV292" s="124"/>
      <c r="AW292" s="124"/>
      <c r="AX292" s="124"/>
      <c r="AY292" s="124"/>
      <c r="AZ292" s="124"/>
      <c r="BA292" s="124"/>
      <c r="BB292" s="124"/>
      <c r="BC292" s="124"/>
      <c r="BD292" s="124"/>
      <c r="BE292" s="124"/>
      <c r="BF292" s="124"/>
      <c r="BG292" s="124"/>
      <c r="BH292" s="124"/>
      <c r="BI292" s="124"/>
      <c r="BJ292" s="124"/>
      <c r="BK292" s="124"/>
      <c r="BL292" s="124"/>
      <c r="BM292" s="124"/>
      <c r="BN292" s="124"/>
      <c r="BO292" s="124"/>
      <c r="BP292" s="124"/>
      <c r="BQ292" s="124"/>
      <c r="BR292" s="125"/>
      <c r="BS292" s="88"/>
    </row>
    <row r="293">
      <c r="G293" s="9"/>
      <c r="H293" s="9"/>
      <c r="I293" s="9"/>
      <c r="J293" s="143"/>
      <c r="K293" s="141"/>
      <c r="L293" s="141"/>
      <c r="M293" s="141"/>
      <c r="N293" s="141"/>
      <c r="O293" s="9"/>
      <c r="P293" s="9"/>
      <c r="Q293" s="9"/>
      <c r="R293" s="142"/>
      <c r="S293" s="116"/>
      <c r="T293" s="117"/>
      <c r="U293" s="118"/>
      <c r="V293" s="118"/>
      <c r="W293" s="118"/>
      <c r="X293" s="118"/>
      <c r="Y293" s="118"/>
      <c r="Z293" s="118"/>
      <c r="AA293" s="118"/>
      <c r="AB293" s="118"/>
      <c r="AC293" s="118"/>
      <c r="AD293" s="118"/>
      <c r="AE293" s="118"/>
      <c r="AF293" s="118"/>
      <c r="AG293" s="118"/>
      <c r="AH293" s="118"/>
      <c r="AI293" s="118"/>
      <c r="AJ293" s="118"/>
      <c r="AK293" s="118"/>
      <c r="AL293" s="118"/>
      <c r="AM293" s="118"/>
      <c r="AN293" s="118"/>
      <c r="AO293" s="118"/>
      <c r="AP293" s="118"/>
      <c r="AQ293" s="118"/>
      <c r="AR293" s="118"/>
      <c r="AS293" s="118"/>
      <c r="AT293" s="123"/>
      <c r="AU293" s="124"/>
      <c r="AV293" s="124"/>
      <c r="AW293" s="124"/>
      <c r="AX293" s="124"/>
      <c r="AY293" s="124"/>
      <c r="AZ293" s="124"/>
      <c r="BA293" s="124"/>
      <c r="BB293" s="124"/>
      <c r="BC293" s="124"/>
      <c r="BD293" s="124"/>
      <c r="BE293" s="124"/>
      <c r="BF293" s="124"/>
      <c r="BG293" s="124"/>
      <c r="BH293" s="124"/>
      <c r="BI293" s="124"/>
      <c r="BJ293" s="124"/>
      <c r="BK293" s="124"/>
      <c r="BL293" s="124"/>
      <c r="BM293" s="124"/>
      <c r="BN293" s="124"/>
      <c r="BO293" s="124"/>
      <c r="BP293" s="124"/>
      <c r="BQ293" s="124"/>
      <c r="BR293" s="125"/>
      <c r="BS293" s="88"/>
    </row>
    <row r="294">
      <c r="G294" s="9"/>
      <c r="H294" s="9"/>
      <c r="I294" s="9"/>
      <c r="J294" s="143"/>
      <c r="K294" s="141"/>
      <c r="L294" s="141"/>
      <c r="M294" s="141"/>
      <c r="N294" s="141"/>
      <c r="O294" s="9"/>
      <c r="P294" s="9"/>
      <c r="Q294" s="9"/>
      <c r="R294" s="142"/>
      <c r="S294" s="116"/>
      <c r="T294" s="117"/>
      <c r="U294" s="118"/>
      <c r="V294" s="118"/>
      <c r="W294" s="118"/>
      <c r="X294" s="118"/>
      <c r="Y294" s="118"/>
      <c r="Z294" s="118"/>
      <c r="AA294" s="118"/>
      <c r="AB294" s="118"/>
      <c r="AC294" s="118"/>
      <c r="AD294" s="118"/>
      <c r="AE294" s="118"/>
      <c r="AF294" s="118"/>
      <c r="AG294" s="118"/>
      <c r="AH294" s="118"/>
      <c r="AI294" s="118"/>
      <c r="AJ294" s="118"/>
      <c r="AK294" s="118"/>
      <c r="AL294" s="118"/>
      <c r="AM294" s="118"/>
      <c r="AN294" s="118"/>
      <c r="AO294" s="118"/>
      <c r="AP294" s="118"/>
      <c r="AQ294" s="118"/>
      <c r="AR294" s="118"/>
      <c r="AS294" s="118"/>
      <c r="AT294" s="123"/>
      <c r="AU294" s="124"/>
      <c r="AV294" s="124"/>
      <c r="AW294" s="124"/>
      <c r="AX294" s="124"/>
      <c r="AY294" s="124"/>
      <c r="AZ294" s="124"/>
      <c r="BA294" s="124"/>
      <c r="BB294" s="124"/>
      <c r="BC294" s="124"/>
      <c r="BD294" s="124"/>
      <c r="BE294" s="124"/>
      <c r="BF294" s="124"/>
      <c r="BG294" s="124"/>
      <c r="BH294" s="124"/>
      <c r="BI294" s="124"/>
      <c r="BJ294" s="124"/>
      <c r="BK294" s="124"/>
      <c r="BL294" s="124"/>
      <c r="BM294" s="124"/>
      <c r="BN294" s="124"/>
      <c r="BO294" s="124"/>
      <c r="BP294" s="124"/>
      <c r="BQ294" s="124"/>
      <c r="BR294" s="125"/>
      <c r="BS294" s="88"/>
    </row>
    <row r="295">
      <c r="G295" s="9"/>
      <c r="H295" s="9"/>
      <c r="I295" s="9"/>
      <c r="J295" s="143"/>
      <c r="K295" s="141"/>
      <c r="L295" s="141"/>
      <c r="M295" s="141"/>
      <c r="N295" s="141"/>
      <c r="O295" s="9"/>
      <c r="P295" s="9"/>
      <c r="Q295" s="9"/>
      <c r="R295" s="142"/>
      <c r="S295" s="116"/>
      <c r="T295" s="117"/>
      <c r="U295" s="118"/>
      <c r="V295" s="118"/>
      <c r="W295" s="118"/>
      <c r="X295" s="118"/>
      <c r="Y295" s="118"/>
      <c r="Z295" s="118"/>
      <c r="AA295" s="118"/>
      <c r="AB295" s="118"/>
      <c r="AC295" s="118"/>
      <c r="AD295" s="118"/>
      <c r="AE295" s="118"/>
      <c r="AF295" s="118"/>
      <c r="AG295" s="118"/>
      <c r="AH295" s="118"/>
      <c r="AI295" s="118"/>
      <c r="AJ295" s="118"/>
      <c r="AK295" s="118"/>
      <c r="AL295" s="118"/>
      <c r="AM295" s="118"/>
      <c r="AN295" s="118"/>
      <c r="AO295" s="118"/>
      <c r="AP295" s="118"/>
      <c r="AQ295" s="118"/>
      <c r="AR295" s="118"/>
      <c r="AS295" s="118"/>
      <c r="AT295" s="123"/>
      <c r="AU295" s="124"/>
      <c r="AV295" s="124"/>
      <c r="AW295" s="124"/>
      <c r="AX295" s="124"/>
      <c r="AY295" s="124"/>
      <c r="AZ295" s="124"/>
      <c r="BA295" s="124"/>
      <c r="BB295" s="124"/>
      <c r="BC295" s="124"/>
      <c r="BD295" s="124"/>
      <c r="BE295" s="124"/>
      <c r="BF295" s="124"/>
      <c r="BG295" s="124"/>
      <c r="BH295" s="124"/>
      <c r="BI295" s="124"/>
      <c r="BJ295" s="124"/>
      <c r="BK295" s="124"/>
      <c r="BL295" s="124"/>
      <c r="BM295" s="124"/>
      <c r="BN295" s="124"/>
      <c r="BO295" s="124"/>
      <c r="BP295" s="124"/>
      <c r="BQ295" s="124"/>
      <c r="BR295" s="125"/>
      <c r="BS295" s="88"/>
    </row>
    <row r="296">
      <c r="G296" s="9"/>
      <c r="H296" s="9"/>
      <c r="I296" s="9"/>
      <c r="J296" s="143"/>
      <c r="K296" s="141"/>
      <c r="L296" s="141"/>
      <c r="M296" s="141"/>
      <c r="N296" s="141"/>
      <c r="O296" s="9"/>
      <c r="P296" s="9"/>
      <c r="Q296" s="9"/>
      <c r="R296" s="142"/>
      <c r="S296" s="116"/>
      <c r="T296" s="117"/>
      <c r="U296" s="118"/>
      <c r="V296" s="118"/>
      <c r="W296" s="118"/>
      <c r="X296" s="118"/>
      <c r="Y296" s="118"/>
      <c r="Z296" s="118"/>
      <c r="AA296" s="118"/>
      <c r="AB296" s="118"/>
      <c r="AC296" s="118"/>
      <c r="AD296" s="118"/>
      <c r="AE296" s="118"/>
      <c r="AF296" s="118"/>
      <c r="AG296" s="118"/>
      <c r="AH296" s="118"/>
      <c r="AI296" s="118"/>
      <c r="AJ296" s="118"/>
      <c r="AK296" s="118"/>
      <c r="AL296" s="118"/>
      <c r="AM296" s="118"/>
      <c r="AN296" s="118"/>
      <c r="AO296" s="118"/>
      <c r="AP296" s="118"/>
      <c r="AQ296" s="118"/>
      <c r="AR296" s="118"/>
      <c r="AS296" s="118"/>
      <c r="AT296" s="123"/>
      <c r="AU296" s="124"/>
      <c r="AV296" s="124"/>
      <c r="AW296" s="124"/>
      <c r="AX296" s="124"/>
      <c r="AY296" s="124"/>
      <c r="AZ296" s="124"/>
      <c r="BA296" s="124"/>
      <c r="BB296" s="124"/>
      <c r="BC296" s="124"/>
      <c r="BD296" s="124"/>
      <c r="BE296" s="124"/>
      <c r="BF296" s="124"/>
      <c r="BG296" s="124"/>
      <c r="BH296" s="124"/>
      <c r="BI296" s="124"/>
      <c r="BJ296" s="124"/>
      <c r="BK296" s="124"/>
      <c r="BL296" s="124"/>
      <c r="BM296" s="124"/>
      <c r="BN296" s="124"/>
      <c r="BO296" s="124"/>
      <c r="BP296" s="124"/>
      <c r="BQ296" s="124"/>
      <c r="BR296" s="125"/>
      <c r="BS296" s="88"/>
    </row>
    <row r="297">
      <c r="G297" s="9"/>
      <c r="H297" s="9"/>
      <c r="I297" s="9"/>
      <c r="J297" s="143"/>
      <c r="K297" s="141"/>
      <c r="L297" s="141"/>
      <c r="M297" s="141"/>
      <c r="N297" s="141"/>
      <c r="O297" s="9"/>
      <c r="P297" s="9"/>
      <c r="Q297" s="9"/>
      <c r="R297" s="142"/>
      <c r="S297" s="116"/>
      <c r="T297" s="117"/>
      <c r="U297" s="118"/>
      <c r="V297" s="118"/>
      <c r="W297" s="118"/>
      <c r="X297" s="118"/>
      <c r="Y297" s="118"/>
      <c r="Z297" s="118"/>
      <c r="AA297" s="118"/>
      <c r="AB297" s="118"/>
      <c r="AC297" s="118"/>
      <c r="AD297" s="118"/>
      <c r="AE297" s="118"/>
      <c r="AF297" s="118"/>
      <c r="AG297" s="118"/>
      <c r="AH297" s="118"/>
      <c r="AI297" s="118"/>
      <c r="AJ297" s="118"/>
      <c r="AK297" s="118"/>
      <c r="AL297" s="118"/>
      <c r="AM297" s="118"/>
      <c r="AN297" s="118"/>
      <c r="AO297" s="118"/>
      <c r="AP297" s="118"/>
      <c r="AQ297" s="118"/>
      <c r="AR297" s="118"/>
      <c r="AS297" s="118"/>
      <c r="AT297" s="123"/>
      <c r="AU297" s="124"/>
      <c r="AV297" s="124"/>
      <c r="AW297" s="124"/>
      <c r="AX297" s="124"/>
      <c r="AY297" s="124"/>
      <c r="AZ297" s="124"/>
      <c r="BA297" s="124"/>
      <c r="BB297" s="124"/>
      <c r="BC297" s="124"/>
      <c r="BD297" s="124"/>
      <c r="BE297" s="124"/>
      <c r="BF297" s="124"/>
      <c r="BG297" s="124"/>
      <c r="BH297" s="124"/>
      <c r="BI297" s="124"/>
      <c r="BJ297" s="124"/>
      <c r="BK297" s="124"/>
      <c r="BL297" s="124"/>
      <c r="BM297" s="124"/>
      <c r="BN297" s="124"/>
      <c r="BO297" s="124"/>
      <c r="BP297" s="124"/>
      <c r="BQ297" s="124"/>
      <c r="BR297" s="125"/>
      <c r="BS297" s="88"/>
    </row>
    <row r="298">
      <c r="G298" s="9"/>
      <c r="H298" s="9"/>
      <c r="I298" s="9"/>
      <c r="J298" s="143"/>
      <c r="K298" s="141"/>
      <c r="L298" s="141"/>
      <c r="M298" s="141"/>
      <c r="N298" s="141"/>
      <c r="O298" s="9"/>
      <c r="P298" s="9"/>
      <c r="Q298" s="9"/>
      <c r="R298" s="142"/>
      <c r="S298" s="116"/>
      <c r="T298" s="117"/>
      <c r="U298" s="118"/>
      <c r="V298" s="118"/>
      <c r="W298" s="118"/>
      <c r="X298" s="118"/>
      <c r="Y298" s="118"/>
      <c r="Z298" s="118"/>
      <c r="AA298" s="118"/>
      <c r="AB298" s="118"/>
      <c r="AC298" s="118"/>
      <c r="AD298" s="118"/>
      <c r="AE298" s="118"/>
      <c r="AF298" s="118"/>
      <c r="AG298" s="118"/>
      <c r="AH298" s="118"/>
      <c r="AI298" s="118"/>
      <c r="AJ298" s="118"/>
      <c r="AK298" s="118"/>
      <c r="AL298" s="118"/>
      <c r="AM298" s="118"/>
      <c r="AN298" s="118"/>
      <c r="AO298" s="118"/>
      <c r="AP298" s="118"/>
      <c r="AQ298" s="118"/>
      <c r="AR298" s="118"/>
      <c r="AS298" s="118"/>
      <c r="AT298" s="123"/>
      <c r="AU298" s="124"/>
      <c r="AV298" s="124"/>
      <c r="AW298" s="124"/>
      <c r="AX298" s="124"/>
      <c r="AY298" s="124"/>
      <c r="AZ298" s="124"/>
      <c r="BA298" s="124"/>
      <c r="BB298" s="124"/>
      <c r="BC298" s="124"/>
      <c r="BD298" s="124"/>
      <c r="BE298" s="124"/>
      <c r="BF298" s="124"/>
      <c r="BG298" s="124"/>
      <c r="BH298" s="124"/>
      <c r="BI298" s="124"/>
      <c r="BJ298" s="124"/>
      <c r="BK298" s="124"/>
      <c r="BL298" s="124"/>
      <c r="BM298" s="124"/>
      <c r="BN298" s="124"/>
      <c r="BO298" s="124"/>
      <c r="BP298" s="124"/>
      <c r="BQ298" s="124"/>
      <c r="BR298" s="125"/>
      <c r="BS298" s="88"/>
    </row>
    <row r="299">
      <c r="G299" s="9"/>
      <c r="H299" s="9"/>
      <c r="I299" s="9"/>
      <c r="J299" s="143"/>
      <c r="K299" s="141"/>
      <c r="L299" s="141"/>
      <c r="M299" s="141"/>
      <c r="N299" s="141"/>
      <c r="O299" s="9"/>
      <c r="P299" s="9"/>
      <c r="Q299" s="9"/>
      <c r="R299" s="142"/>
      <c r="S299" s="116"/>
      <c r="T299" s="117"/>
      <c r="U299" s="118"/>
      <c r="V299" s="118"/>
      <c r="W299" s="118"/>
      <c r="X299" s="118"/>
      <c r="Y299" s="118"/>
      <c r="Z299" s="118"/>
      <c r="AA299" s="118"/>
      <c r="AB299" s="118"/>
      <c r="AC299" s="118"/>
      <c r="AD299" s="118"/>
      <c r="AE299" s="118"/>
      <c r="AF299" s="118"/>
      <c r="AG299" s="118"/>
      <c r="AH299" s="118"/>
      <c r="AI299" s="118"/>
      <c r="AJ299" s="118"/>
      <c r="AK299" s="118"/>
      <c r="AL299" s="118"/>
      <c r="AM299" s="118"/>
      <c r="AN299" s="118"/>
      <c r="AO299" s="118"/>
      <c r="AP299" s="118"/>
      <c r="AQ299" s="118"/>
      <c r="AR299" s="118"/>
      <c r="AS299" s="118"/>
      <c r="AT299" s="123"/>
      <c r="AU299" s="124"/>
      <c r="AV299" s="124"/>
      <c r="AW299" s="124"/>
      <c r="AX299" s="124"/>
      <c r="AY299" s="124"/>
      <c r="AZ299" s="124"/>
      <c r="BA299" s="124"/>
      <c r="BB299" s="124"/>
      <c r="BC299" s="124"/>
      <c r="BD299" s="124"/>
      <c r="BE299" s="124"/>
      <c r="BF299" s="124"/>
      <c r="BG299" s="124"/>
      <c r="BH299" s="124"/>
      <c r="BI299" s="124"/>
      <c r="BJ299" s="124"/>
      <c r="BK299" s="124"/>
      <c r="BL299" s="124"/>
      <c r="BM299" s="124"/>
      <c r="BN299" s="124"/>
      <c r="BO299" s="124"/>
      <c r="BP299" s="124"/>
      <c r="BQ299" s="124"/>
      <c r="BR299" s="125"/>
      <c r="BS299" s="88"/>
    </row>
    <row r="300">
      <c r="G300" s="9"/>
      <c r="H300" s="9"/>
      <c r="I300" s="9"/>
      <c r="J300" s="143"/>
      <c r="K300" s="141"/>
      <c r="L300" s="141"/>
      <c r="M300" s="141"/>
      <c r="N300" s="141"/>
      <c r="O300" s="9"/>
      <c r="P300" s="9"/>
      <c r="Q300" s="9"/>
      <c r="R300" s="142"/>
      <c r="S300" s="116"/>
      <c r="T300" s="117"/>
      <c r="U300" s="118"/>
      <c r="V300" s="118"/>
      <c r="W300" s="118"/>
      <c r="X300" s="118"/>
      <c r="Y300" s="118"/>
      <c r="Z300" s="118"/>
      <c r="AA300" s="118"/>
      <c r="AB300" s="118"/>
      <c r="AC300" s="118"/>
      <c r="AD300" s="118"/>
      <c r="AE300" s="118"/>
      <c r="AF300" s="118"/>
      <c r="AG300" s="118"/>
      <c r="AH300" s="118"/>
      <c r="AI300" s="118"/>
      <c r="AJ300" s="118"/>
      <c r="AK300" s="118"/>
      <c r="AL300" s="118"/>
      <c r="AM300" s="118"/>
      <c r="AN300" s="118"/>
      <c r="AO300" s="118"/>
      <c r="AP300" s="118"/>
      <c r="AQ300" s="118"/>
      <c r="AR300" s="118"/>
      <c r="AS300" s="118"/>
      <c r="AT300" s="123"/>
      <c r="AU300" s="124"/>
      <c r="AV300" s="124"/>
      <c r="AW300" s="124"/>
      <c r="AX300" s="124"/>
      <c r="AY300" s="124"/>
      <c r="AZ300" s="124"/>
      <c r="BA300" s="124"/>
      <c r="BB300" s="124"/>
      <c r="BC300" s="124"/>
      <c r="BD300" s="124"/>
      <c r="BE300" s="124"/>
      <c r="BF300" s="124"/>
      <c r="BG300" s="124"/>
      <c r="BH300" s="124"/>
      <c r="BI300" s="124"/>
      <c r="BJ300" s="124"/>
      <c r="BK300" s="124"/>
      <c r="BL300" s="124"/>
      <c r="BM300" s="124"/>
      <c r="BN300" s="124"/>
      <c r="BO300" s="124"/>
      <c r="BP300" s="124"/>
      <c r="BQ300" s="124"/>
      <c r="BR300" s="125"/>
      <c r="BS300" s="88"/>
    </row>
    <row r="301">
      <c r="G301" s="9"/>
      <c r="H301" s="9"/>
      <c r="I301" s="9"/>
      <c r="J301" s="143"/>
      <c r="K301" s="141"/>
      <c r="L301" s="141"/>
      <c r="M301" s="141"/>
      <c r="N301" s="141"/>
      <c r="O301" s="9"/>
      <c r="P301" s="9"/>
      <c r="Q301" s="9"/>
      <c r="R301" s="142"/>
      <c r="S301" s="116"/>
      <c r="T301" s="117"/>
      <c r="U301" s="118"/>
      <c r="V301" s="118"/>
      <c r="W301" s="118"/>
      <c r="X301" s="118"/>
      <c r="Y301" s="118"/>
      <c r="Z301" s="118"/>
      <c r="AA301" s="118"/>
      <c r="AB301" s="118"/>
      <c r="AC301" s="118"/>
      <c r="AD301" s="118"/>
      <c r="AE301" s="118"/>
      <c r="AF301" s="118"/>
      <c r="AG301" s="118"/>
      <c r="AH301" s="118"/>
      <c r="AI301" s="118"/>
      <c r="AJ301" s="118"/>
      <c r="AK301" s="118"/>
      <c r="AL301" s="118"/>
      <c r="AM301" s="118"/>
      <c r="AN301" s="118"/>
      <c r="AO301" s="118"/>
      <c r="AP301" s="118"/>
      <c r="AQ301" s="118"/>
      <c r="AR301" s="118"/>
      <c r="AS301" s="118"/>
      <c r="AT301" s="123"/>
      <c r="AU301" s="124"/>
      <c r="AV301" s="124"/>
      <c r="AW301" s="124"/>
      <c r="AX301" s="124"/>
      <c r="AY301" s="124"/>
      <c r="AZ301" s="124"/>
      <c r="BA301" s="124"/>
      <c r="BB301" s="124"/>
      <c r="BC301" s="124"/>
      <c r="BD301" s="124"/>
      <c r="BE301" s="124"/>
      <c r="BF301" s="124"/>
      <c r="BG301" s="124"/>
      <c r="BH301" s="124"/>
      <c r="BI301" s="124"/>
      <c r="BJ301" s="124"/>
      <c r="BK301" s="124"/>
      <c r="BL301" s="124"/>
      <c r="BM301" s="124"/>
      <c r="BN301" s="124"/>
      <c r="BO301" s="124"/>
      <c r="BP301" s="124"/>
      <c r="BQ301" s="124"/>
      <c r="BR301" s="125"/>
      <c r="BS301" s="88"/>
    </row>
    <row r="302">
      <c r="G302" s="9"/>
      <c r="H302" s="9"/>
      <c r="I302" s="9"/>
      <c r="J302" s="143"/>
      <c r="K302" s="141"/>
      <c r="L302" s="141"/>
      <c r="M302" s="141"/>
      <c r="N302" s="141"/>
      <c r="O302" s="9"/>
      <c r="P302" s="9"/>
      <c r="Q302" s="9"/>
      <c r="R302" s="142"/>
      <c r="S302" s="116"/>
      <c r="T302" s="117"/>
      <c r="U302" s="118"/>
      <c r="V302" s="118"/>
      <c r="W302" s="118"/>
      <c r="X302" s="118"/>
      <c r="Y302" s="118"/>
      <c r="Z302" s="118"/>
      <c r="AA302" s="118"/>
      <c r="AB302" s="118"/>
      <c r="AC302" s="118"/>
      <c r="AD302" s="118"/>
      <c r="AE302" s="118"/>
      <c r="AF302" s="118"/>
      <c r="AG302" s="118"/>
      <c r="AH302" s="118"/>
      <c r="AI302" s="118"/>
      <c r="AJ302" s="118"/>
      <c r="AK302" s="118"/>
      <c r="AL302" s="118"/>
      <c r="AM302" s="118"/>
      <c r="AN302" s="118"/>
      <c r="AO302" s="118"/>
      <c r="AP302" s="118"/>
      <c r="AQ302" s="118"/>
      <c r="AR302" s="118"/>
      <c r="AS302" s="118"/>
      <c r="AT302" s="123"/>
      <c r="AU302" s="124"/>
      <c r="AV302" s="124"/>
      <c r="AW302" s="124"/>
      <c r="AX302" s="124"/>
      <c r="AY302" s="124"/>
      <c r="AZ302" s="124"/>
      <c r="BA302" s="124"/>
      <c r="BB302" s="124"/>
      <c r="BC302" s="124"/>
      <c r="BD302" s="124"/>
      <c r="BE302" s="124"/>
      <c r="BF302" s="124"/>
      <c r="BG302" s="124"/>
      <c r="BH302" s="124"/>
      <c r="BI302" s="124"/>
      <c r="BJ302" s="124"/>
      <c r="BK302" s="124"/>
      <c r="BL302" s="124"/>
      <c r="BM302" s="124"/>
      <c r="BN302" s="124"/>
      <c r="BO302" s="124"/>
      <c r="BP302" s="124"/>
      <c r="BQ302" s="124"/>
      <c r="BR302" s="125"/>
      <c r="BS302" s="88"/>
    </row>
    <row r="303">
      <c r="G303" s="9"/>
      <c r="H303" s="9"/>
      <c r="I303" s="9"/>
      <c r="J303" s="143"/>
      <c r="K303" s="141"/>
      <c r="L303" s="141"/>
      <c r="M303" s="141"/>
      <c r="N303" s="141"/>
      <c r="O303" s="9"/>
      <c r="P303" s="9"/>
      <c r="Q303" s="9"/>
      <c r="R303" s="142"/>
      <c r="S303" s="116"/>
      <c r="T303" s="117"/>
      <c r="U303" s="118"/>
      <c r="V303" s="118"/>
      <c r="W303" s="118"/>
      <c r="X303" s="118"/>
      <c r="Y303" s="118"/>
      <c r="Z303" s="118"/>
      <c r="AA303" s="118"/>
      <c r="AB303" s="118"/>
      <c r="AC303" s="118"/>
      <c r="AD303" s="118"/>
      <c r="AE303" s="118"/>
      <c r="AF303" s="118"/>
      <c r="AG303" s="118"/>
      <c r="AH303" s="118"/>
      <c r="AI303" s="118"/>
      <c r="AJ303" s="118"/>
      <c r="AK303" s="118"/>
      <c r="AL303" s="118"/>
      <c r="AM303" s="118"/>
      <c r="AN303" s="118"/>
      <c r="AO303" s="118"/>
      <c r="AP303" s="118"/>
      <c r="AQ303" s="118"/>
      <c r="AR303" s="118"/>
      <c r="AS303" s="118"/>
      <c r="AT303" s="123"/>
      <c r="AU303" s="124"/>
      <c r="AV303" s="124"/>
      <c r="AW303" s="124"/>
      <c r="AX303" s="124"/>
      <c r="AY303" s="124"/>
      <c r="AZ303" s="124"/>
      <c r="BA303" s="124"/>
      <c r="BB303" s="124"/>
      <c r="BC303" s="124"/>
      <c r="BD303" s="124"/>
      <c r="BE303" s="124"/>
      <c r="BF303" s="124"/>
      <c r="BG303" s="124"/>
      <c r="BH303" s="124"/>
      <c r="BI303" s="124"/>
      <c r="BJ303" s="124"/>
      <c r="BK303" s="124"/>
      <c r="BL303" s="124"/>
      <c r="BM303" s="124"/>
      <c r="BN303" s="124"/>
      <c r="BO303" s="124"/>
      <c r="BP303" s="124"/>
      <c r="BQ303" s="124"/>
      <c r="BR303" s="125"/>
      <c r="BS303" s="88"/>
    </row>
    <row r="304">
      <c r="G304" s="9"/>
      <c r="H304" s="9"/>
      <c r="I304" s="9"/>
      <c r="J304" s="143"/>
      <c r="K304" s="141"/>
      <c r="L304" s="141"/>
      <c r="M304" s="141"/>
      <c r="N304" s="141"/>
      <c r="O304" s="9"/>
      <c r="P304" s="9"/>
      <c r="Q304" s="9"/>
      <c r="R304" s="142"/>
      <c r="S304" s="116"/>
      <c r="T304" s="117"/>
      <c r="U304" s="118"/>
      <c r="V304" s="118"/>
      <c r="W304" s="118"/>
      <c r="X304" s="118"/>
      <c r="Y304" s="118"/>
      <c r="Z304" s="118"/>
      <c r="AA304" s="118"/>
      <c r="AB304" s="118"/>
      <c r="AC304" s="118"/>
      <c r="AD304" s="118"/>
      <c r="AE304" s="118"/>
      <c r="AF304" s="118"/>
      <c r="AG304" s="118"/>
      <c r="AH304" s="118"/>
      <c r="AI304" s="118"/>
      <c r="AJ304" s="118"/>
      <c r="AK304" s="118"/>
      <c r="AL304" s="118"/>
      <c r="AM304" s="118"/>
      <c r="AN304" s="118"/>
      <c r="AO304" s="118"/>
      <c r="AP304" s="118"/>
      <c r="AQ304" s="118"/>
      <c r="AR304" s="118"/>
      <c r="AS304" s="118"/>
      <c r="AT304" s="123"/>
      <c r="AU304" s="124"/>
      <c r="AV304" s="124"/>
      <c r="AW304" s="124"/>
      <c r="AX304" s="124"/>
      <c r="AY304" s="124"/>
      <c r="AZ304" s="124"/>
      <c r="BA304" s="124"/>
      <c r="BB304" s="124"/>
      <c r="BC304" s="124"/>
      <c r="BD304" s="124"/>
      <c r="BE304" s="124"/>
      <c r="BF304" s="124"/>
      <c r="BG304" s="124"/>
      <c r="BH304" s="124"/>
      <c r="BI304" s="124"/>
      <c r="BJ304" s="124"/>
      <c r="BK304" s="124"/>
      <c r="BL304" s="124"/>
      <c r="BM304" s="124"/>
      <c r="BN304" s="124"/>
      <c r="BO304" s="124"/>
      <c r="BP304" s="124"/>
      <c r="BQ304" s="124"/>
      <c r="BR304" s="125"/>
      <c r="BS304" s="88"/>
    </row>
    <row r="305">
      <c r="G305" s="9"/>
      <c r="H305" s="9"/>
      <c r="I305" s="9"/>
      <c r="J305" s="143"/>
      <c r="K305" s="141"/>
      <c r="L305" s="141"/>
      <c r="M305" s="141"/>
      <c r="N305" s="141"/>
      <c r="O305" s="9"/>
      <c r="P305" s="9"/>
      <c r="Q305" s="9"/>
      <c r="R305" s="142"/>
      <c r="S305" s="116"/>
      <c r="T305" s="117"/>
      <c r="U305" s="118"/>
      <c r="V305" s="118"/>
      <c r="W305" s="118"/>
      <c r="X305" s="118"/>
      <c r="Y305" s="118"/>
      <c r="Z305" s="118"/>
      <c r="AA305" s="118"/>
      <c r="AB305" s="118"/>
      <c r="AC305" s="118"/>
      <c r="AD305" s="118"/>
      <c r="AE305" s="118"/>
      <c r="AF305" s="118"/>
      <c r="AG305" s="118"/>
      <c r="AH305" s="118"/>
      <c r="AI305" s="118"/>
      <c r="AJ305" s="118"/>
      <c r="AK305" s="118"/>
      <c r="AL305" s="118"/>
      <c r="AM305" s="118"/>
      <c r="AN305" s="118"/>
      <c r="AO305" s="118"/>
      <c r="AP305" s="118"/>
      <c r="AQ305" s="118"/>
      <c r="AR305" s="118"/>
      <c r="AS305" s="118"/>
      <c r="AT305" s="123"/>
      <c r="AU305" s="124"/>
      <c r="AV305" s="124"/>
      <c r="AW305" s="124"/>
      <c r="AX305" s="124"/>
      <c r="AY305" s="124"/>
      <c r="AZ305" s="124"/>
      <c r="BA305" s="124"/>
      <c r="BB305" s="124"/>
      <c r="BC305" s="124"/>
      <c r="BD305" s="124"/>
      <c r="BE305" s="124"/>
      <c r="BF305" s="124"/>
      <c r="BG305" s="124"/>
      <c r="BH305" s="124"/>
      <c r="BI305" s="124"/>
      <c r="BJ305" s="124"/>
      <c r="BK305" s="124"/>
      <c r="BL305" s="124"/>
      <c r="BM305" s="124"/>
      <c r="BN305" s="124"/>
      <c r="BO305" s="124"/>
      <c r="BP305" s="124"/>
      <c r="BQ305" s="124"/>
      <c r="BR305" s="125"/>
      <c r="BS305" s="88"/>
    </row>
    <row r="306">
      <c r="G306" s="9"/>
      <c r="H306" s="9"/>
      <c r="I306" s="9"/>
      <c r="J306" s="143"/>
      <c r="K306" s="141"/>
      <c r="L306" s="141"/>
      <c r="M306" s="141"/>
      <c r="N306" s="141"/>
      <c r="O306" s="9"/>
      <c r="P306" s="9"/>
      <c r="Q306" s="9"/>
      <c r="R306" s="142"/>
      <c r="S306" s="116"/>
      <c r="T306" s="117"/>
      <c r="U306" s="118"/>
      <c r="V306" s="118"/>
      <c r="W306" s="118"/>
      <c r="X306" s="118"/>
      <c r="Y306" s="118"/>
      <c r="Z306" s="118"/>
      <c r="AA306" s="118"/>
      <c r="AB306" s="118"/>
      <c r="AC306" s="118"/>
      <c r="AD306" s="118"/>
      <c r="AE306" s="118"/>
      <c r="AF306" s="118"/>
      <c r="AG306" s="118"/>
      <c r="AH306" s="118"/>
      <c r="AI306" s="118"/>
      <c r="AJ306" s="118"/>
      <c r="AK306" s="118"/>
      <c r="AL306" s="118"/>
      <c r="AM306" s="118"/>
      <c r="AN306" s="118"/>
      <c r="AO306" s="118"/>
      <c r="AP306" s="118"/>
      <c r="AQ306" s="118"/>
      <c r="AR306" s="118"/>
      <c r="AS306" s="118"/>
      <c r="AT306" s="123"/>
      <c r="AU306" s="124"/>
      <c r="AV306" s="124"/>
      <c r="AW306" s="124"/>
      <c r="AX306" s="124"/>
      <c r="AY306" s="124"/>
      <c r="AZ306" s="124"/>
      <c r="BA306" s="124"/>
      <c r="BB306" s="124"/>
      <c r="BC306" s="124"/>
      <c r="BD306" s="124"/>
      <c r="BE306" s="124"/>
      <c r="BF306" s="124"/>
      <c r="BG306" s="124"/>
      <c r="BH306" s="124"/>
      <c r="BI306" s="124"/>
      <c r="BJ306" s="124"/>
      <c r="BK306" s="124"/>
      <c r="BL306" s="124"/>
      <c r="BM306" s="124"/>
      <c r="BN306" s="124"/>
      <c r="BO306" s="124"/>
      <c r="BP306" s="124"/>
      <c r="BQ306" s="124"/>
      <c r="BR306" s="125"/>
      <c r="BS306" s="88"/>
    </row>
    <row r="307">
      <c r="G307" s="9"/>
      <c r="H307" s="9"/>
      <c r="I307" s="9"/>
      <c r="J307" s="143"/>
      <c r="K307" s="141"/>
      <c r="L307" s="141"/>
      <c r="M307" s="141"/>
      <c r="N307" s="141"/>
      <c r="O307" s="9"/>
      <c r="P307" s="9"/>
      <c r="Q307" s="9"/>
      <c r="R307" s="142"/>
      <c r="S307" s="116"/>
      <c r="T307" s="117"/>
      <c r="U307" s="118"/>
      <c r="V307" s="118"/>
      <c r="W307" s="118"/>
      <c r="X307" s="118"/>
      <c r="Y307" s="118"/>
      <c r="Z307" s="118"/>
      <c r="AA307" s="118"/>
      <c r="AB307" s="118"/>
      <c r="AC307" s="118"/>
      <c r="AD307" s="118"/>
      <c r="AE307" s="118"/>
      <c r="AF307" s="118"/>
      <c r="AG307" s="118"/>
      <c r="AH307" s="118"/>
      <c r="AI307" s="118"/>
      <c r="AJ307" s="118"/>
      <c r="AK307" s="118"/>
      <c r="AL307" s="118"/>
      <c r="AM307" s="118"/>
      <c r="AN307" s="118"/>
      <c r="AO307" s="118"/>
      <c r="AP307" s="118"/>
      <c r="AQ307" s="118"/>
      <c r="AR307" s="118"/>
      <c r="AS307" s="118"/>
      <c r="AT307" s="123"/>
      <c r="AU307" s="124"/>
      <c r="AV307" s="124"/>
      <c r="AW307" s="124"/>
      <c r="AX307" s="124"/>
      <c r="AY307" s="124"/>
      <c r="AZ307" s="124"/>
      <c r="BA307" s="124"/>
      <c r="BB307" s="124"/>
      <c r="BC307" s="124"/>
      <c r="BD307" s="124"/>
      <c r="BE307" s="124"/>
      <c r="BF307" s="124"/>
      <c r="BG307" s="124"/>
      <c r="BH307" s="124"/>
      <c r="BI307" s="124"/>
      <c r="BJ307" s="124"/>
      <c r="BK307" s="124"/>
      <c r="BL307" s="124"/>
      <c r="BM307" s="124"/>
      <c r="BN307" s="124"/>
      <c r="BO307" s="124"/>
      <c r="BP307" s="124"/>
      <c r="BQ307" s="124"/>
      <c r="BR307" s="125"/>
      <c r="BS307" s="88"/>
    </row>
    <row r="308">
      <c r="G308" s="9"/>
      <c r="H308" s="9"/>
      <c r="I308" s="9"/>
      <c r="J308" s="143"/>
      <c r="K308" s="141"/>
      <c r="L308" s="141"/>
      <c r="M308" s="141"/>
      <c r="N308" s="141"/>
      <c r="O308" s="9"/>
      <c r="P308" s="9"/>
      <c r="Q308" s="9"/>
      <c r="R308" s="142"/>
      <c r="S308" s="116"/>
      <c r="T308" s="117"/>
      <c r="U308" s="118"/>
      <c r="V308" s="118"/>
      <c r="W308" s="118"/>
      <c r="X308" s="118"/>
      <c r="Y308" s="118"/>
      <c r="Z308" s="118"/>
      <c r="AA308" s="118"/>
      <c r="AB308" s="118"/>
      <c r="AC308" s="118"/>
      <c r="AD308" s="118"/>
      <c r="AE308" s="118"/>
      <c r="AF308" s="118"/>
      <c r="AG308" s="118"/>
      <c r="AH308" s="118"/>
      <c r="AI308" s="118"/>
      <c r="AJ308" s="118"/>
      <c r="AK308" s="118"/>
      <c r="AL308" s="118"/>
      <c r="AM308" s="118"/>
      <c r="AN308" s="118"/>
      <c r="AO308" s="118"/>
      <c r="AP308" s="118"/>
      <c r="AQ308" s="118"/>
      <c r="AR308" s="118"/>
      <c r="AS308" s="118"/>
      <c r="AT308" s="123"/>
      <c r="AU308" s="124"/>
      <c r="AV308" s="124"/>
      <c r="AW308" s="124"/>
      <c r="AX308" s="124"/>
      <c r="AY308" s="124"/>
      <c r="AZ308" s="124"/>
      <c r="BA308" s="124"/>
      <c r="BB308" s="124"/>
      <c r="BC308" s="124"/>
      <c r="BD308" s="124"/>
      <c r="BE308" s="124"/>
      <c r="BF308" s="124"/>
      <c r="BG308" s="124"/>
      <c r="BH308" s="124"/>
      <c r="BI308" s="124"/>
      <c r="BJ308" s="124"/>
      <c r="BK308" s="124"/>
      <c r="BL308" s="124"/>
      <c r="BM308" s="124"/>
      <c r="BN308" s="124"/>
      <c r="BO308" s="124"/>
      <c r="BP308" s="124"/>
      <c r="BQ308" s="124"/>
      <c r="BR308" s="125"/>
      <c r="BS308" s="88"/>
    </row>
    <row r="309">
      <c r="G309" s="9"/>
      <c r="H309" s="9"/>
      <c r="I309" s="9"/>
      <c r="J309" s="143"/>
      <c r="K309" s="141"/>
      <c r="L309" s="141"/>
      <c r="M309" s="141"/>
      <c r="N309" s="141"/>
      <c r="O309" s="9"/>
      <c r="P309" s="9"/>
      <c r="Q309" s="9"/>
      <c r="R309" s="142"/>
      <c r="S309" s="116"/>
      <c r="T309" s="117"/>
      <c r="U309" s="118"/>
      <c r="V309" s="118"/>
      <c r="W309" s="118"/>
      <c r="X309" s="118"/>
      <c r="Y309" s="118"/>
      <c r="Z309" s="118"/>
      <c r="AA309" s="118"/>
      <c r="AB309" s="118"/>
      <c r="AC309" s="118"/>
      <c r="AD309" s="118"/>
      <c r="AE309" s="118"/>
      <c r="AF309" s="118"/>
      <c r="AG309" s="118"/>
      <c r="AH309" s="118"/>
      <c r="AI309" s="118"/>
      <c r="AJ309" s="118"/>
      <c r="AK309" s="118"/>
      <c r="AL309" s="118"/>
      <c r="AM309" s="118"/>
      <c r="AN309" s="118"/>
      <c r="AO309" s="118"/>
      <c r="AP309" s="118"/>
      <c r="AQ309" s="118"/>
      <c r="AR309" s="118"/>
      <c r="AS309" s="118"/>
      <c r="AT309" s="123"/>
      <c r="AU309" s="124"/>
      <c r="AV309" s="124"/>
      <c r="AW309" s="124"/>
      <c r="AX309" s="124"/>
      <c r="AY309" s="124"/>
      <c r="AZ309" s="124"/>
      <c r="BA309" s="124"/>
      <c r="BB309" s="124"/>
      <c r="BC309" s="124"/>
      <c r="BD309" s="124"/>
      <c r="BE309" s="124"/>
      <c r="BF309" s="124"/>
      <c r="BG309" s="124"/>
      <c r="BH309" s="124"/>
      <c r="BI309" s="124"/>
      <c r="BJ309" s="124"/>
      <c r="BK309" s="124"/>
      <c r="BL309" s="124"/>
      <c r="BM309" s="124"/>
      <c r="BN309" s="124"/>
      <c r="BO309" s="124"/>
      <c r="BP309" s="124"/>
      <c r="BQ309" s="124"/>
      <c r="BR309" s="125"/>
      <c r="BS309" s="88"/>
    </row>
    <row r="310">
      <c r="G310" s="9"/>
      <c r="H310" s="9"/>
      <c r="I310" s="9"/>
      <c r="J310" s="143"/>
      <c r="K310" s="141"/>
      <c r="L310" s="141"/>
      <c r="M310" s="141"/>
      <c r="N310" s="141"/>
      <c r="O310" s="9"/>
      <c r="P310" s="9"/>
      <c r="Q310" s="9"/>
      <c r="R310" s="142"/>
      <c r="S310" s="116"/>
      <c r="T310" s="117"/>
      <c r="U310" s="118"/>
      <c r="V310" s="118"/>
      <c r="W310" s="118"/>
      <c r="X310" s="118"/>
      <c r="Y310" s="118"/>
      <c r="Z310" s="118"/>
      <c r="AA310" s="118"/>
      <c r="AB310" s="118"/>
      <c r="AC310" s="118"/>
      <c r="AD310" s="118"/>
      <c r="AE310" s="118"/>
      <c r="AF310" s="118"/>
      <c r="AG310" s="118"/>
      <c r="AH310" s="118"/>
      <c r="AI310" s="118"/>
      <c r="AJ310" s="118"/>
      <c r="AK310" s="118"/>
      <c r="AL310" s="118"/>
      <c r="AM310" s="118"/>
      <c r="AN310" s="118"/>
      <c r="AO310" s="118"/>
      <c r="AP310" s="118"/>
      <c r="AQ310" s="118"/>
      <c r="AR310" s="118"/>
      <c r="AS310" s="118"/>
      <c r="AT310" s="123"/>
      <c r="AU310" s="124"/>
      <c r="AV310" s="124"/>
      <c r="AW310" s="124"/>
      <c r="AX310" s="124"/>
      <c r="AY310" s="124"/>
      <c r="AZ310" s="124"/>
      <c r="BA310" s="124"/>
      <c r="BB310" s="124"/>
      <c r="BC310" s="124"/>
      <c r="BD310" s="124"/>
      <c r="BE310" s="124"/>
      <c r="BF310" s="124"/>
      <c r="BG310" s="124"/>
      <c r="BH310" s="124"/>
      <c r="BI310" s="124"/>
      <c r="BJ310" s="124"/>
      <c r="BK310" s="124"/>
      <c r="BL310" s="124"/>
      <c r="BM310" s="124"/>
      <c r="BN310" s="124"/>
      <c r="BO310" s="124"/>
      <c r="BP310" s="124"/>
      <c r="BQ310" s="124"/>
      <c r="BR310" s="125"/>
      <c r="BS310" s="88"/>
    </row>
    <row r="311">
      <c r="G311" s="9"/>
      <c r="H311" s="9"/>
      <c r="I311" s="9"/>
      <c r="J311" s="143"/>
      <c r="K311" s="141"/>
      <c r="L311" s="141"/>
      <c r="M311" s="141"/>
      <c r="N311" s="141"/>
      <c r="O311" s="9"/>
      <c r="P311" s="9"/>
      <c r="Q311" s="9"/>
      <c r="R311" s="142"/>
      <c r="S311" s="116"/>
      <c r="T311" s="117"/>
      <c r="U311" s="118"/>
      <c r="V311" s="118"/>
      <c r="W311" s="118"/>
      <c r="X311" s="118"/>
      <c r="Y311" s="118"/>
      <c r="Z311" s="118"/>
      <c r="AA311" s="118"/>
      <c r="AB311" s="118"/>
      <c r="AC311" s="118"/>
      <c r="AD311" s="118"/>
      <c r="AE311" s="118"/>
      <c r="AF311" s="118"/>
      <c r="AG311" s="118"/>
      <c r="AH311" s="118"/>
      <c r="AI311" s="118"/>
      <c r="AJ311" s="118"/>
      <c r="AK311" s="118"/>
      <c r="AL311" s="118"/>
      <c r="AM311" s="118"/>
      <c r="AN311" s="118"/>
      <c r="AO311" s="118"/>
      <c r="AP311" s="118"/>
      <c r="AQ311" s="118"/>
      <c r="AR311" s="118"/>
      <c r="AS311" s="118"/>
      <c r="AT311" s="123"/>
      <c r="AU311" s="124"/>
      <c r="AV311" s="124"/>
      <c r="AW311" s="124"/>
      <c r="AX311" s="124"/>
      <c r="AY311" s="124"/>
      <c r="AZ311" s="124"/>
      <c r="BA311" s="124"/>
      <c r="BB311" s="124"/>
      <c r="BC311" s="124"/>
      <c r="BD311" s="124"/>
      <c r="BE311" s="124"/>
      <c r="BF311" s="124"/>
      <c r="BG311" s="124"/>
      <c r="BH311" s="124"/>
      <c r="BI311" s="124"/>
      <c r="BJ311" s="124"/>
      <c r="BK311" s="124"/>
      <c r="BL311" s="124"/>
      <c r="BM311" s="124"/>
      <c r="BN311" s="124"/>
      <c r="BO311" s="124"/>
      <c r="BP311" s="124"/>
      <c r="BQ311" s="124"/>
      <c r="BR311" s="125"/>
      <c r="BS311" s="88"/>
    </row>
    <row r="312">
      <c r="G312" s="9"/>
      <c r="H312" s="9"/>
      <c r="I312" s="9"/>
      <c r="J312" s="143"/>
      <c r="K312" s="141"/>
      <c r="L312" s="141"/>
      <c r="M312" s="141"/>
      <c r="N312" s="141"/>
      <c r="O312" s="9"/>
      <c r="P312" s="9"/>
      <c r="Q312" s="9"/>
      <c r="R312" s="142"/>
      <c r="S312" s="116"/>
      <c r="T312" s="117"/>
      <c r="U312" s="118"/>
      <c r="V312" s="118"/>
      <c r="W312" s="118"/>
      <c r="X312" s="118"/>
      <c r="Y312" s="118"/>
      <c r="Z312" s="118"/>
      <c r="AA312" s="118"/>
      <c r="AB312" s="118"/>
      <c r="AC312" s="118"/>
      <c r="AD312" s="118"/>
      <c r="AE312" s="118"/>
      <c r="AF312" s="118"/>
      <c r="AG312" s="118"/>
      <c r="AH312" s="118"/>
      <c r="AI312" s="118"/>
      <c r="AJ312" s="118"/>
      <c r="AK312" s="118"/>
      <c r="AL312" s="118"/>
      <c r="AM312" s="118"/>
      <c r="AN312" s="118"/>
      <c r="AO312" s="118"/>
      <c r="AP312" s="118"/>
      <c r="AQ312" s="118"/>
      <c r="AR312" s="118"/>
      <c r="AS312" s="118"/>
      <c r="AT312" s="123"/>
      <c r="AU312" s="124"/>
      <c r="AV312" s="124"/>
      <c r="AW312" s="124"/>
      <c r="AX312" s="124"/>
      <c r="AY312" s="124"/>
      <c r="AZ312" s="124"/>
      <c r="BA312" s="124"/>
      <c r="BB312" s="124"/>
      <c r="BC312" s="124"/>
      <c r="BD312" s="124"/>
      <c r="BE312" s="124"/>
      <c r="BF312" s="124"/>
      <c r="BG312" s="124"/>
      <c r="BH312" s="124"/>
      <c r="BI312" s="124"/>
      <c r="BJ312" s="124"/>
      <c r="BK312" s="124"/>
      <c r="BL312" s="124"/>
      <c r="BM312" s="124"/>
      <c r="BN312" s="124"/>
      <c r="BO312" s="124"/>
      <c r="BP312" s="124"/>
      <c r="BQ312" s="124"/>
      <c r="BR312" s="125"/>
      <c r="BS312" s="88"/>
    </row>
    <row r="313">
      <c r="G313" s="9"/>
      <c r="H313" s="9"/>
      <c r="I313" s="9"/>
      <c r="J313" s="143"/>
      <c r="K313" s="141"/>
      <c r="L313" s="141"/>
      <c r="M313" s="141"/>
      <c r="N313" s="141"/>
      <c r="O313" s="9"/>
      <c r="P313" s="9"/>
      <c r="Q313" s="9"/>
      <c r="R313" s="142"/>
      <c r="S313" s="116"/>
      <c r="T313" s="117"/>
      <c r="U313" s="118"/>
      <c r="V313" s="118"/>
      <c r="W313" s="118"/>
      <c r="X313" s="118"/>
      <c r="Y313" s="118"/>
      <c r="Z313" s="118"/>
      <c r="AA313" s="118"/>
      <c r="AB313" s="118"/>
      <c r="AC313" s="118"/>
      <c r="AD313" s="118"/>
      <c r="AE313" s="118"/>
      <c r="AF313" s="118"/>
      <c r="AG313" s="118"/>
      <c r="AH313" s="118"/>
      <c r="AI313" s="118"/>
      <c r="AJ313" s="118"/>
      <c r="AK313" s="118"/>
      <c r="AL313" s="118"/>
      <c r="AM313" s="118"/>
      <c r="AN313" s="118"/>
      <c r="AO313" s="118"/>
      <c r="AP313" s="118"/>
      <c r="AQ313" s="118"/>
      <c r="AR313" s="118"/>
      <c r="AS313" s="118"/>
      <c r="AT313" s="123"/>
      <c r="AU313" s="124"/>
      <c r="AV313" s="124"/>
      <c r="AW313" s="124"/>
      <c r="AX313" s="124"/>
      <c r="AY313" s="124"/>
      <c r="AZ313" s="124"/>
      <c r="BA313" s="124"/>
      <c r="BB313" s="124"/>
      <c r="BC313" s="124"/>
      <c r="BD313" s="124"/>
      <c r="BE313" s="124"/>
      <c r="BF313" s="124"/>
      <c r="BG313" s="124"/>
      <c r="BH313" s="124"/>
      <c r="BI313" s="124"/>
      <c r="BJ313" s="124"/>
      <c r="BK313" s="124"/>
      <c r="BL313" s="124"/>
      <c r="BM313" s="124"/>
      <c r="BN313" s="124"/>
      <c r="BO313" s="124"/>
      <c r="BP313" s="124"/>
      <c r="BQ313" s="124"/>
      <c r="BR313" s="125"/>
      <c r="BS313" s="88"/>
    </row>
    <row r="314">
      <c r="G314" s="9"/>
      <c r="H314" s="9"/>
      <c r="I314" s="9"/>
      <c r="J314" s="143"/>
      <c r="K314" s="141"/>
      <c r="L314" s="141"/>
      <c r="M314" s="141"/>
      <c r="N314" s="141"/>
      <c r="O314" s="9"/>
      <c r="P314" s="9"/>
      <c r="Q314" s="9"/>
      <c r="R314" s="142"/>
      <c r="S314" s="116"/>
      <c r="T314" s="117"/>
      <c r="U314" s="118"/>
      <c r="V314" s="118"/>
      <c r="W314" s="118"/>
      <c r="X314" s="118"/>
      <c r="Y314" s="118"/>
      <c r="Z314" s="118"/>
      <c r="AA314" s="118"/>
      <c r="AB314" s="118"/>
      <c r="AC314" s="118"/>
      <c r="AD314" s="118"/>
      <c r="AE314" s="118"/>
      <c r="AF314" s="118"/>
      <c r="AG314" s="118"/>
      <c r="AH314" s="118"/>
      <c r="AI314" s="118"/>
      <c r="AJ314" s="118"/>
      <c r="AK314" s="118"/>
      <c r="AL314" s="118"/>
      <c r="AM314" s="118"/>
      <c r="AN314" s="118"/>
      <c r="AO314" s="118"/>
      <c r="AP314" s="118"/>
      <c r="AQ314" s="118"/>
      <c r="AR314" s="118"/>
      <c r="AS314" s="118"/>
      <c r="AT314" s="123"/>
      <c r="AU314" s="124"/>
      <c r="AV314" s="124"/>
      <c r="AW314" s="124"/>
      <c r="AX314" s="124"/>
      <c r="AY314" s="124"/>
      <c r="AZ314" s="124"/>
      <c r="BA314" s="124"/>
      <c r="BB314" s="124"/>
      <c r="BC314" s="124"/>
      <c r="BD314" s="124"/>
      <c r="BE314" s="124"/>
      <c r="BF314" s="124"/>
      <c r="BG314" s="124"/>
      <c r="BH314" s="124"/>
      <c r="BI314" s="124"/>
      <c r="BJ314" s="124"/>
      <c r="BK314" s="124"/>
      <c r="BL314" s="124"/>
      <c r="BM314" s="124"/>
      <c r="BN314" s="124"/>
      <c r="BO314" s="124"/>
      <c r="BP314" s="124"/>
      <c r="BQ314" s="124"/>
      <c r="BR314" s="125"/>
      <c r="BS314" s="88"/>
    </row>
    <row r="315">
      <c r="G315" s="9"/>
      <c r="H315" s="9"/>
      <c r="I315" s="9"/>
      <c r="J315" s="143"/>
      <c r="K315" s="141"/>
      <c r="L315" s="141"/>
      <c r="M315" s="141"/>
      <c r="N315" s="141"/>
      <c r="O315" s="9"/>
      <c r="P315" s="9"/>
      <c r="Q315" s="9"/>
      <c r="R315" s="142"/>
      <c r="S315" s="116"/>
      <c r="T315" s="117"/>
      <c r="U315" s="118"/>
      <c r="V315" s="118"/>
      <c r="W315" s="118"/>
      <c r="X315" s="118"/>
      <c r="Y315" s="118"/>
      <c r="Z315" s="118"/>
      <c r="AA315" s="118"/>
      <c r="AB315" s="118"/>
      <c r="AC315" s="118"/>
      <c r="AD315" s="118"/>
      <c r="AE315" s="118"/>
      <c r="AF315" s="118"/>
      <c r="AG315" s="118"/>
      <c r="AH315" s="118"/>
      <c r="AI315" s="118"/>
      <c r="AJ315" s="118"/>
      <c r="AK315" s="118"/>
      <c r="AL315" s="118"/>
      <c r="AM315" s="118"/>
      <c r="AN315" s="118"/>
      <c r="AO315" s="118"/>
      <c r="AP315" s="118"/>
      <c r="AQ315" s="118"/>
      <c r="AR315" s="118"/>
      <c r="AS315" s="118"/>
      <c r="AT315" s="123"/>
      <c r="AU315" s="124"/>
      <c r="AV315" s="124"/>
      <c r="AW315" s="124"/>
      <c r="AX315" s="124"/>
      <c r="AY315" s="124"/>
      <c r="AZ315" s="124"/>
      <c r="BA315" s="124"/>
      <c r="BB315" s="124"/>
      <c r="BC315" s="124"/>
      <c r="BD315" s="124"/>
      <c r="BE315" s="124"/>
      <c r="BF315" s="124"/>
      <c r="BG315" s="124"/>
      <c r="BH315" s="124"/>
      <c r="BI315" s="124"/>
      <c r="BJ315" s="124"/>
      <c r="BK315" s="124"/>
      <c r="BL315" s="124"/>
      <c r="BM315" s="124"/>
      <c r="BN315" s="124"/>
      <c r="BO315" s="124"/>
      <c r="BP315" s="124"/>
      <c r="BQ315" s="124"/>
      <c r="BR315" s="125"/>
      <c r="BS315" s="88"/>
    </row>
    <row r="316">
      <c r="G316" s="9"/>
      <c r="H316" s="9"/>
      <c r="I316" s="9"/>
      <c r="J316" s="143"/>
      <c r="K316" s="141"/>
      <c r="L316" s="141"/>
      <c r="M316" s="141"/>
      <c r="N316" s="141"/>
      <c r="O316" s="9"/>
      <c r="P316" s="9"/>
      <c r="Q316" s="9"/>
      <c r="R316" s="142"/>
      <c r="S316" s="116"/>
      <c r="T316" s="117"/>
      <c r="U316" s="118"/>
      <c r="V316" s="118"/>
      <c r="W316" s="118"/>
      <c r="X316" s="118"/>
      <c r="Y316" s="118"/>
      <c r="Z316" s="118"/>
      <c r="AA316" s="118"/>
      <c r="AB316" s="118"/>
      <c r="AC316" s="118"/>
      <c r="AD316" s="118"/>
      <c r="AE316" s="118"/>
      <c r="AF316" s="118"/>
      <c r="AG316" s="118"/>
      <c r="AH316" s="118"/>
      <c r="AI316" s="118"/>
      <c r="AJ316" s="118"/>
      <c r="AK316" s="118"/>
      <c r="AL316" s="118"/>
      <c r="AM316" s="118"/>
      <c r="AN316" s="118"/>
      <c r="AO316" s="118"/>
      <c r="AP316" s="118"/>
      <c r="AQ316" s="118"/>
      <c r="AR316" s="118"/>
      <c r="AS316" s="118"/>
      <c r="AT316" s="123"/>
      <c r="AU316" s="124"/>
      <c r="AV316" s="124"/>
      <c r="AW316" s="124"/>
      <c r="AX316" s="124"/>
      <c r="AY316" s="124"/>
      <c r="AZ316" s="124"/>
      <c r="BA316" s="124"/>
      <c r="BB316" s="124"/>
      <c r="BC316" s="124"/>
      <c r="BD316" s="124"/>
      <c r="BE316" s="124"/>
      <c r="BF316" s="124"/>
      <c r="BG316" s="124"/>
      <c r="BH316" s="124"/>
      <c r="BI316" s="124"/>
      <c r="BJ316" s="124"/>
      <c r="BK316" s="124"/>
      <c r="BL316" s="124"/>
      <c r="BM316" s="124"/>
      <c r="BN316" s="124"/>
      <c r="BO316" s="124"/>
      <c r="BP316" s="124"/>
      <c r="BQ316" s="124"/>
      <c r="BR316" s="125"/>
      <c r="BS316" s="88"/>
    </row>
    <row r="317">
      <c r="G317" s="9"/>
      <c r="H317" s="9"/>
      <c r="I317" s="9"/>
      <c r="J317" s="143"/>
      <c r="K317" s="141"/>
      <c r="L317" s="141"/>
      <c r="M317" s="141"/>
      <c r="N317" s="141"/>
      <c r="O317" s="9"/>
      <c r="P317" s="9"/>
      <c r="Q317" s="9"/>
      <c r="R317" s="142"/>
      <c r="S317" s="116"/>
      <c r="T317" s="117"/>
      <c r="U317" s="118"/>
      <c r="V317" s="118"/>
      <c r="W317" s="118"/>
      <c r="X317" s="118"/>
      <c r="Y317" s="118"/>
      <c r="Z317" s="118"/>
      <c r="AA317" s="118"/>
      <c r="AB317" s="118"/>
      <c r="AC317" s="118"/>
      <c r="AD317" s="118"/>
      <c r="AE317" s="118"/>
      <c r="AF317" s="118"/>
      <c r="AG317" s="118"/>
      <c r="AH317" s="118"/>
      <c r="AI317" s="118"/>
      <c r="AJ317" s="118"/>
      <c r="AK317" s="118"/>
      <c r="AL317" s="118"/>
      <c r="AM317" s="118"/>
      <c r="AN317" s="118"/>
      <c r="AO317" s="118"/>
      <c r="AP317" s="118"/>
      <c r="AQ317" s="118"/>
      <c r="AR317" s="118"/>
      <c r="AS317" s="118"/>
      <c r="AT317" s="123"/>
      <c r="AU317" s="124"/>
      <c r="AV317" s="124"/>
      <c r="AW317" s="124"/>
      <c r="AX317" s="124"/>
      <c r="AY317" s="124"/>
      <c r="AZ317" s="124"/>
      <c r="BA317" s="124"/>
      <c r="BB317" s="124"/>
      <c r="BC317" s="124"/>
      <c r="BD317" s="124"/>
      <c r="BE317" s="124"/>
      <c r="BF317" s="124"/>
      <c r="BG317" s="124"/>
      <c r="BH317" s="124"/>
      <c r="BI317" s="124"/>
      <c r="BJ317" s="124"/>
      <c r="BK317" s="124"/>
      <c r="BL317" s="124"/>
      <c r="BM317" s="124"/>
      <c r="BN317" s="124"/>
      <c r="BO317" s="124"/>
      <c r="BP317" s="124"/>
      <c r="BQ317" s="124"/>
      <c r="BR317" s="125"/>
      <c r="BS317" s="88"/>
    </row>
    <row r="318">
      <c r="G318" s="9"/>
      <c r="H318" s="9"/>
      <c r="I318" s="9"/>
      <c r="J318" s="143"/>
      <c r="K318" s="141"/>
      <c r="L318" s="141"/>
      <c r="M318" s="141"/>
      <c r="N318" s="141"/>
      <c r="O318" s="9"/>
      <c r="P318" s="9"/>
      <c r="Q318" s="9"/>
      <c r="R318" s="142"/>
      <c r="S318" s="116"/>
      <c r="T318" s="117"/>
      <c r="U318" s="118"/>
      <c r="V318" s="118"/>
      <c r="W318" s="118"/>
      <c r="X318" s="118"/>
      <c r="Y318" s="118"/>
      <c r="Z318" s="118"/>
      <c r="AA318" s="118"/>
      <c r="AB318" s="118"/>
      <c r="AC318" s="118"/>
      <c r="AD318" s="118"/>
      <c r="AE318" s="118"/>
      <c r="AF318" s="118"/>
      <c r="AG318" s="118"/>
      <c r="AH318" s="118"/>
      <c r="AI318" s="118"/>
      <c r="AJ318" s="118"/>
      <c r="AK318" s="118"/>
      <c r="AL318" s="118"/>
      <c r="AM318" s="118"/>
      <c r="AN318" s="118"/>
      <c r="AO318" s="118"/>
      <c r="AP318" s="118"/>
      <c r="AQ318" s="118"/>
      <c r="AR318" s="118"/>
      <c r="AS318" s="118"/>
      <c r="AT318" s="123"/>
      <c r="AU318" s="124"/>
      <c r="AV318" s="124"/>
      <c r="AW318" s="124"/>
      <c r="AX318" s="124"/>
      <c r="AY318" s="124"/>
      <c r="AZ318" s="124"/>
      <c r="BA318" s="124"/>
      <c r="BB318" s="124"/>
      <c r="BC318" s="124"/>
      <c r="BD318" s="124"/>
      <c r="BE318" s="124"/>
      <c r="BF318" s="124"/>
      <c r="BG318" s="124"/>
      <c r="BH318" s="124"/>
      <c r="BI318" s="124"/>
      <c r="BJ318" s="124"/>
      <c r="BK318" s="124"/>
      <c r="BL318" s="124"/>
      <c r="BM318" s="124"/>
      <c r="BN318" s="124"/>
      <c r="BO318" s="124"/>
      <c r="BP318" s="124"/>
      <c r="BQ318" s="124"/>
      <c r="BR318" s="125"/>
      <c r="BS318" s="88"/>
    </row>
    <row r="319">
      <c r="G319" s="9"/>
      <c r="H319" s="9"/>
      <c r="I319" s="9"/>
      <c r="J319" s="143"/>
      <c r="K319" s="141"/>
      <c r="L319" s="141"/>
      <c r="M319" s="141"/>
      <c r="N319" s="141"/>
      <c r="O319" s="9"/>
      <c r="P319" s="9"/>
      <c r="Q319" s="9"/>
      <c r="R319" s="142"/>
      <c r="S319" s="116"/>
      <c r="T319" s="117"/>
      <c r="U319" s="118"/>
      <c r="V319" s="118"/>
      <c r="W319" s="118"/>
      <c r="X319" s="118"/>
      <c r="Y319" s="118"/>
      <c r="Z319" s="118"/>
      <c r="AA319" s="118"/>
      <c r="AB319" s="118"/>
      <c r="AC319" s="118"/>
      <c r="AD319" s="118"/>
      <c r="AE319" s="118"/>
      <c r="AF319" s="118"/>
      <c r="AG319" s="118"/>
      <c r="AH319" s="118"/>
      <c r="AI319" s="118"/>
      <c r="AJ319" s="118"/>
      <c r="AK319" s="118"/>
      <c r="AL319" s="118"/>
      <c r="AM319" s="118"/>
      <c r="AN319" s="118"/>
      <c r="AO319" s="118"/>
      <c r="AP319" s="118"/>
      <c r="AQ319" s="118"/>
      <c r="AR319" s="118"/>
      <c r="AS319" s="118"/>
      <c r="AT319" s="123"/>
      <c r="AU319" s="124"/>
      <c r="AV319" s="124"/>
      <c r="AW319" s="124"/>
      <c r="AX319" s="124"/>
      <c r="AY319" s="124"/>
      <c r="AZ319" s="124"/>
      <c r="BA319" s="124"/>
      <c r="BB319" s="124"/>
      <c r="BC319" s="124"/>
      <c r="BD319" s="124"/>
      <c r="BE319" s="124"/>
      <c r="BF319" s="124"/>
      <c r="BG319" s="124"/>
      <c r="BH319" s="124"/>
      <c r="BI319" s="124"/>
      <c r="BJ319" s="124"/>
      <c r="BK319" s="124"/>
      <c r="BL319" s="124"/>
      <c r="BM319" s="124"/>
      <c r="BN319" s="124"/>
      <c r="BO319" s="124"/>
      <c r="BP319" s="124"/>
      <c r="BQ319" s="124"/>
      <c r="BR319" s="125"/>
      <c r="BS319" s="88"/>
    </row>
    <row r="320">
      <c r="G320" s="9"/>
      <c r="H320" s="9"/>
      <c r="I320" s="9"/>
      <c r="J320" s="143"/>
      <c r="K320" s="141"/>
      <c r="L320" s="141"/>
      <c r="M320" s="141"/>
      <c r="N320" s="141"/>
      <c r="O320" s="9"/>
      <c r="P320" s="9"/>
      <c r="Q320" s="9"/>
      <c r="R320" s="142"/>
      <c r="S320" s="116"/>
      <c r="T320" s="117"/>
      <c r="U320" s="118"/>
      <c r="V320" s="118"/>
      <c r="W320" s="118"/>
      <c r="X320" s="118"/>
      <c r="Y320" s="118"/>
      <c r="Z320" s="118"/>
      <c r="AA320" s="118"/>
      <c r="AB320" s="118"/>
      <c r="AC320" s="118"/>
      <c r="AD320" s="118"/>
      <c r="AE320" s="118"/>
      <c r="AF320" s="118"/>
      <c r="AG320" s="118"/>
      <c r="AH320" s="118"/>
      <c r="AI320" s="118"/>
      <c r="AJ320" s="118"/>
      <c r="AK320" s="118"/>
      <c r="AL320" s="118"/>
      <c r="AM320" s="118"/>
      <c r="AN320" s="118"/>
      <c r="AO320" s="118"/>
      <c r="AP320" s="118"/>
      <c r="AQ320" s="118"/>
      <c r="AR320" s="118"/>
      <c r="AS320" s="118"/>
      <c r="AT320" s="123"/>
      <c r="AU320" s="124"/>
      <c r="AV320" s="124"/>
      <c r="AW320" s="124"/>
      <c r="AX320" s="124"/>
      <c r="AY320" s="124"/>
      <c r="AZ320" s="124"/>
      <c r="BA320" s="124"/>
      <c r="BB320" s="124"/>
      <c r="BC320" s="124"/>
      <c r="BD320" s="124"/>
      <c r="BE320" s="124"/>
      <c r="BF320" s="124"/>
      <c r="BG320" s="124"/>
      <c r="BH320" s="124"/>
      <c r="BI320" s="124"/>
      <c r="BJ320" s="124"/>
      <c r="BK320" s="124"/>
      <c r="BL320" s="124"/>
      <c r="BM320" s="124"/>
      <c r="BN320" s="124"/>
      <c r="BO320" s="124"/>
      <c r="BP320" s="124"/>
      <c r="BQ320" s="124"/>
      <c r="BR320" s="125"/>
      <c r="BS320" s="88"/>
    </row>
    <row r="321">
      <c r="G321" s="9"/>
      <c r="H321" s="9"/>
      <c r="I321" s="9"/>
      <c r="J321" s="143"/>
      <c r="K321" s="141"/>
      <c r="L321" s="141"/>
      <c r="M321" s="141"/>
      <c r="N321" s="141"/>
      <c r="O321" s="9"/>
      <c r="P321" s="9"/>
      <c r="Q321" s="9"/>
      <c r="R321" s="142"/>
      <c r="S321" s="116"/>
      <c r="T321" s="117"/>
      <c r="U321" s="118"/>
      <c r="V321" s="118"/>
      <c r="W321" s="118"/>
      <c r="X321" s="118"/>
      <c r="Y321" s="118"/>
      <c r="Z321" s="118"/>
      <c r="AA321" s="118"/>
      <c r="AB321" s="118"/>
      <c r="AC321" s="118"/>
      <c r="AD321" s="118"/>
      <c r="AE321" s="118"/>
      <c r="AF321" s="118"/>
      <c r="AG321" s="118"/>
      <c r="AH321" s="118"/>
      <c r="AI321" s="118"/>
      <c r="AJ321" s="118"/>
      <c r="AK321" s="118"/>
      <c r="AL321" s="118"/>
      <c r="AM321" s="118"/>
      <c r="AN321" s="118"/>
      <c r="AO321" s="118"/>
      <c r="AP321" s="118"/>
      <c r="AQ321" s="118"/>
      <c r="AR321" s="118"/>
      <c r="AS321" s="118"/>
      <c r="AT321" s="123"/>
      <c r="AU321" s="124"/>
      <c r="AV321" s="124"/>
      <c r="AW321" s="124"/>
      <c r="AX321" s="124"/>
      <c r="AY321" s="124"/>
      <c r="AZ321" s="124"/>
      <c r="BA321" s="124"/>
      <c r="BB321" s="124"/>
      <c r="BC321" s="124"/>
      <c r="BD321" s="124"/>
      <c r="BE321" s="124"/>
      <c r="BF321" s="124"/>
      <c r="BG321" s="124"/>
      <c r="BH321" s="124"/>
      <c r="BI321" s="124"/>
      <c r="BJ321" s="124"/>
      <c r="BK321" s="124"/>
      <c r="BL321" s="124"/>
      <c r="BM321" s="124"/>
      <c r="BN321" s="124"/>
      <c r="BO321" s="124"/>
      <c r="BP321" s="124"/>
      <c r="BQ321" s="124"/>
      <c r="BR321" s="125"/>
      <c r="BS321" s="88"/>
    </row>
    <row r="322">
      <c r="G322" s="9"/>
      <c r="H322" s="9"/>
      <c r="I322" s="9"/>
      <c r="J322" s="143"/>
      <c r="K322" s="141"/>
      <c r="L322" s="141"/>
      <c r="M322" s="141"/>
      <c r="N322" s="141"/>
      <c r="O322" s="9"/>
      <c r="P322" s="9"/>
      <c r="Q322" s="9"/>
      <c r="R322" s="142"/>
      <c r="S322" s="116"/>
      <c r="T322" s="117"/>
      <c r="U322" s="118"/>
      <c r="V322" s="118"/>
      <c r="W322" s="118"/>
      <c r="X322" s="118"/>
      <c r="Y322" s="118"/>
      <c r="Z322" s="118"/>
      <c r="AA322" s="118"/>
      <c r="AB322" s="118"/>
      <c r="AC322" s="118"/>
      <c r="AD322" s="118"/>
      <c r="AE322" s="118"/>
      <c r="AF322" s="118"/>
      <c r="AG322" s="118"/>
      <c r="AH322" s="118"/>
      <c r="AI322" s="118"/>
      <c r="AJ322" s="118"/>
      <c r="AK322" s="118"/>
      <c r="AL322" s="118"/>
      <c r="AM322" s="118"/>
      <c r="AN322" s="118"/>
      <c r="AO322" s="118"/>
      <c r="AP322" s="118"/>
      <c r="AQ322" s="118"/>
      <c r="AR322" s="118"/>
      <c r="AS322" s="118"/>
      <c r="AT322" s="123"/>
      <c r="AU322" s="124"/>
      <c r="AV322" s="124"/>
      <c r="AW322" s="124"/>
      <c r="AX322" s="124"/>
      <c r="AY322" s="124"/>
      <c r="AZ322" s="124"/>
      <c r="BA322" s="124"/>
      <c r="BB322" s="124"/>
      <c r="BC322" s="124"/>
      <c r="BD322" s="124"/>
      <c r="BE322" s="124"/>
      <c r="BF322" s="124"/>
      <c r="BG322" s="124"/>
      <c r="BH322" s="124"/>
      <c r="BI322" s="124"/>
      <c r="BJ322" s="124"/>
      <c r="BK322" s="124"/>
      <c r="BL322" s="124"/>
      <c r="BM322" s="124"/>
      <c r="BN322" s="124"/>
      <c r="BO322" s="124"/>
      <c r="BP322" s="124"/>
      <c r="BQ322" s="124"/>
      <c r="BR322" s="125"/>
      <c r="BS322" s="88"/>
    </row>
    <row r="323">
      <c r="G323" s="9"/>
      <c r="H323" s="9"/>
      <c r="I323" s="9"/>
      <c r="J323" s="143"/>
      <c r="K323" s="141"/>
      <c r="L323" s="141"/>
      <c r="M323" s="141"/>
      <c r="N323" s="141"/>
      <c r="O323" s="9"/>
      <c r="P323" s="9"/>
      <c r="Q323" s="9"/>
      <c r="R323" s="142"/>
      <c r="S323" s="116"/>
      <c r="T323" s="117"/>
      <c r="U323" s="118"/>
      <c r="V323" s="118"/>
      <c r="W323" s="118"/>
      <c r="X323" s="118"/>
      <c r="Y323" s="118"/>
      <c r="Z323" s="118"/>
      <c r="AA323" s="118"/>
      <c r="AB323" s="118"/>
      <c r="AC323" s="118"/>
      <c r="AD323" s="118"/>
      <c r="AE323" s="118"/>
      <c r="AF323" s="118"/>
      <c r="AG323" s="118"/>
      <c r="AH323" s="118"/>
      <c r="AI323" s="118"/>
      <c r="AJ323" s="118"/>
      <c r="AK323" s="118"/>
      <c r="AL323" s="118"/>
      <c r="AM323" s="118"/>
      <c r="AN323" s="118"/>
      <c r="AO323" s="118"/>
      <c r="AP323" s="118"/>
      <c r="AQ323" s="118"/>
      <c r="AR323" s="118"/>
      <c r="AS323" s="118"/>
      <c r="AT323" s="123"/>
      <c r="AU323" s="124"/>
      <c r="AV323" s="124"/>
      <c r="AW323" s="124"/>
      <c r="AX323" s="124"/>
      <c r="AY323" s="124"/>
      <c r="AZ323" s="124"/>
      <c r="BA323" s="124"/>
      <c r="BB323" s="124"/>
      <c r="BC323" s="124"/>
      <c r="BD323" s="124"/>
      <c r="BE323" s="124"/>
      <c r="BF323" s="124"/>
      <c r="BG323" s="124"/>
      <c r="BH323" s="124"/>
      <c r="BI323" s="124"/>
      <c r="BJ323" s="124"/>
      <c r="BK323" s="124"/>
      <c r="BL323" s="124"/>
      <c r="BM323" s="124"/>
      <c r="BN323" s="124"/>
      <c r="BO323" s="124"/>
      <c r="BP323" s="124"/>
      <c r="BQ323" s="124"/>
      <c r="BR323" s="125"/>
      <c r="BS323" s="88"/>
    </row>
    <row r="324">
      <c r="G324" s="9"/>
      <c r="H324" s="9"/>
      <c r="I324" s="9"/>
      <c r="J324" s="143"/>
      <c r="K324" s="141"/>
      <c r="L324" s="141"/>
      <c r="M324" s="141"/>
      <c r="N324" s="141"/>
      <c r="O324" s="9"/>
      <c r="P324" s="9"/>
      <c r="Q324" s="9"/>
      <c r="R324" s="142"/>
      <c r="S324" s="116"/>
      <c r="T324" s="117"/>
      <c r="U324" s="118"/>
      <c r="V324" s="118"/>
      <c r="W324" s="118"/>
      <c r="X324" s="118"/>
      <c r="Y324" s="118"/>
      <c r="Z324" s="118"/>
      <c r="AA324" s="118"/>
      <c r="AB324" s="118"/>
      <c r="AC324" s="118"/>
      <c r="AD324" s="118"/>
      <c r="AE324" s="118"/>
      <c r="AF324" s="118"/>
      <c r="AG324" s="118"/>
      <c r="AH324" s="118"/>
      <c r="AI324" s="118"/>
      <c r="AJ324" s="118"/>
      <c r="AK324" s="118"/>
      <c r="AL324" s="118"/>
      <c r="AM324" s="118"/>
      <c r="AN324" s="118"/>
      <c r="AO324" s="118"/>
      <c r="AP324" s="118"/>
      <c r="AQ324" s="118"/>
      <c r="AR324" s="118"/>
      <c r="AS324" s="118"/>
      <c r="AT324" s="123"/>
      <c r="AU324" s="124"/>
      <c r="AV324" s="124"/>
      <c r="AW324" s="124"/>
      <c r="AX324" s="124"/>
      <c r="AY324" s="124"/>
      <c r="AZ324" s="124"/>
      <c r="BA324" s="124"/>
      <c r="BB324" s="124"/>
      <c r="BC324" s="124"/>
      <c r="BD324" s="124"/>
      <c r="BE324" s="124"/>
      <c r="BF324" s="124"/>
      <c r="BG324" s="124"/>
      <c r="BH324" s="124"/>
      <c r="BI324" s="124"/>
      <c r="BJ324" s="124"/>
      <c r="BK324" s="124"/>
      <c r="BL324" s="124"/>
      <c r="BM324" s="124"/>
      <c r="BN324" s="124"/>
      <c r="BO324" s="124"/>
      <c r="BP324" s="124"/>
      <c r="BQ324" s="124"/>
      <c r="BR324" s="125"/>
      <c r="BS324" s="88"/>
    </row>
    <row r="325">
      <c r="G325" s="9"/>
      <c r="H325" s="9"/>
      <c r="I325" s="9"/>
      <c r="J325" s="143"/>
      <c r="K325" s="141"/>
      <c r="L325" s="141"/>
      <c r="M325" s="141"/>
      <c r="N325" s="141"/>
      <c r="O325" s="9"/>
      <c r="P325" s="9"/>
      <c r="Q325" s="9"/>
      <c r="R325" s="142"/>
      <c r="S325" s="116"/>
      <c r="T325" s="117"/>
      <c r="U325" s="118"/>
      <c r="V325" s="118"/>
      <c r="W325" s="118"/>
      <c r="X325" s="118"/>
      <c r="Y325" s="118"/>
      <c r="Z325" s="118"/>
      <c r="AA325" s="118"/>
      <c r="AB325" s="118"/>
      <c r="AC325" s="118"/>
      <c r="AD325" s="118"/>
      <c r="AE325" s="118"/>
      <c r="AF325" s="118"/>
      <c r="AG325" s="118"/>
      <c r="AH325" s="118"/>
      <c r="AI325" s="118"/>
      <c r="AJ325" s="118"/>
      <c r="AK325" s="118"/>
      <c r="AL325" s="118"/>
      <c r="AM325" s="118"/>
      <c r="AN325" s="118"/>
      <c r="AO325" s="118"/>
      <c r="AP325" s="118"/>
      <c r="AQ325" s="118"/>
      <c r="AR325" s="118"/>
      <c r="AS325" s="118"/>
      <c r="AT325" s="123"/>
      <c r="AU325" s="124"/>
      <c r="AV325" s="124"/>
      <c r="AW325" s="124"/>
      <c r="AX325" s="124"/>
      <c r="AY325" s="124"/>
      <c r="AZ325" s="124"/>
      <c r="BA325" s="124"/>
      <c r="BB325" s="124"/>
      <c r="BC325" s="124"/>
      <c r="BD325" s="124"/>
      <c r="BE325" s="124"/>
      <c r="BF325" s="124"/>
      <c r="BG325" s="124"/>
      <c r="BH325" s="124"/>
      <c r="BI325" s="124"/>
      <c r="BJ325" s="124"/>
      <c r="BK325" s="124"/>
      <c r="BL325" s="124"/>
      <c r="BM325" s="124"/>
      <c r="BN325" s="124"/>
      <c r="BO325" s="124"/>
      <c r="BP325" s="124"/>
      <c r="BQ325" s="124"/>
      <c r="BR325" s="125"/>
      <c r="BS325" s="88"/>
    </row>
    <row r="326">
      <c r="G326" s="9"/>
      <c r="H326" s="9"/>
      <c r="I326" s="9"/>
      <c r="J326" s="143"/>
      <c r="K326" s="141"/>
      <c r="L326" s="141"/>
      <c r="M326" s="141"/>
      <c r="N326" s="141"/>
      <c r="O326" s="9"/>
      <c r="P326" s="9"/>
      <c r="Q326" s="9"/>
      <c r="R326" s="142"/>
      <c r="S326" s="116"/>
      <c r="T326" s="117"/>
      <c r="U326" s="118"/>
      <c r="V326" s="118"/>
      <c r="W326" s="118"/>
      <c r="X326" s="118"/>
      <c r="Y326" s="118"/>
      <c r="Z326" s="118"/>
      <c r="AA326" s="118"/>
      <c r="AB326" s="118"/>
      <c r="AC326" s="118"/>
      <c r="AD326" s="118"/>
      <c r="AE326" s="118"/>
      <c r="AF326" s="118"/>
      <c r="AG326" s="118"/>
      <c r="AH326" s="118"/>
      <c r="AI326" s="118"/>
      <c r="AJ326" s="118"/>
      <c r="AK326" s="118"/>
      <c r="AL326" s="118"/>
      <c r="AM326" s="118"/>
      <c r="AN326" s="118"/>
      <c r="AO326" s="118"/>
      <c r="AP326" s="118"/>
      <c r="AQ326" s="118"/>
      <c r="AR326" s="118"/>
      <c r="AS326" s="118"/>
      <c r="AT326" s="123"/>
      <c r="AU326" s="124"/>
      <c r="AV326" s="124"/>
      <c r="AW326" s="124"/>
      <c r="AX326" s="124"/>
      <c r="AY326" s="124"/>
      <c r="AZ326" s="124"/>
      <c r="BA326" s="124"/>
      <c r="BB326" s="124"/>
      <c r="BC326" s="124"/>
      <c r="BD326" s="124"/>
      <c r="BE326" s="124"/>
      <c r="BF326" s="124"/>
      <c r="BG326" s="124"/>
      <c r="BH326" s="124"/>
      <c r="BI326" s="124"/>
      <c r="BJ326" s="124"/>
      <c r="BK326" s="124"/>
      <c r="BL326" s="124"/>
      <c r="BM326" s="124"/>
      <c r="BN326" s="124"/>
      <c r="BO326" s="124"/>
      <c r="BP326" s="124"/>
      <c r="BQ326" s="124"/>
      <c r="BR326" s="125"/>
      <c r="BS326" s="88"/>
    </row>
    <row r="327">
      <c r="G327" s="9"/>
      <c r="H327" s="9"/>
      <c r="I327" s="9"/>
      <c r="J327" s="143"/>
      <c r="K327" s="141"/>
      <c r="L327" s="141"/>
      <c r="M327" s="141"/>
      <c r="N327" s="141"/>
      <c r="O327" s="9"/>
      <c r="P327" s="9"/>
      <c r="Q327" s="9"/>
      <c r="R327" s="142"/>
      <c r="S327" s="116"/>
      <c r="T327" s="117"/>
      <c r="U327" s="118"/>
      <c r="V327" s="118"/>
      <c r="W327" s="118"/>
      <c r="X327" s="118"/>
      <c r="Y327" s="118"/>
      <c r="Z327" s="118"/>
      <c r="AA327" s="118"/>
      <c r="AB327" s="118"/>
      <c r="AC327" s="118"/>
      <c r="AD327" s="118"/>
      <c r="AE327" s="118"/>
      <c r="AF327" s="118"/>
      <c r="AG327" s="118"/>
      <c r="AH327" s="118"/>
      <c r="AI327" s="118"/>
      <c r="AJ327" s="118"/>
      <c r="AK327" s="118"/>
      <c r="AL327" s="118"/>
      <c r="AM327" s="118"/>
      <c r="AN327" s="118"/>
      <c r="AO327" s="118"/>
      <c r="AP327" s="118"/>
      <c r="AQ327" s="118"/>
      <c r="AR327" s="118"/>
      <c r="AS327" s="118"/>
      <c r="AT327" s="123"/>
      <c r="AU327" s="124"/>
      <c r="AV327" s="124"/>
      <c r="AW327" s="124"/>
      <c r="AX327" s="124"/>
      <c r="AY327" s="124"/>
      <c r="AZ327" s="124"/>
      <c r="BA327" s="124"/>
      <c r="BB327" s="124"/>
      <c r="BC327" s="124"/>
      <c r="BD327" s="124"/>
      <c r="BE327" s="124"/>
      <c r="BF327" s="124"/>
      <c r="BG327" s="124"/>
      <c r="BH327" s="124"/>
      <c r="BI327" s="124"/>
      <c r="BJ327" s="124"/>
      <c r="BK327" s="124"/>
      <c r="BL327" s="124"/>
      <c r="BM327" s="124"/>
      <c r="BN327" s="124"/>
      <c r="BO327" s="124"/>
      <c r="BP327" s="124"/>
      <c r="BQ327" s="124"/>
      <c r="BR327" s="125"/>
      <c r="BS327" s="88"/>
    </row>
    <row r="328">
      <c r="G328" s="9"/>
      <c r="H328" s="9"/>
      <c r="I328" s="9"/>
      <c r="J328" s="143"/>
      <c r="K328" s="141"/>
      <c r="L328" s="141"/>
      <c r="M328" s="141"/>
      <c r="N328" s="141"/>
      <c r="O328" s="9"/>
      <c r="P328" s="9"/>
      <c r="Q328" s="9"/>
      <c r="R328" s="142"/>
      <c r="S328" s="116"/>
      <c r="T328" s="117"/>
      <c r="U328" s="118"/>
      <c r="V328" s="118"/>
      <c r="W328" s="118"/>
      <c r="X328" s="118"/>
      <c r="Y328" s="118"/>
      <c r="Z328" s="118"/>
      <c r="AA328" s="118"/>
      <c r="AB328" s="118"/>
      <c r="AC328" s="118"/>
      <c r="AD328" s="118"/>
      <c r="AE328" s="118"/>
      <c r="AF328" s="118"/>
      <c r="AG328" s="118"/>
      <c r="AH328" s="118"/>
      <c r="AI328" s="118"/>
      <c r="AJ328" s="118"/>
      <c r="AK328" s="118"/>
      <c r="AL328" s="118"/>
      <c r="AM328" s="118"/>
      <c r="AN328" s="118"/>
      <c r="AO328" s="118"/>
      <c r="AP328" s="118"/>
      <c r="AQ328" s="118"/>
      <c r="AR328" s="118"/>
      <c r="AS328" s="118"/>
      <c r="AT328" s="123"/>
      <c r="AU328" s="124"/>
      <c r="AV328" s="124"/>
      <c r="AW328" s="124"/>
      <c r="AX328" s="124"/>
      <c r="AY328" s="124"/>
      <c r="AZ328" s="124"/>
      <c r="BA328" s="124"/>
      <c r="BB328" s="124"/>
      <c r="BC328" s="124"/>
      <c r="BD328" s="124"/>
      <c r="BE328" s="124"/>
      <c r="BF328" s="124"/>
      <c r="BG328" s="124"/>
      <c r="BH328" s="124"/>
      <c r="BI328" s="124"/>
      <c r="BJ328" s="124"/>
      <c r="BK328" s="124"/>
      <c r="BL328" s="124"/>
      <c r="BM328" s="124"/>
      <c r="BN328" s="124"/>
      <c r="BO328" s="124"/>
      <c r="BP328" s="124"/>
      <c r="BQ328" s="124"/>
      <c r="BR328" s="125"/>
      <c r="BS328" s="88"/>
    </row>
    <row r="329">
      <c r="G329" s="9"/>
      <c r="H329" s="9"/>
      <c r="I329" s="9"/>
      <c r="J329" s="143"/>
      <c r="K329" s="141"/>
      <c r="L329" s="141"/>
      <c r="M329" s="141"/>
      <c r="N329" s="141"/>
      <c r="O329" s="9"/>
      <c r="P329" s="9"/>
      <c r="Q329" s="9"/>
      <c r="R329" s="142"/>
      <c r="S329" s="116"/>
      <c r="T329" s="117"/>
      <c r="U329" s="118"/>
      <c r="V329" s="118"/>
      <c r="W329" s="118"/>
      <c r="X329" s="118"/>
      <c r="Y329" s="118"/>
      <c r="Z329" s="118"/>
      <c r="AA329" s="118"/>
      <c r="AB329" s="118"/>
      <c r="AC329" s="118"/>
      <c r="AD329" s="118"/>
      <c r="AE329" s="118"/>
      <c r="AF329" s="118"/>
      <c r="AG329" s="118"/>
      <c r="AH329" s="118"/>
      <c r="AI329" s="118"/>
      <c r="AJ329" s="118"/>
      <c r="AK329" s="118"/>
      <c r="AL329" s="118"/>
      <c r="AM329" s="118"/>
      <c r="AN329" s="118"/>
      <c r="AO329" s="118"/>
      <c r="AP329" s="118"/>
      <c r="AQ329" s="118"/>
      <c r="AR329" s="118"/>
      <c r="AS329" s="118"/>
      <c r="AT329" s="123"/>
      <c r="AU329" s="124"/>
      <c r="AV329" s="124"/>
      <c r="AW329" s="124"/>
      <c r="AX329" s="124"/>
      <c r="AY329" s="124"/>
      <c r="AZ329" s="124"/>
      <c r="BA329" s="124"/>
      <c r="BB329" s="124"/>
      <c r="BC329" s="124"/>
      <c r="BD329" s="124"/>
      <c r="BE329" s="124"/>
      <c r="BF329" s="124"/>
      <c r="BG329" s="124"/>
      <c r="BH329" s="124"/>
      <c r="BI329" s="124"/>
      <c r="BJ329" s="124"/>
      <c r="BK329" s="124"/>
      <c r="BL329" s="124"/>
      <c r="BM329" s="124"/>
      <c r="BN329" s="124"/>
      <c r="BO329" s="124"/>
      <c r="BP329" s="124"/>
      <c r="BQ329" s="124"/>
      <c r="BR329" s="125"/>
      <c r="BS329" s="88"/>
    </row>
    <row r="330">
      <c r="G330" s="9"/>
      <c r="H330" s="9"/>
      <c r="I330" s="9"/>
      <c r="J330" s="143"/>
      <c r="K330" s="141"/>
      <c r="L330" s="141"/>
      <c r="M330" s="141"/>
      <c r="N330" s="141"/>
      <c r="O330" s="9"/>
      <c r="P330" s="9"/>
      <c r="Q330" s="9"/>
      <c r="R330" s="142"/>
      <c r="S330" s="116"/>
      <c r="T330" s="117"/>
      <c r="U330" s="118"/>
      <c r="V330" s="118"/>
      <c r="W330" s="118"/>
      <c r="X330" s="118"/>
      <c r="Y330" s="118"/>
      <c r="Z330" s="118"/>
      <c r="AA330" s="118"/>
      <c r="AB330" s="118"/>
      <c r="AC330" s="118"/>
      <c r="AD330" s="118"/>
      <c r="AE330" s="118"/>
      <c r="AF330" s="118"/>
      <c r="AG330" s="118"/>
      <c r="AH330" s="118"/>
      <c r="AI330" s="118"/>
      <c r="AJ330" s="118"/>
      <c r="AK330" s="118"/>
      <c r="AL330" s="118"/>
      <c r="AM330" s="118"/>
      <c r="AN330" s="118"/>
      <c r="AO330" s="118"/>
      <c r="AP330" s="118"/>
      <c r="AQ330" s="118"/>
      <c r="AR330" s="118"/>
      <c r="AS330" s="118"/>
      <c r="AT330" s="123"/>
      <c r="AU330" s="124"/>
      <c r="AV330" s="124"/>
      <c r="AW330" s="124"/>
      <c r="AX330" s="124"/>
      <c r="AY330" s="124"/>
      <c r="AZ330" s="124"/>
      <c r="BA330" s="124"/>
      <c r="BB330" s="124"/>
      <c r="BC330" s="124"/>
      <c r="BD330" s="124"/>
      <c r="BE330" s="124"/>
      <c r="BF330" s="124"/>
      <c r="BG330" s="124"/>
      <c r="BH330" s="124"/>
      <c r="BI330" s="124"/>
      <c r="BJ330" s="124"/>
      <c r="BK330" s="124"/>
      <c r="BL330" s="124"/>
      <c r="BM330" s="124"/>
      <c r="BN330" s="124"/>
      <c r="BO330" s="124"/>
      <c r="BP330" s="124"/>
      <c r="BQ330" s="124"/>
      <c r="BR330" s="125"/>
      <c r="BS330" s="88"/>
    </row>
    <row r="331">
      <c r="G331" s="9"/>
      <c r="H331" s="9"/>
      <c r="I331" s="9"/>
      <c r="J331" s="143"/>
      <c r="K331" s="141"/>
      <c r="L331" s="141"/>
      <c r="M331" s="141"/>
      <c r="N331" s="141"/>
      <c r="O331" s="9"/>
      <c r="P331" s="9"/>
      <c r="Q331" s="9"/>
      <c r="R331" s="142"/>
      <c r="S331" s="116"/>
      <c r="T331" s="117"/>
      <c r="U331" s="118"/>
      <c r="V331" s="118"/>
      <c r="W331" s="118"/>
      <c r="X331" s="118"/>
      <c r="Y331" s="118"/>
      <c r="Z331" s="118"/>
      <c r="AA331" s="118"/>
      <c r="AB331" s="118"/>
      <c r="AC331" s="118"/>
      <c r="AD331" s="118"/>
      <c r="AE331" s="118"/>
      <c r="AF331" s="118"/>
      <c r="AG331" s="118"/>
      <c r="AH331" s="118"/>
      <c r="AI331" s="118"/>
      <c r="AJ331" s="118"/>
      <c r="AK331" s="118"/>
      <c r="AL331" s="118"/>
      <c r="AM331" s="118"/>
      <c r="AN331" s="118"/>
      <c r="AO331" s="118"/>
      <c r="AP331" s="118"/>
      <c r="AQ331" s="118"/>
      <c r="AR331" s="118"/>
      <c r="AS331" s="118"/>
      <c r="AT331" s="123"/>
      <c r="AU331" s="124"/>
      <c r="AV331" s="124"/>
      <c r="AW331" s="124"/>
      <c r="AX331" s="124"/>
      <c r="AY331" s="124"/>
      <c r="AZ331" s="124"/>
      <c r="BA331" s="124"/>
      <c r="BB331" s="124"/>
      <c r="BC331" s="124"/>
      <c r="BD331" s="124"/>
      <c r="BE331" s="124"/>
      <c r="BF331" s="124"/>
      <c r="BG331" s="124"/>
      <c r="BH331" s="124"/>
      <c r="BI331" s="124"/>
      <c r="BJ331" s="124"/>
      <c r="BK331" s="124"/>
      <c r="BL331" s="124"/>
      <c r="BM331" s="124"/>
      <c r="BN331" s="124"/>
      <c r="BO331" s="124"/>
      <c r="BP331" s="124"/>
      <c r="BQ331" s="124"/>
      <c r="BR331" s="125"/>
      <c r="BS331" s="88"/>
    </row>
    <row r="332">
      <c r="G332" s="9"/>
      <c r="H332" s="9"/>
      <c r="I332" s="9"/>
      <c r="J332" s="143"/>
      <c r="K332" s="141"/>
      <c r="L332" s="141"/>
      <c r="M332" s="141"/>
      <c r="N332" s="141"/>
      <c r="O332" s="9"/>
      <c r="P332" s="9"/>
      <c r="Q332" s="9"/>
      <c r="R332" s="142"/>
      <c r="S332" s="116"/>
      <c r="T332" s="117"/>
      <c r="U332" s="118"/>
      <c r="V332" s="118"/>
      <c r="W332" s="118"/>
      <c r="X332" s="118"/>
      <c r="Y332" s="118"/>
      <c r="Z332" s="118"/>
      <c r="AA332" s="118"/>
      <c r="AB332" s="118"/>
      <c r="AC332" s="118"/>
      <c r="AD332" s="118"/>
      <c r="AE332" s="118"/>
      <c r="AF332" s="118"/>
      <c r="AG332" s="118"/>
      <c r="AH332" s="118"/>
      <c r="AI332" s="118"/>
      <c r="AJ332" s="118"/>
      <c r="AK332" s="118"/>
      <c r="AL332" s="118"/>
      <c r="AM332" s="118"/>
      <c r="AN332" s="118"/>
      <c r="AO332" s="118"/>
      <c r="AP332" s="118"/>
      <c r="AQ332" s="118"/>
      <c r="AR332" s="118"/>
      <c r="AS332" s="118"/>
      <c r="AT332" s="123"/>
      <c r="AU332" s="124"/>
      <c r="AV332" s="124"/>
      <c r="AW332" s="124"/>
      <c r="AX332" s="124"/>
      <c r="AY332" s="124"/>
      <c r="AZ332" s="124"/>
      <c r="BA332" s="124"/>
      <c r="BB332" s="124"/>
      <c r="BC332" s="124"/>
      <c r="BD332" s="124"/>
      <c r="BE332" s="124"/>
      <c r="BF332" s="124"/>
      <c r="BG332" s="124"/>
      <c r="BH332" s="124"/>
      <c r="BI332" s="124"/>
      <c r="BJ332" s="124"/>
      <c r="BK332" s="124"/>
      <c r="BL332" s="124"/>
      <c r="BM332" s="124"/>
      <c r="BN332" s="124"/>
      <c r="BO332" s="124"/>
      <c r="BP332" s="124"/>
      <c r="BQ332" s="124"/>
      <c r="BR332" s="125"/>
      <c r="BS332" s="88"/>
    </row>
    <row r="333">
      <c r="G333" s="9"/>
      <c r="H333" s="9"/>
      <c r="I333" s="9"/>
      <c r="J333" s="143"/>
      <c r="K333" s="141"/>
      <c r="L333" s="141"/>
      <c r="M333" s="141"/>
      <c r="N333" s="141"/>
      <c r="O333" s="9"/>
      <c r="P333" s="9"/>
      <c r="Q333" s="9"/>
      <c r="R333" s="142"/>
      <c r="S333" s="116"/>
      <c r="T333" s="117"/>
      <c r="U333" s="118"/>
      <c r="V333" s="118"/>
      <c r="W333" s="118"/>
      <c r="X333" s="118"/>
      <c r="Y333" s="118"/>
      <c r="Z333" s="118"/>
      <c r="AA333" s="118"/>
      <c r="AB333" s="118"/>
      <c r="AC333" s="118"/>
      <c r="AD333" s="118"/>
      <c r="AE333" s="118"/>
      <c r="AF333" s="118"/>
      <c r="AG333" s="118"/>
      <c r="AH333" s="118"/>
      <c r="AI333" s="118"/>
      <c r="AJ333" s="118"/>
      <c r="AK333" s="118"/>
      <c r="AL333" s="118"/>
      <c r="AM333" s="118"/>
      <c r="AN333" s="118"/>
      <c r="AO333" s="118"/>
      <c r="AP333" s="118"/>
      <c r="AQ333" s="118"/>
      <c r="AR333" s="118"/>
      <c r="AS333" s="118"/>
      <c r="AT333" s="123"/>
      <c r="AU333" s="124"/>
      <c r="AV333" s="124"/>
      <c r="AW333" s="124"/>
      <c r="AX333" s="124"/>
      <c r="AY333" s="124"/>
      <c r="AZ333" s="124"/>
      <c r="BA333" s="124"/>
      <c r="BB333" s="124"/>
      <c r="BC333" s="124"/>
      <c r="BD333" s="124"/>
      <c r="BE333" s="124"/>
      <c r="BF333" s="124"/>
      <c r="BG333" s="124"/>
      <c r="BH333" s="124"/>
      <c r="BI333" s="124"/>
      <c r="BJ333" s="124"/>
      <c r="BK333" s="124"/>
      <c r="BL333" s="124"/>
      <c r="BM333" s="124"/>
      <c r="BN333" s="124"/>
      <c r="BO333" s="124"/>
      <c r="BP333" s="124"/>
      <c r="BQ333" s="124"/>
      <c r="BR333" s="125"/>
      <c r="BS333" s="88"/>
    </row>
    <row r="334">
      <c r="G334" s="9"/>
      <c r="H334" s="9"/>
      <c r="I334" s="9"/>
      <c r="J334" s="143"/>
      <c r="K334" s="141"/>
      <c r="L334" s="141"/>
      <c r="M334" s="141"/>
      <c r="N334" s="141"/>
      <c r="O334" s="9"/>
      <c r="P334" s="9"/>
      <c r="Q334" s="9"/>
      <c r="R334" s="142"/>
      <c r="S334" s="116"/>
      <c r="T334" s="117"/>
      <c r="U334" s="118"/>
      <c r="V334" s="118"/>
      <c r="W334" s="118"/>
      <c r="X334" s="118"/>
      <c r="Y334" s="118"/>
      <c r="Z334" s="118"/>
      <c r="AA334" s="118"/>
      <c r="AB334" s="118"/>
      <c r="AC334" s="118"/>
      <c r="AD334" s="118"/>
      <c r="AE334" s="118"/>
      <c r="AF334" s="118"/>
      <c r="AG334" s="118"/>
      <c r="AH334" s="118"/>
      <c r="AI334" s="118"/>
      <c r="AJ334" s="118"/>
      <c r="AK334" s="118"/>
      <c r="AL334" s="118"/>
      <c r="AM334" s="118"/>
      <c r="AN334" s="118"/>
      <c r="AO334" s="118"/>
      <c r="AP334" s="118"/>
      <c r="AQ334" s="118"/>
      <c r="AR334" s="118"/>
      <c r="AS334" s="118"/>
      <c r="AT334" s="123"/>
      <c r="AU334" s="124"/>
      <c r="AV334" s="124"/>
      <c r="AW334" s="124"/>
      <c r="AX334" s="124"/>
      <c r="AY334" s="124"/>
      <c r="AZ334" s="124"/>
      <c r="BA334" s="124"/>
      <c r="BB334" s="124"/>
      <c r="BC334" s="124"/>
      <c r="BD334" s="124"/>
      <c r="BE334" s="124"/>
      <c r="BF334" s="124"/>
      <c r="BG334" s="124"/>
      <c r="BH334" s="124"/>
      <c r="BI334" s="124"/>
      <c r="BJ334" s="124"/>
      <c r="BK334" s="124"/>
      <c r="BL334" s="124"/>
      <c r="BM334" s="124"/>
      <c r="BN334" s="124"/>
      <c r="BO334" s="124"/>
      <c r="BP334" s="124"/>
      <c r="BQ334" s="124"/>
      <c r="BR334" s="125"/>
      <c r="BS334" s="88"/>
    </row>
    <row r="335">
      <c r="G335" s="9"/>
      <c r="H335" s="9"/>
      <c r="I335" s="9"/>
      <c r="J335" s="143"/>
      <c r="K335" s="141"/>
      <c r="L335" s="141"/>
      <c r="M335" s="141"/>
      <c r="N335" s="141"/>
      <c r="O335" s="9"/>
      <c r="P335" s="9"/>
      <c r="Q335" s="9"/>
      <c r="R335" s="142"/>
      <c r="S335" s="116"/>
      <c r="T335" s="117"/>
      <c r="U335" s="118"/>
      <c r="V335" s="118"/>
      <c r="W335" s="118"/>
      <c r="X335" s="118"/>
      <c r="Y335" s="118"/>
      <c r="Z335" s="118"/>
      <c r="AA335" s="118"/>
      <c r="AB335" s="118"/>
      <c r="AC335" s="118"/>
      <c r="AD335" s="118"/>
      <c r="AE335" s="118"/>
      <c r="AF335" s="118"/>
      <c r="AG335" s="118"/>
      <c r="AH335" s="118"/>
      <c r="AI335" s="118"/>
      <c r="AJ335" s="118"/>
      <c r="AK335" s="118"/>
      <c r="AL335" s="118"/>
      <c r="AM335" s="118"/>
      <c r="AN335" s="118"/>
      <c r="AO335" s="118"/>
      <c r="AP335" s="118"/>
      <c r="AQ335" s="118"/>
      <c r="AR335" s="118"/>
      <c r="AS335" s="118"/>
      <c r="AT335" s="123"/>
      <c r="AU335" s="124"/>
      <c r="AV335" s="124"/>
      <c r="AW335" s="124"/>
      <c r="AX335" s="124"/>
      <c r="AY335" s="124"/>
      <c r="AZ335" s="124"/>
      <c r="BA335" s="124"/>
      <c r="BB335" s="124"/>
      <c r="BC335" s="124"/>
      <c r="BD335" s="124"/>
      <c r="BE335" s="124"/>
      <c r="BF335" s="124"/>
      <c r="BG335" s="124"/>
      <c r="BH335" s="124"/>
      <c r="BI335" s="124"/>
      <c r="BJ335" s="124"/>
      <c r="BK335" s="124"/>
      <c r="BL335" s="124"/>
      <c r="BM335" s="124"/>
      <c r="BN335" s="124"/>
      <c r="BO335" s="124"/>
      <c r="BP335" s="124"/>
      <c r="BQ335" s="124"/>
      <c r="BR335" s="125"/>
      <c r="BS335" s="88"/>
    </row>
    <row r="336">
      <c r="G336" s="9"/>
      <c r="H336" s="9"/>
      <c r="I336" s="9"/>
      <c r="J336" s="143"/>
      <c r="K336" s="141"/>
      <c r="L336" s="141"/>
      <c r="M336" s="141"/>
      <c r="N336" s="141"/>
      <c r="O336" s="9"/>
      <c r="P336" s="9"/>
      <c r="Q336" s="9"/>
      <c r="R336" s="142"/>
      <c r="S336" s="116"/>
      <c r="T336" s="117"/>
      <c r="U336" s="118"/>
      <c r="V336" s="118"/>
      <c r="W336" s="118"/>
      <c r="X336" s="118"/>
      <c r="Y336" s="118"/>
      <c r="Z336" s="118"/>
      <c r="AA336" s="118"/>
      <c r="AB336" s="118"/>
      <c r="AC336" s="118"/>
      <c r="AD336" s="118"/>
      <c r="AE336" s="118"/>
      <c r="AF336" s="118"/>
      <c r="AG336" s="118"/>
      <c r="AH336" s="118"/>
      <c r="AI336" s="118"/>
      <c r="AJ336" s="118"/>
      <c r="AK336" s="118"/>
      <c r="AL336" s="118"/>
      <c r="AM336" s="118"/>
      <c r="AN336" s="118"/>
      <c r="AO336" s="118"/>
      <c r="AP336" s="118"/>
      <c r="AQ336" s="118"/>
      <c r="AR336" s="118"/>
      <c r="AS336" s="118"/>
      <c r="AT336" s="123"/>
      <c r="AU336" s="124"/>
      <c r="AV336" s="124"/>
      <c r="AW336" s="124"/>
      <c r="AX336" s="124"/>
      <c r="AY336" s="124"/>
      <c r="AZ336" s="124"/>
      <c r="BA336" s="124"/>
      <c r="BB336" s="124"/>
      <c r="BC336" s="124"/>
      <c r="BD336" s="124"/>
      <c r="BE336" s="124"/>
      <c r="BF336" s="124"/>
      <c r="BG336" s="124"/>
      <c r="BH336" s="124"/>
      <c r="BI336" s="124"/>
      <c r="BJ336" s="124"/>
      <c r="BK336" s="124"/>
      <c r="BL336" s="124"/>
      <c r="BM336" s="124"/>
      <c r="BN336" s="124"/>
      <c r="BO336" s="124"/>
      <c r="BP336" s="124"/>
      <c r="BQ336" s="124"/>
      <c r="BR336" s="125"/>
      <c r="BS336" s="88"/>
    </row>
    <row r="337">
      <c r="G337" s="9"/>
      <c r="H337" s="9"/>
      <c r="I337" s="9"/>
      <c r="J337" s="143"/>
      <c r="K337" s="141"/>
      <c r="L337" s="141"/>
      <c r="M337" s="141"/>
      <c r="N337" s="141"/>
      <c r="O337" s="9"/>
      <c r="P337" s="9"/>
      <c r="Q337" s="9"/>
      <c r="R337" s="142"/>
      <c r="S337" s="116"/>
      <c r="T337" s="117"/>
      <c r="U337" s="118"/>
      <c r="V337" s="118"/>
      <c r="W337" s="118"/>
      <c r="X337" s="118"/>
      <c r="Y337" s="118"/>
      <c r="Z337" s="118"/>
      <c r="AA337" s="118"/>
      <c r="AB337" s="118"/>
      <c r="AC337" s="118"/>
      <c r="AD337" s="118"/>
      <c r="AE337" s="118"/>
      <c r="AF337" s="118"/>
      <c r="AG337" s="118"/>
      <c r="AH337" s="118"/>
      <c r="AI337" s="118"/>
      <c r="AJ337" s="118"/>
      <c r="AK337" s="118"/>
      <c r="AL337" s="118"/>
      <c r="AM337" s="118"/>
      <c r="AN337" s="118"/>
      <c r="AO337" s="118"/>
      <c r="AP337" s="118"/>
      <c r="AQ337" s="118"/>
      <c r="AR337" s="118"/>
      <c r="AS337" s="118"/>
      <c r="AT337" s="123"/>
      <c r="AU337" s="124"/>
      <c r="AV337" s="124"/>
      <c r="AW337" s="124"/>
      <c r="AX337" s="124"/>
      <c r="AY337" s="124"/>
      <c r="AZ337" s="124"/>
      <c r="BA337" s="124"/>
      <c r="BB337" s="124"/>
      <c r="BC337" s="124"/>
      <c r="BD337" s="124"/>
      <c r="BE337" s="124"/>
      <c r="BF337" s="124"/>
      <c r="BG337" s="124"/>
      <c r="BH337" s="124"/>
      <c r="BI337" s="124"/>
      <c r="BJ337" s="124"/>
      <c r="BK337" s="124"/>
      <c r="BL337" s="124"/>
      <c r="BM337" s="124"/>
      <c r="BN337" s="124"/>
      <c r="BO337" s="124"/>
      <c r="BP337" s="124"/>
      <c r="BQ337" s="124"/>
      <c r="BR337" s="125"/>
      <c r="BS337" s="88"/>
    </row>
    <row r="338">
      <c r="G338" s="9"/>
      <c r="H338" s="9"/>
      <c r="I338" s="9"/>
      <c r="J338" s="143"/>
      <c r="K338" s="141"/>
      <c r="L338" s="141"/>
      <c r="M338" s="141"/>
      <c r="N338" s="141"/>
      <c r="O338" s="9"/>
      <c r="P338" s="9"/>
      <c r="Q338" s="9"/>
      <c r="R338" s="142"/>
      <c r="S338" s="116"/>
      <c r="T338" s="117"/>
      <c r="U338" s="118"/>
      <c r="V338" s="118"/>
      <c r="W338" s="118"/>
      <c r="X338" s="118"/>
      <c r="Y338" s="118"/>
      <c r="Z338" s="118"/>
      <c r="AA338" s="118"/>
      <c r="AB338" s="118"/>
      <c r="AC338" s="118"/>
      <c r="AD338" s="118"/>
      <c r="AE338" s="118"/>
      <c r="AF338" s="118"/>
      <c r="AG338" s="118"/>
      <c r="AH338" s="118"/>
      <c r="AI338" s="118"/>
      <c r="AJ338" s="118"/>
      <c r="AK338" s="118"/>
      <c r="AL338" s="118"/>
      <c r="AM338" s="118"/>
      <c r="AN338" s="118"/>
      <c r="AO338" s="118"/>
      <c r="AP338" s="118"/>
      <c r="AQ338" s="118"/>
      <c r="AR338" s="118"/>
      <c r="AS338" s="118"/>
      <c r="AT338" s="123"/>
      <c r="AU338" s="124"/>
      <c r="AV338" s="124"/>
      <c r="AW338" s="124"/>
      <c r="AX338" s="124"/>
      <c r="AY338" s="124"/>
      <c r="AZ338" s="124"/>
      <c r="BA338" s="124"/>
      <c r="BB338" s="124"/>
      <c r="BC338" s="124"/>
      <c r="BD338" s="124"/>
      <c r="BE338" s="124"/>
      <c r="BF338" s="124"/>
      <c r="BG338" s="124"/>
      <c r="BH338" s="124"/>
      <c r="BI338" s="124"/>
      <c r="BJ338" s="124"/>
      <c r="BK338" s="124"/>
      <c r="BL338" s="124"/>
      <c r="BM338" s="124"/>
      <c r="BN338" s="124"/>
      <c r="BO338" s="124"/>
      <c r="BP338" s="124"/>
      <c r="BQ338" s="124"/>
      <c r="BR338" s="125"/>
      <c r="BS338" s="88"/>
    </row>
    <row r="339">
      <c r="G339" s="9"/>
      <c r="H339" s="9"/>
      <c r="I339" s="9"/>
      <c r="J339" s="143"/>
      <c r="K339" s="141"/>
      <c r="L339" s="141"/>
      <c r="M339" s="141"/>
      <c r="N339" s="141"/>
      <c r="O339" s="9"/>
      <c r="P339" s="9"/>
      <c r="Q339" s="9"/>
      <c r="R339" s="142"/>
      <c r="S339" s="116"/>
      <c r="T339" s="117"/>
      <c r="U339" s="118"/>
      <c r="V339" s="118"/>
      <c r="W339" s="118"/>
      <c r="X339" s="118"/>
      <c r="Y339" s="118"/>
      <c r="Z339" s="118"/>
      <c r="AA339" s="118"/>
      <c r="AB339" s="118"/>
      <c r="AC339" s="118"/>
      <c r="AD339" s="118"/>
      <c r="AE339" s="118"/>
      <c r="AF339" s="118"/>
      <c r="AG339" s="118"/>
      <c r="AH339" s="118"/>
      <c r="AI339" s="118"/>
      <c r="AJ339" s="118"/>
      <c r="AK339" s="118"/>
      <c r="AL339" s="118"/>
      <c r="AM339" s="118"/>
      <c r="AN339" s="118"/>
      <c r="AO339" s="118"/>
      <c r="AP339" s="118"/>
      <c r="AQ339" s="118"/>
      <c r="AR339" s="118"/>
      <c r="AS339" s="118"/>
      <c r="AT339" s="123"/>
      <c r="AU339" s="124"/>
      <c r="AV339" s="124"/>
      <c r="AW339" s="124"/>
      <c r="AX339" s="124"/>
      <c r="AY339" s="124"/>
      <c r="AZ339" s="124"/>
      <c r="BA339" s="124"/>
      <c r="BB339" s="124"/>
      <c r="BC339" s="124"/>
      <c r="BD339" s="124"/>
      <c r="BE339" s="124"/>
      <c r="BF339" s="124"/>
      <c r="BG339" s="124"/>
      <c r="BH339" s="124"/>
      <c r="BI339" s="124"/>
      <c r="BJ339" s="124"/>
      <c r="BK339" s="124"/>
      <c r="BL339" s="124"/>
      <c r="BM339" s="124"/>
      <c r="BN339" s="124"/>
      <c r="BO339" s="124"/>
      <c r="BP339" s="124"/>
      <c r="BQ339" s="124"/>
      <c r="BR339" s="125"/>
      <c r="BS339" s="88"/>
    </row>
    <row r="340">
      <c r="G340" s="9"/>
      <c r="H340" s="9"/>
      <c r="I340" s="9"/>
      <c r="J340" s="143"/>
      <c r="K340" s="141"/>
      <c r="L340" s="141"/>
      <c r="M340" s="141"/>
      <c r="N340" s="141"/>
      <c r="O340" s="9"/>
      <c r="P340" s="9"/>
      <c r="Q340" s="9"/>
      <c r="R340" s="142"/>
      <c r="S340" s="116"/>
      <c r="T340" s="117"/>
      <c r="U340" s="118"/>
      <c r="V340" s="118"/>
      <c r="W340" s="118"/>
      <c r="X340" s="118"/>
      <c r="Y340" s="118"/>
      <c r="Z340" s="118"/>
      <c r="AA340" s="118"/>
      <c r="AB340" s="118"/>
      <c r="AC340" s="118"/>
      <c r="AD340" s="118"/>
      <c r="AE340" s="118"/>
      <c r="AF340" s="118"/>
      <c r="AG340" s="118"/>
      <c r="AH340" s="118"/>
      <c r="AI340" s="118"/>
      <c r="AJ340" s="118"/>
      <c r="AK340" s="118"/>
      <c r="AL340" s="118"/>
      <c r="AM340" s="118"/>
      <c r="AN340" s="118"/>
      <c r="AO340" s="118"/>
      <c r="AP340" s="118"/>
      <c r="AQ340" s="118"/>
      <c r="AR340" s="118"/>
      <c r="AS340" s="118"/>
      <c r="AT340" s="123"/>
      <c r="AU340" s="124"/>
      <c r="AV340" s="124"/>
      <c r="AW340" s="124"/>
      <c r="AX340" s="124"/>
      <c r="AY340" s="124"/>
      <c r="AZ340" s="124"/>
      <c r="BA340" s="124"/>
      <c r="BB340" s="124"/>
      <c r="BC340" s="124"/>
      <c r="BD340" s="124"/>
      <c r="BE340" s="124"/>
      <c r="BF340" s="124"/>
      <c r="BG340" s="124"/>
      <c r="BH340" s="124"/>
      <c r="BI340" s="124"/>
      <c r="BJ340" s="124"/>
      <c r="BK340" s="124"/>
      <c r="BL340" s="124"/>
      <c r="BM340" s="124"/>
      <c r="BN340" s="124"/>
      <c r="BO340" s="124"/>
      <c r="BP340" s="124"/>
      <c r="BQ340" s="124"/>
      <c r="BR340" s="125"/>
      <c r="BS340" s="88"/>
    </row>
    <row r="341">
      <c r="G341" s="9"/>
      <c r="H341" s="9"/>
      <c r="I341" s="9"/>
      <c r="J341" s="143"/>
      <c r="K341" s="141"/>
      <c r="L341" s="141"/>
      <c r="M341" s="141"/>
      <c r="N341" s="141"/>
      <c r="O341" s="9"/>
      <c r="P341" s="9"/>
      <c r="Q341" s="9"/>
      <c r="R341" s="142"/>
      <c r="S341" s="116"/>
      <c r="T341" s="117"/>
      <c r="U341" s="118"/>
      <c r="V341" s="118"/>
      <c r="W341" s="118"/>
      <c r="X341" s="118"/>
      <c r="Y341" s="118"/>
      <c r="Z341" s="118"/>
      <c r="AA341" s="118"/>
      <c r="AB341" s="118"/>
      <c r="AC341" s="118"/>
      <c r="AD341" s="118"/>
      <c r="AE341" s="118"/>
      <c r="AF341" s="118"/>
      <c r="AG341" s="118"/>
      <c r="AH341" s="118"/>
      <c r="AI341" s="118"/>
      <c r="AJ341" s="118"/>
      <c r="AK341" s="118"/>
      <c r="AL341" s="118"/>
      <c r="AM341" s="118"/>
      <c r="AN341" s="118"/>
      <c r="AO341" s="118"/>
      <c r="AP341" s="118"/>
      <c r="AQ341" s="118"/>
      <c r="AR341" s="118"/>
      <c r="AS341" s="118"/>
      <c r="AT341" s="123"/>
      <c r="AU341" s="124"/>
      <c r="AV341" s="124"/>
      <c r="AW341" s="124"/>
      <c r="AX341" s="124"/>
      <c r="AY341" s="124"/>
      <c r="AZ341" s="124"/>
      <c r="BA341" s="124"/>
      <c r="BB341" s="124"/>
      <c r="BC341" s="124"/>
      <c r="BD341" s="124"/>
      <c r="BE341" s="124"/>
      <c r="BF341" s="124"/>
      <c r="BG341" s="124"/>
      <c r="BH341" s="124"/>
      <c r="BI341" s="124"/>
      <c r="BJ341" s="124"/>
      <c r="BK341" s="124"/>
      <c r="BL341" s="124"/>
      <c r="BM341" s="124"/>
      <c r="BN341" s="124"/>
      <c r="BO341" s="124"/>
      <c r="BP341" s="124"/>
      <c r="BQ341" s="124"/>
      <c r="BR341" s="125"/>
      <c r="BS341" s="88"/>
    </row>
    <row r="342">
      <c r="G342" s="9"/>
      <c r="H342" s="9"/>
      <c r="I342" s="9"/>
      <c r="J342" s="143"/>
      <c r="K342" s="141"/>
      <c r="L342" s="141"/>
      <c r="M342" s="141"/>
      <c r="N342" s="141"/>
      <c r="O342" s="9"/>
      <c r="P342" s="9"/>
      <c r="Q342" s="9"/>
      <c r="R342" s="142"/>
      <c r="S342" s="116"/>
      <c r="T342" s="117"/>
      <c r="U342" s="118"/>
      <c r="V342" s="118"/>
      <c r="W342" s="118"/>
      <c r="X342" s="118"/>
      <c r="Y342" s="118"/>
      <c r="Z342" s="118"/>
      <c r="AA342" s="118"/>
      <c r="AB342" s="118"/>
      <c r="AC342" s="118"/>
      <c r="AD342" s="118"/>
      <c r="AE342" s="118"/>
      <c r="AF342" s="118"/>
      <c r="AG342" s="118"/>
      <c r="AH342" s="118"/>
      <c r="AI342" s="118"/>
      <c r="AJ342" s="118"/>
      <c r="AK342" s="118"/>
      <c r="AL342" s="118"/>
      <c r="AM342" s="118"/>
      <c r="AN342" s="118"/>
      <c r="AO342" s="118"/>
      <c r="AP342" s="118"/>
      <c r="AQ342" s="118"/>
      <c r="AR342" s="118"/>
      <c r="AS342" s="118"/>
      <c r="AT342" s="123"/>
      <c r="AU342" s="124"/>
      <c r="AV342" s="124"/>
      <c r="AW342" s="124"/>
      <c r="AX342" s="124"/>
      <c r="AY342" s="124"/>
      <c r="AZ342" s="124"/>
      <c r="BA342" s="124"/>
      <c r="BB342" s="124"/>
      <c r="BC342" s="124"/>
      <c r="BD342" s="124"/>
      <c r="BE342" s="124"/>
      <c r="BF342" s="124"/>
      <c r="BG342" s="124"/>
      <c r="BH342" s="124"/>
      <c r="BI342" s="124"/>
      <c r="BJ342" s="124"/>
      <c r="BK342" s="124"/>
      <c r="BL342" s="124"/>
      <c r="BM342" s="124"/>
      <c r="BN342" s="124"/>
      <c r="BO342" s="124"/>
      <c r="BP342" s="124"/>
      <c r="BQ342" s="124"/>
      <c r="BR342" s="125"/>
      <c r="BS342" s="88"/>
    </row>
    <row r="343">
      <c r="G343" s="9"/>
      <c r="H343" s="9"/>
      <c r="I343" s="9"/>
      <c r="J343" s="143"/>
      <c r="K343" s="141"/>
      <c r="L343" s="141"/>
      <c r="M343" s="141"/>
      <c r="N343" s="141"/>
      <c r="O343" s="9"/>
      <c r="P343" s="9"/>
      <c r="Q343" s="9"/>
      <c r="R343" s="142"/>
      <c r="S343" s="116"/>
      <c r="T343" s="117"/>
      <c r="U343" s="118"/>
      <c r="V343" s="118"/>
      <c r="W343" s="118"/>
      <c r="X343" s="118"/>
      <c r="Y343" s="118"/>
      <c r="Z343" s="118"/>
      <c r="AA343" s="118"/>
      <c r="AB343" s="118"/>
      <c r="AC343" s="118"/>
      <c r="AD343" s="118"/>
      <c r="AE343" s="118"/>
      <c r="AF343" s="118"/>
      <c r="AG343" s="118"/>
      <c r="AH343" s="118"/>
      <c r="AI343" s="118"/>
      <c r="AJ343" s="118"/>
      <c r="AK343" s="118"/>
      <c r="AL343" s="118"/>
      <c r="AM343" s="118"/>
      <c r="AN343" s="118"/>
      <c r="AO343" s="118"/>
      <c r="AP343" s="118"/>
      <c r="AQ343" s="118"/>
      <c r="AR343" s="118"/>
      <c r="AS343" s="118"/>
      <c r="AT343" s="123"/>
      <c r="AU343" s="124"/>
      <c r="AV343" s="124"/>
      <c r="AW343" s="124"/>
      <c r="AX343" s="124"/>
      <c r="AY343" s="124"/>
      <c r="AZ343" s="124"/>
      <c r="BA343" s="124"/>
      <c r="BB343" s="124"/>
      <c r="BC343" s="124"/>
      <c r="BD343" s="124"/>
      <c r="BE343" s="124"/>
      <c r="BF343" s="124"/>
      <c r="BG343" s="124"/>
      <c r="BH343" s="124"/>
      <c r="BI343" s="124"/>
      <c r="BJ343" s="124"/>
      <c r="BK343" s="124"/>
      <c r="BL343" s="124"/>
      <c r="BM343" s="124"/>
      <c r="BN343" s="124"/>
      <c r="BO343" s="124"/>
      <c r="BP343" s="124"/>
      <c r="BQ343" s="124"/>
      <c r="BR343" s="125"/>
      <c r="BS343" s="88"/>
    </row>
    <row r="344">
      <c r="G344" s="9"/>
      <c r="H344" s="9"/>
      <c r="I344" s="9"/>
      <c r="J344" s="143"/>
      <c r="K344" s="141"/>
      <c r="L344" s="141"/>
      <c r="M344" s="141"/>
      <c r="N344" s="141"/>
      <c r="O344" s="9"/>
      <c r="P344" s="9"/>
      <c r="Q344" s="9"/>
      <c r="R344" s="142"/>
      <c r="S344" s="116"/>
      <c r="T344" s="117"/>
      <c r="U344" s="118"/>
      <c r="V344" s="118"/>
      <c r="W344" s="118"/>
      <c r="X344" s="118"/>
      <c r="Y344" s="118"/>
      <c r="Z344" s="118"/>
      <c r="AA344" s="118"/>
      <c r="AB344" s="118"/>
      <c r="AC344" s="118"/>
      <c r="AD344" s="118"/>
      <c r="AE344" s="118"/>
      <c r="AF344" s="118"/>
      <c r="AG344" s="118"/>
      <c r="AH344" s="118"/>
      <c r="AI344" s="118"/>
      <c r="AJ344" s="118"/>
      <c r="AK344" s="118"/>
      <c r="AL344" s="118"/>
      <c r="AM344" s="118"/>
      <c r="AN344" s="118"/>
      <c r="AO344" s="118"/>
      <c r="AP344" s="118"/>
      <c r="AQ344" s="118"/>
      <c r="AR344" s="118"/>
      <c r="AS344" s="118"/>
      <c r="AT344" s="123"/>
      <c r="AU344" s="124"/>
      <c r="AV344" s="124"/>
      <c r="AW344" s="124"/>
      <c r="AX344" s="124"/>
      <c r="AY344" s="124"/>
      <c r="AZ344" s="124"/>
      <c r="BA344" s="124"/>
      <c r="BB344" s="124"/>
      <c r="BC344" s="124"/>
      <c r="BD344" s="124"/>
      <c r="BE344" s="124"/>
      <c r="BF344" s="124"/>
      <c r="BG344" s="124"/>
      <c r="BH344" s="124"/>
      <c r="BI344" s="124"/>
      <c r="BJ344" s="124"/>
      <c r="BK344" s="124"/>
      <c r="BL344" s="124"/>
      <c r="BM344" s="124"/>
      <c r="BN344" s="124"/>
      <c r="BO344" s="124"/>
      <c r="BP344" s="124"/>
      <c r="BQ344" s="124"/>
      <c r="BR344" s="125"/>
      <c r="BS344" s="88"/>
    </row>
    <row r="345">
      <c r="G345" s="9"/>
      <c r="H345" s="9"/>
      <c r="I345" s="9"/>
      <c r="J345" s="143"/>
      <c r="K345" s="141"/>
      <c r="L345" s="141"/>
      <c r="M345" s="141"/>
      <c r="N345" s="141"/>
      <c r="O345" s="9"/>
      <c r="P345" s="9"/>
      <c r="Q345" s="9"/>
      <c r="R345" s="142"/>
      <c r="S345" s="116"/>
      <c r="T345" s="117"/>
      <c r="U345" s="118"/>
      <c r="V345" s="118"/>
      <c r="W345" s="118"/>
      <c r="X345" s="118"/>
      <c r="Y345" s="118"/>
      <c r="Z345" s="118"/>
      <c r="AA345" s="118"/>
      <c r="AB345" s="118"/>
      <c r="AC345" s="118"/>
      <c r="AD345" s="118"/>
      <c r="AE345" s="118"/>
      <c r="AF345" s="118"/>
      <c r="AG345" s="118"/>
      <c r="AH345" s="118"/>
      <c r="AI345" s="118"/>
      <c r="AJ345" s="118"/>
      <c r="AK345" s="118"/>
      <c r="AL345" s="118"/>
      <c r="AM345" s="118"/>
      <c r="AN345" s="118"/>
      <c r="AO345" s="118"/>
      <c r="AP345" s="118"/>
      <c r="AQ345" s="118"/>
      <c r="AR345" s="118"/>
      <c r="AS345" s="118"/>
      <c r="AT345" s="123"/>
      <c r="AU345" s="124"/>
      <c r="AV345" s="124"/>
      <c r="AW345" s="124"/>
      <c r="AX345" s="124"/>
      <c r="AY345" s="124"/>
      <c r="AZ345" s="124"/>
      <c r="BA345" s="124"/>
      <c r="BB345" s="124"/>
      <c r="BC345" s="124"/>
      <c r="BD345" s="124"/>
      <c r="BE345" s="124"/>
      <c r="BF345" s="124"/>
      <c r="BG345" s="124"/>
      <c r="BH345" s="124"/>
      <c r="BI345" s="124"/>
      <c r="BJ345" s="124"/>
      <c r="BK345" s="124"/>
      <c r="BL345" s="124"/>
      <c r="BM345" s="124"/>
      <c r="BN345" s="124"/>
      <c r="BO345" s="124"/>
      <c r="BP345" s="124"/>
      <c r="BQ345" s="124"/>
      <c r="BR345" s="125"/>
      <c r="BS345" s="88"/>
    </row>
    <row r="346">
      <c r="G346" s="9"/>
      <c r="H346" s="9"/>
      <c r="I346" s="9"/>
      <c r="J346" s="143"/>
      <c r="K346" s="141"/>
      <c r="L346" s="141"/>
      <c r="M346" s="141"/>
      <c r="N346" s="141"/>
      <c r="O346" s="9"/>
      <c r="P346" s="9"/>
      <c r="Q346" s="9"/>
      <c r="R346" s="142"/>
      <c r="S346" s="116"/>
      <c r="T346" s="117"/>
      <c r="U346" s="118"/>
      <c r="V346" s="118"/>
      <c r="W346" s="118"/>
      <c r="X346" s="118"/>
      <c r="Y346" s="118"/>
      <c r="Z346" s="118"/>
      <c r="AA346" s="118"/>
      <c r="AB346" s="118"/>
      <c r="AC346" s="118"/>
      <c r="AD346" s="118"/>
      <c r="AE346" s="118"/>
      <c r="AF346" s="118"/>
      <c r="AG346" s="118"/>
      <c r="AH346" s="118"/>
      <c r="AI346" s="118"/>
      <c r="AJ346" s="118"/>
      <c r="AK346" s="118"/>
      <c r="AL346" s="118"/>
      <c r="AM346" s="118"/>
      <c r="AN346" s="118"/>
      <c r="AO346" s="118"/>
      <c r="AP346" s="118"/>
      <c r="AQ346" s="118"/>
      <c r="AR346" s="118"/>
      <c r="AS346" s="118"/>
      <c r="AT346" s="123"/>
      <c r="AU346" s="124"/>
      <c r="AV346" s="124"/>
      <c r="AW346" s="124"/>
      <c r="AX346" s="124"/>
      <c r="AY346" s="124"/>
      <c r="AZ346" s="124"/>
      <c r="BA346" s="124"/>
      <c r="BB346" s="124"/>
      <c r="BC346" s="124"/>
      <c r="BD346" s="124"/>
      <c r="BE346" s="124"/>
      <c r="BF346" s="124"/>
      <c r="BG346" s="124"/>
      <c r="BH346" s="124"/>
      <c r="BI346" s="124"/>
      <c r="BJ346" s="124"/>
      <c r="BK346" s="124"/>
      <c r="BL346" s="124"/>
      <c r="BM346" s="124"/>
      <c r="BN346" s="124"/>
      <c r="BO346" s="124"/>
      <c r="BP346" s="124"/>
      <c r="BQ346" s="124"/>
      <c r="BR346" s="125"/>
      <c r="BS346" s="88"/>
    </row>
    <row r="347">
      <c r="G347" s="9"/>
      <c r="H347" s="9"/>
      <c r="I347" s="9"/>
      <c r="J347" s="143"/>
      <c r="K347" s="141"/>
      <c r="L347" s="141"/>
      <c r="M347" s="141"/>
      <c r="N347" s="141"/>
      <c r="O347" s="9"/>
      <c r="P347" s="9"/>
      <c r="Q347" s="9"/>
      <c r="R347" s="142"/>
      <c r="S347" s="116"/>
      <c r="T347" s="117"/>
      <c r="U347" s="118"/>
      <c r="V347" s="118"/>
      <c r="W347" s="118"/>
      <c r="X347" s="118"/>
      <c r="Y347" s="118"/>
      <c r="Z347" s="118"/>
      <c r="AA347" s="118"/>
      <c r="AB347" s="118"/>
      <c r="AC347" s="118"/>
      <c r="AD347" s="118"/>
      <c r="AE347" s="118"/>
      <c r="AF347" s="118"/>
      <c r="AG347" s="118"/>
      <c r="AH347" s="118"/>
      <c r="AI347" s="118"/>
      <c r="AJ347" s="118"/>
      <c r="AK347" s="118"/>
      <c r="AL347" s="118"/>
      <c r="AM347" s="118"/>
      <c r="AN347" s="118"/>
      <c r="AO347" s="118"/>
      <c r="AP347" s="118"/>
      <c r="AQ347" s="118"/>
      <c r="AR347" s="118"/>
      <c r="AS347" s="118"/>
      <c r="AT347" s="123"/>
      <c r="AU347" s="124"/>
      <c r="AV347" s="124"/>
      <c r="AW347" s="124"/>
      <c r="AX347" s="124"/>
      <c r="AY347" s="124"/>
      <c r="AZ347" s="124"/>
      <c r="BA347" s="124"/>
      <c r="BB347" s="124"/>
      <c r="BC347" s="124"/>
      <c r="BD347" s="124"/>
      <c r="BE347" s="124"/>
      <c r="BF347" s="124"/>
      <c r="BG347" s="124"/>
      <c r="BH347" s="124"/>
      <c r="BI347" s="124"/>
      <c r="BJ347" s="124"/>
      <c r="BK347" s="124"/>
      <c r="BL347" s="124"/>
      <c r="BM347" s="124"/>
      <c r="BN347" s="124"/>
      <c r="BO347" s="124"/>
      <c r="BP347" s="124"/>
      <c r="BQ347" s="124"/>
      <c r="BR347" s="125"/>
      <c r="BS347" s="88"/>
    </row>
    <row r="348">
      <c r="G348" s="9"/>
      <c r="H348" s="9"/>
      <c r="I348" s="9"/>
      <c r="J348" s="143"/>
      <c r="K348" s="141"/>
      <c r="L348" s="141"/>
      <c r="M348" s="141"/>
      <c r="N348" s="141"/>
      <c r="O348" s="9"/>
      <c r="P348" s="9"/>
      <c r="Q348" s="9"/>
      <c r="R348" s="142"/>
      <c r="S348" s="116"/>
      <c r="T348" s="117"/>
      <c r="U348" s="118"/>
      <c r="V348" s="118"/>
      <c r="W348" s="118"/>
      <c r="X348" s="118"/>
      <c r="Y348" s="118"/>
      <c r="Z348" s="118"/>
      <c r="AA348" s="118"/>
      <c r="AB348" s="118"/>
      <c r="AC348" s="118"/>
      <c r="AD348" s="118"/>
      <c r="AE348" s="118"/>
      <c r="AF348" s="118"/>
      <c r="AG348" s="118"/>
      <c r="AH348" s="118"/>
      <c r="AI348" s="118"/>
      <c r="AJ348" s="118"/>
      <c r="AK348" s="118"/>
      <c r="AL348" s="118"/>
      <c r="AM348" s="118"/>
      <c r="AN348" s="118"/>
      <c r="AO348" s="118"/>
      <c r="AP348" s="118"/>
      <c r="AQ348" s="118"/>
      <c r="AR348" s="118"/>
      <c r="AS348" s="118"/>
      <c r="AT348" s="123"/>
      <c r="AU348" s="124"/>
      <c r="AV348" s="124"/>
      <c r="AW348" s="124"/>
      <c r="AX348" s="124"/>
      <c r="AY348" s="124"/>
      <c r="AZ348" s="124"/>
      <c r="BA348" s="124"/>
      <c r="BB348" s="124"/>
      <c r="BC348" s="124"/>
      <c r="BD348" s="124"/>
      <c r="BE348" s="124"/>
      <c r="BF348" s="124"/>
      <c r="BG348" s="124"/>
      <c r="BH348" s="124"/>
      <c r="BI348" s="124"/>
      <c r="BJ348" s="124"/>
      <c r="BK348" s="124"/>
      <c r="BL348" s="124"/>
      <c r="BM348" s="124"/>
      <c r="BN348" s="124"/>
      <c r="BO348" s="124"/>
      <c r="BP348" s="124"/>
      <c r="BQ348" s="124"/>
      <c r="BR348" s="125"/>
      <c r="BS348" s="88"/>
    </row>
    <row r="349">
      <c r="G349" s="9"/>
      <c r="H349" s="9"/>
      <c r="I349" s="9"/>
      <c r="J349" s="143"/>
      <c r="K349" s="141"/>
      <c r="L349" s="141"/>
      <c r="M349" s="141"/>
      <c r="N349" s="141"/>
      <c r="O349" s="9"/>
      <c r="P349" s="9"/>
      <c r="Q349" s="9"/>
      <c r="R349" s="142"/>
      <c r="S349" s="116"/>
      <c r="T349" s="117"/>
      <c r="U349" s="118"/>
      <c r="V349" s="118"/>
      <c r="W349" s="118"/>
      <c r="X349" s="118"/>
      <c r="Y349" s="118"/>
      <c r="Z349" s="118"/>
      <c r="AA349" s="118"/>
      <c r="AB349" s="118"/>
      <c r="AC349" s="118"/>
      <c r="AD349" s="118"/>
      <c r="AE349" s="118"/>
      <c r="AF349" s="118"/>
      <c r="AG349" s="118"/>
      <c r="AH349" s="118"/>
      <c r="AI349" s="118"/>
      <c r="AJ349" s="118"/>
      <c r="AK349" s="118"/>
      <c r="AL349" s="118"/>
      <c r="AM349" s="118"/>
      <c r="AN349" s="118"/>
      <c r="AO349" s="118"/>
      <c r="AP349" s="118"/>
      <c r="AQ349" s="118"/>
      <c r="AR349" s="118"/>
      <c r="AS349" s="118"/>
      <c r="AT349" s="123"/>
      <c r="AU349" s="124"/>
      <c r="AV349" s="124"/>
      <c r="AW349" s="124"/>
      <c r="AX349" s="124"/>
      <c r="AY349" s="124"/>
      <c r="AZ349" s="124"/>
      <c r="BA349" s="124"/>
      <c r="BB349" s="124"/>
      <c r="BC349" s="124"/>
      <c r="BD349" s="124"/>
      <c r="BE349" s="124"/>
      <c r="BF349" s="124"/>
      <c r="BG349" s="124"/>
      <c r="BH349" s="124"/>
      <c r="BI349" s="124"/>
      <c r="BJ349" s="124"/>
      <c r="BK349" s="124"/>
      <c r="BL349" s="124"/>
      <c r="BM349" s="124"/>
      <c r="BN349" s="124"/>
      <c r="BO349" s="124"/>
      <c r="BP349" s="124"/>
      <c r="BQ349" s="124"/>
      <c r="BR349" s="125"/>
      <c r="BS349" s="88"/>
    </row>
    <row r="350">
      <c r="G350" s="9"/>
      <c r="H350" s="9"/>
      <c r="I350" s="9"/>
      <c r="J350" s="143"/>
      <c r="K350" s="141"/>
      <c r="L350" s="141"/>
      <c r="M350" s="141"/>
      <c r="N350" s="141"/>
      <c r="O350" s="9"/>
      <c r="P350" s="9"/>
      <c r="Q350" s="9"/>
      <c r="R350" s="142"/>
      <c r="S350" s="116"/>
      <c r="T350" s="117"/>
      <c r="U350" s="118"/>
      <c r="V350" s="118"/>
      <c r="W350" s="118"/>
      <c r="X350" s="118"/>
      <c r="Y350" s="118"/>
      <c r="Z350" s="118"/>
      <c r="AA350" s="118"/>
      <c r="AB350" s="118"/>
      <c r="AC350" s="118"/>
      <c r="AD350" s="118"/>
      <c r="AE350" s="118"/>
      <c r="AF350" s="118"/>
      <c r="AG350" s="118"/>
      <c r="AH350" s="118"/>
      <c r="AI350" s="118"/>
      <c r="AJ350" s="118"/>
      <c r="AK350" s="118"/>
      <c r="AL350" s="118"/>
      <c r="AM350" s="118"/>
      <c r="AN350" s="118"/>
      <c r="AO350" s="118"/>
      <c r="AP350" s="118"/>
      <c r="AQ350" s="118"/>
      <c r="AR350" s="118"/>
      <c r="AS350" s="118"/>
      <c r="AT350" s="123"/>
      <c r="AU350" s="124"/>
      <c r="AV350" s="124"/>
      <c r="AW350" s="124"/>
      <c r="AX350" s="124"/>
      <c r="AY350" s="124"/>
      <c r="AZ350" s="124"/>
      <c r="BA350" s="124"/>
      <c r="BB350" s="124"/>
      <c r="BC350" s="124"/>
      <c r="BD350" s="124"/>
      <c r="BE350" s="124"/>
      <c r="BF350" s="124"/>
      <c r="BG350" s="124"/>
      <c r="BH350" s="124"/>
      <c r="BI350" s="124"/>
      <c r="BJ350" s="124"/>
      <c r="BK350" s="124"/>
      <c r="BL350" s="124"/>
      <c r="BM350" s="124"/>
      <c r="BN350" s="124"/>
      <c r="BO350" s="124"/>
      <c r="BP350" s="124"/>
      <c r="BQ350" s="124"/>
      <c r="BR350" s="125"/>
      <c r="BS350" s="88"/>
    </row>
    <row r="351">
      <c r="G351" s="9"/>
      <c r="H351" s="9"/>
      <c r="I351" s="9"/>
      <c r="J351" s="143"/>
      <c r="K351" s="141"/>
      <c r="L351" s="141"/>
      <c r="M351" s="141"/>
      <c r="N351" s="141"/>
      <c r="O351" s="9"/>
      <c r="P351" s="9"/>
      <c r="Q351" s="9"/>
      <c r="R351" s="142"/>
      <c r="S351" s="116"/>
      <c r="T351" s="117"/>
      <c r="U351" s="118"/>
      <c r="V351" s="118"/>
      <c r="W351" s="118"/>
      <c r="X351" s="118"/>
      <c r="Y351" s="118"/>
      <c r="Z351" s="118"/>
      <c r="AA351" s="118"/>
      <c r="AB351" s="118"/>
      <c r="AC351" s="118"/>
      <c r="AD351" s="118"/>
      <c r="AE351" s="118"/>
      <c r="AF351" s="118"/>
      <c r="AG351" s="118"/>
      <c r="AH351" s="118"/>
      <c r="AI351" s="118"/>
      <c r="AJ351" s="118"/>
      <c r="AK351" s="118"/>
      <c r="AL351" s="118"/>
      <c r="AM351" s="118"/>
      <c r="AN351" s="118"/>
      <c r="AO351" s="118"/>
      <c r="AP351" s="118"/>
      <c r="AQ351" s="118"/>
      <c r="AR351" s="118"/>
      <c r="AS351" s="118"/>
      <c r="AT351" s="123"/>
      <c r="AU351" s="124"/>
      <c r="AV351" s="124"/>
      <c r="AW351" s="124"/>
      <c r="AX351" s="124"/>
      <c r="AY351" s="124"/>
      <c r="AZ351" s="124"/>
      <c r="BA351" s="124"/>
      <c r="BB351" s="124"/>
      <c r="BC351" s="124"/>
      <c r="BD351" s="124"/>
      <c r="BE351" s="124"/>
      <c r="BF351" s="124"/>
      <c r="BG351" s="124"/>
      <c r="BH351" s="124"/>
      <c r="BI351" s="124"/>
      <c r="BJ351" s="124"/>
      <c r="BK351" s="124"/>
      <c r="BL351" s="124"/>
      <c r="BM351" s="124"/>
      <c r="BN351" s="124"/>
      <c r="BO351" s="124"/>
      <c r="BP351" s="124"/>
      <c r="BQ351" s="124"/>
      <c r="BR351" s="125"/>
      <c r="BS351" s="88"/>
    </row>
    <row r="352">
      <c r="G352" s="9"/>
      <c r="H352" s="9"/>
      <c r="I352" s="9"/>
      <c r="J352" s="143"/>
      <c r="K352" s="141"/>
      <c r="L352" s="141"/>
      <c r="M352" s="141"/>
      <c r="N352" s="141"/>
      <c r="O352" s="9"/>
      <c r="P352" s="9"/>
      <c r="Q352" s="9"/>
      <c r="R352" s="142"/>
      <c r="S352" s="116"/>
      <c r="T352" s="117"/>
      <c r="U352" s="118"/>
      <c r="V352" s="118"/>
      <c r="W352" s="118"/>
      <c r="X352" s="118"/>
      <c r="Y352" s="118"/>
      <c r="Z352" s="118"/>
      <c r="AA352" s="118"/>
      <c r="AB352" s="118"/>
      <c r="AC352" s="118"/>
      <c r="AD352" s="118"/>
      <c r="AE352" s="118"/>
      <c r="AF352" s="118"/>
      <c r="AG352" s="118"/>
      <c r="AH352" s="118"/>
      <c r="AI352" s="118"/>
      <c r="AJ352" s="118"/>
      <c r="AK352" s="118"/>
      <c r="AL352" s="118"/>
      <c r="AM352" s="118"/>
      <c r="AN352" s="118"/>
      <c r="AO352" s="118"/>
      <c r="AP352" s="118"/>
      <c r="AQ352" s="118"/>
      <c r="AR352" s="118"/>
      <c r="AS352" s="118"/>
      <c r="AT352" s="123"/>
      <c r="AU352" s="124"/>
      <c r="AV352" s="124"/>
      <c r="AW352" s="124"/>
      <c r="AX352" s="124"/>
      <c r="AY352" s="124"/>
      <c r="AZ352" s="124"/>
      <c r="BA352" s="124"/>
      <c r="BB352" s="124"/>
      <c r="BC352" s="124"/>
      <c r="BD352" s="124"/>
      <c r="BE352" s="124"/>
      <c r="BF352" s="124"/>
      <c r="BG352" s="124"/>
      <c r="BH352" s="124"/>
      <c r="BI352" s="124"/>
      <c r="BJ352" s="124"/>
      <c r="BK352" s="124"/>
      <c r="BL352" s="124"/>
      <c r="BM352" s="124"/>
      <c r="BN352" s="124"/>
      <c r="BO352" s="124"/>
      <c r="BP352" s="124"/>
      <c r="BQ352" s="124"/>
      <c r="BR352" s="125"/>
      <c r="BS352" s="88"/>
    </row>
    <row r="353">
      <c r="G353" s="9"/>
      <c r="H353" s="9"/>
      <c r="I353" s="9"/>
      <c r="J353" s="143"/>
      <c r="K353" s="141"/>
      <c r="L353" s="141"/>
      <c r="M353" s="141"/>
      <c r="N353" s="141"/>
      <c r="O353" s="9"/>
      <c r="P353" s="9"/>
      <c r="Q353" s="9"/>
      <c r="R353" s="142"/>
      <c r="S353" s="116"/>
      <c r="T353" s="117"/>
      <c r="U353" s="118"/>
      <c r="V353" s="118"/>
      <c r="W353" s="118"/>
      <c r="X353" s="118"/>
      <c r="Y353" s="118"/>
      <c r="Z353" s="118"/>
      <c r="AA353" s="118"/>
      <c r="AB353" s="118"/>
      <c r="AC353" s="118"/>
      <c r="AD353" s="118"/>
      <c r="AE353" s="118"/>
      <c r="AF353" s="118"/>
      <c r="AG353" s="118"/>
      <c r="AH353" s="118"/>
      <c r="AI353" s="118"/>
      <c r="AJ353" s="118"/>
      <c r="AK353" s="118"/>
      <c r="AL353" s="118"/>
      <c r="AM353" s="118"/>
      <c r="AN353" s="118"/>
      <c r="AO353" s="118"/>
      <c r="AP353" s="118"/>
      <c r="AQ353" s="118"/>
      <c r="AR353" s="118"/>
      <c r="AS353" s="118"/>
      <c r="AT353" s="123"/>
      <c r="AU353" s="124"/>
      <c r="AV353" s="124"/>
      <c r="AW353" s="124"/>
      <c r="AX353" s="124"/>
      <c r="AY353" s="124"/>
      <c r="AZ353" s="124"/>
      <c r="BA353" s="124"/>
      <c r="BB353" s="124"/>
      <c r="BC353" s="124"/>
      <c r="BD353" s="124"/>
      <c r="BE353" s="124"/>
      <c r="BF353" s="124"/>
      <c r="BG353" s="124"/>
      <c r="BH353" s="124"/>
      <c r="BI353" s="124"/>
      <c r="BJ353" s="124"/>
      <c r="BK353" s="124"/>
      <c r="BL353" s="124"/>
      <c r="BM353" s="124"/>
      <c r="BN353" s="124"/>
      <c r="BO353" s="124"/>
      <c r="BP353" s="124"/>
      <c r="BQ353" s="124"/>
      <c r="BR353" s="125"/>
      <c r="BS353" s="88"/>
    </row>
    <row r="354">
      <c r="G354" s="9"/>
      <c r="H354" s="9"/>
      <c r="I354" s="9"/>
      <c r="J354" s="143"/>
      <c r="K354" s="141"/>
      <c r="L354" s="141"/>
      <c r="M354" s="141"/>
      <c r="N354" s="141"/>
      <c r="O354" s="9"/>
      <c r="P354" s="9"/>
      <c r="Q354" s="9"/>
      <c r="R354" s="142"/>
      <c r="S354" s="116"/>
      <c r="T354" s="117"/>
      <c r="U354" s="118"/>
      <c r="V354" s="118"/>
      <c r="W354" s="118"/>
      <c r="X354" s="118"/>
      <c r="Y354" s="118"/>
      <c r="Z354" s="118"/>
      <c r="AA354" s="118"/>
      <c r="AB354" s="118"/>
      <c r="AC354" s="118"/>
      <c r="AD354" s="118"/>
      <c r="AE354" s="118"/>
      <c r="AF354" s="118"/>
      <c r="AG354" s="118"/>
      <c r="AH354" s="118"/>
      <c r="AI354" s="118"/>
      <c r="AJ354" s="118"/>
      <c r="AK354" s="118"/>
      <c r="AL354" s="118"/>
      <c r="AM354" s="118"/>
      <c r="AN354" s="118"/>
      <c r="AO354" s="118"/>
      <c r="AP354" s="118"/>
      <c r="AQ354" s="118"/>
      <c r="AR354" s="118"/>
      <c r="AS354" s="118"/>
      <c r="AT354" s="123"/>
      <c r="AU354" s="124"/>
      <c r="AV354" s="124"/>
      <c r="AW354" s="124"/>
      <c r="AX354" s="124"/>
      <c r="AY354" s="124"/>
      <c r="AZ354" s="124"/>
      <c r="BA354" s="124"/>
      <c r="BB354" s="124"/>
      <c r="BC354" s="124"/>
      <c r="BD354" s="124"/>
      <c r="BE354" s="124"/>
      <c r="BF354" s="124"/>
      <c r="BG354" s="124"/>
      <c r="BH354" s="124"/>
      <c r="BI354" s="124"/>
      <c r="BJ354" s="124"/>
      <c r="BK354" s="124"/>
      <c r="BL354" s="124"/>
      <c r="BM354" s="124"/>
      <c r="BN354" s="124"/>
      <c r="BO354" s="124"/>
      <c r="BP354" s="124"/>
      <c r="BQ354" s="124"/>
      <c r="BR354" s="125"/>
      <c r="BS354" s="88"/>
    </row>
    <row r="355">
      <c r="G355" s="9"/>
      <c r="H355" s="9"/>
      <c r="I355" s="9"/>
      <c r="J355" s="143"/>
      <c r="K355" s="141"/>
      <c r="L355" s="141"/>
      <c r="M355" s="141"/>
      <c r="N355" s="141"/>
      <c r="O355" s="9"/>
      <c r="P355" s="9"/>
      <c r="Q355" s="9"/>
      <c r="R355" s="142"/>
      <c r="S355" s="116"/>
      <c r="T355" s="117"/>
      <c r="U355" s="118"/>
      <c r="V355" s="118"/>
      <c r="W355" s="118"/>
      <c r="X355" s="118"/>
      <c r="Y355" s="118"/>
      <c r="Z355" s="118"/>
      <c r="AA355" s="118"/>
      <c r="AB355" s="118"/>
      <c r="AC355" s="118"/>
      <c r="AD355" s="118"/>
      <c r="AE355" s="118"/>
      <c r="AF355" s="118"/>
      <c r="AG355" s="118"/>
      <c r="AH355" s="118"/>
      <c r="AI355" s="118"/>
      <c r="AJ355" s="118"/>
      <c r="AK355" s="118"/>
      <c r="AL355" s="118"/>
      <c r="AM355" s="118"/>
      <c r="AN355" s="118"/>
      <c r="AO355" s="118"/>
      <c r="AP355" s="118"/>
      <c r="AQ355" s="118"/>
      <c r="AR355" s="118"/>
      <c r="AS355" s="118"/>
      <c r="AT355" s="123"/>
      <c r="AU355" s="124"/>
      <c r="AV355" s="124"/>
      <c r="AW355" s="124"/>
      <c r="AX355" s="124"/>
      <c r="AY355" s="124"/>
      <c r="AZ355" s="124"/>
      <c r="BA355" s="124"/>
      <c r="BB355" s="124"/>
      <c r="BC355" s="124"/>
      <c r="BD355" s="124"/>
      <c r="BE355" s="124"/>
      <c r="BF355" s="124"/>
      <c r="BG355" s="124"/>
      <c r="BH355" s="124"/>
      <c r="BI355" s="124"/>
      <c r="BJ355" s="124"/>
      <c r="BK355" s="124"/>
      <c r="BL355" s="124"/>
      <c r="BM355" s="124"/>
      <c r="BN355" s="124"/>
      <c r="BO355" s="124"/>
      <c r="BP355" s="124"/>
      <c r="BQ355" s="124"/>
      <c r="BR355" s="125"/>
      <c r="BS355" s="88"/>
    </row>
    <row r="356">
      <c r="G356" s="9"/>
      <c r="H356" s="9"/>
      <c r="I356" s="9"/>
      <c r="J356" s="143"/>
      <c r="K356" s="141"/>
      <c r="L356" s="141"/>
      <c r="M356" s="141"/>
      <c r="N356" s="141"/>
      <c r="O356" s="9"/>
      <c r="P356" s="9"/>
      <c r="Q356" s="9"/>
      <c r="R356" s="142"/>
      <c r="S356" s="116"/>
      <c r="T356" s="117"/>
      <c r="U356" s="118"/>
      <c r="V356" s="118"/>
      <c r="W356" s="118"/>
      <c r="X356" s="118"/>
      <c r="Y356" s="118"/>
      <c r="Z356" s="118"/>
      <c r="AA356" s="118"/>
      <c r="AB356" s="118"/>
      <c r="AC356" s="118"/>
      <c r="AD356" s="118"/>
      <c r="AE356" s="118"/>
      <c r="AF356" s="118"/>
      <c r="AG356" s="118"/>
      <c r="AH356" s="118"/>
      <c r="AI356" s="118"/>
      <c r="AJ356" s="118"/>
      <c r="AK356" s="118"/>
      <c r="AL356" s="118"/>
      <c r="AM356" s="118"/>
      <c r="AN356" s="118"/>
      <c r="AO356" s="118"/>
      <c r="AP356" s="118"/>
      <c r="AQ356" s="118"/>
      <c r="AR356" s="118"/>
      <c r="AS356" s="118"/>
      <c r="AT356" s="123"/>
      <c r="AU356" s="124"/>
      <c r="AV356" s="124"/>
      <c r="AW356" s="124"/>
      <c r="AX356" s="124"/>
      <c r="AY356" s="124"/>
      <c r="AZ356" s="124"/>
      <c r="BA356" s="124"/>
      <c r="BB356" s="124"/>
      <c r="BC356" s="124"/>
      <c r="BD356" s="124"/>
      <c r="BE356" s="124"/>
      <c r="BF356" s="124"/>
      <c r="BG356" s="124"/>
      <c r="BH356" s="124"/>
      <c r="BI356" s="124"/>
      <c r="BJ356" s="124"/>
      <c r="BK356" s="124"/>
      <c r="BL356" s="124"/>
      <c r="BM356" s="124"/>
      <c r="BN356" s="124"/>
      <c r="BO356" s="124"/>
      <c r="BP356" s="124"/>
      <c r="BQ356" s="124"/>
      <c r="BR356" s="125"/>
      <c r="BS356" s="88"/>
    </row>
    <row r="357">
      <c r="G357" s="9"/>
      <c r="H357" s="9"/>
      <c r="I357" s="9"/>
      <c r="J357" s="143"/>
      <c r="K357" s="141"/>
      <c r="L357" s="141"/>
      <c r="M357" s="141"/>
      <c r="N357" s="141"/>
      <c r="O357" s="9"/>
      <c r="P357" s="9"/>
      <c r="Q357" s="9"/>
      <c r="R357" s="142"/>
      <c r="S357" s="116"/>
      <c r="T357" s="117"/>
      <c r="U357" s="118"/>
      <c r="V357" s="118"/>
      <c r="W357" s="118"/>
      <c r="X357" s="118"/>
      <c r="Y357" s="118"/>
      <c r="Z357" s="118"/>
      <c r="AA357" s="118"/>
      <c r="AB357" s="118"/>
      <c r="AC357" s="118"/>
      <c r="AD357" s="118"/>
      <c r="AE357" s="118"/>
      <c r="AF357" s="118"/>
      <c r="AG357" s="118"/>
      <c r="AH357" s="118"/>
      <c r="AI357" s="118"/>
      <c r="AJ357" s="118"/>
      <c r="AK357" s="118"/>
      <c r="AL357" s="118"/>
      <c r="AM357" s="118"/>
      <c r="AN357" s="118"/>
      <c r="AO357" s="118"/>
      <c r="AP357" s="118"/>
      <c r="AQ357" s="118"/>
      <c r="AR357" s="118"/>
      <c r="AS357" s="118"/>
      <c r="AT357" s="123"/>
      <c r="AU357" s="124"/>
      <c r="AV357" s="124"/>
      <c r="AW357" s="124"/>
      <c r="AX357" s="124"/>
      <c r="AY357" s="124"/>
      <c r="AZ357" s="124"/>
      <c r="BA357" s="124"/>
      <c r="BB357" s="124"/>
      <c r="BC357" s="124"/>
      <c r="BD357" s="124"/>
      <c r="BE357" s="124"/>
      <c r="BF357" s="124"/>
      <c r="BG357" s="124"/>
      <c r="BH357" s="124"/>
      <c r="BI357" s="124"/>
      <c r="BJ357" s="124"/>
      <c r="BK357" s="124"/>
      <c r="BL357" s="124"/>
      <c r="BM357" s="124"/>
      <c r="BN357" s="124"/>
      <c r="BO357" s="124"/>
      <c r="BP357" s="124"/>
      <c r="BQ357" s="124"/>
      <c r="BR357" s="125"/>
      <c r="BS357" s="88"/>
    </row>
    <row r="358">
      <c r="G358" s="9"/>
      <c r="H358" s="9"/>
      <c r="I358" s="9"/>
      <c r="J358" s="143"/>
      <c r="K358" s="141"/>
      <c r="L358" s="141"/>
      <c r="M358" s="141"/>
      <c r="N358" s="141"/>
      <c r="O358" s="9"/>
      <c r="P358" s="9"/>
      <c r="Q358" s="9"/>
      <c r="R358" s="142"/>
      <c r="S358" s="116"/>
      <c r="T358" s="117"/>
      <c r="U358" s="118"/>
      <c r="V358" s="118"/>
      <c r="W358" s="118"/>
      <c r="X358" s="118"/>
      <c r="Y358" s="118"/>
      <c r="Z358" s="118"/>
      <c r="AA358" s="118"/>
      <c r="AB358" s="118"/>
      <c r="AC358" s="118"/>
      <c r="AD358" s="118"/>
      <c r="AE358" s="118"/>
      <c r="AF358" s="118"/>
      <c r="AG358" s="118"/>
      <c r="AH358" s="118"/>
      <c r="AI358" s="118"/>
      <c r="AJ358" s="118"/>
      <c r="AK358" s="118"/>
      <c r="AL358" s="118"/>
      <c r="AM358" s="118"/>
      <c r="AN358" s="118"/>
      <c r="AO358" s="118"/>
      <c r="AP358" s="118"/>
      <c r="AQ358" s="118"/>
      <c r="AR358" s="118"/>
      <c r="AS358" s="118"/>
      <c r="AT358" s="123"/>
      <c r="AU358" s="124"/>
      <c r="AV358" s="124"/>
      <c r="AW358" s="124"/>
      <c r="AX358" s="124"/>
      <c r="AY358" s="124"/>
      <c r="AZ358" s="124"/>
      <c r="BA358" s="124"/>
      <c r="BB358" s="124"/>
      <c r="BC358" s="124"/>
      <c r="BD358" s="124"/>
      <c r="BE358" s="124"/>
      <c r="BF358" s="124"/>
      <c r="BG358" s="124"/>
      <c r="BH358" s="124"/>
      <c r="BI358" s="124"/>
      <c r="BJ358" s="124"/>
      <c r="BK358" s="124"/>
      <c r="BL358" s="124"/>
      <c r="BM358" s="124"/>
      <c r="BN358" s="124"/>
      <c r="BO358" s="124"/>
      <c r="BP358" s="124"/>
      <c r="BQ358" s="124"/>
      <c r="BR358" s="125"/>
      <c r="BS358" s="88"/>
    </row>
    <row r="359">
      <c r="G359" s="9"/>
      <c r="H359" s="9"/>
      <c r="I359" s="9"/>
      <c r="J359" s="143"/>
      <c r="K359" s="141"/>
      <c r="L359" s="141"/>
      <c r="M359" s="141"/>
      <c r="N359" s="141"/>
      <c r="O359" s="9"/>
      <c r="P359" s="9"/>
      <c r="Q359" s="9"/>
      <c r="R359" s="142"/>
      <c r="S359" s="116"/>
      <c r="T359" s="117"/>
      <c r="U359" s="118"/>
      <c r="V359" s="118"/>
      <c r="W359" s="118"/>
      <c r="X359" s="118"/>
      <c r="Y359" s="118"/>
      <c r="Z359" s="118"/>
      <c r="AA359" s="118"/>
      <c r="AB359" s="118"/>
      <c r="AC359" s="118"/>
      <c r="AD359" s="118"/>
      <c r="AE359" s="118"/>
      <c r="AF359" s="118"/>
      <c r="AG359" s="118"/>
      <c r="AH359" s="118"/>
      <c r="AI359" s="118"/>
      <c r="AJ359" s="118"/>
      <c r="AK359" s="118"/>
      <c r="AL359" s="118"/>
      <c r="AM359" s="118"/>
      <c r="AN359" s="118"/>
      <c r="AO359" s="118"/>
      <c r="AP359" s="118"/>
      <c r="AQ359" s="118"/>
      <c r="AR359" s="118"/>
      <c r="AS359" s="118"/>
      <c r="AT359" s="123"/>
      <c r="AU359" s="124"/>
      <c r="AV359" s="124"/>
      <c r="AW359" s="124"/>
      <c r="AX359" s="124"/>
      <c r="AY359" s="124"/>
      <c r="AZ359" s="124"/>
      <c r="BA359" s="124"/>
      <c r="BB359" s="124"/>
      <c r="BC359" s="124"/>
      <c r="BD359" s="124"/>
      <c r="BE359" s="124"/>
      <c r="BF359" s="124"/>
      <c r="BG359" s="124"/>
      <c r="BH359" s="124"/>
      <c r="BI359" s="124"/>
      <c r="BJ359" s="124"/>
      <c r="BK359" s="124"/>
      <c r="BL359" s="124"/>
      <c r="BM359" s="124"/>
      <c r="BN359" s="124"/>
      <c r="BO359" s="124"/>
      <c r="BP359" s="124"/>
      <c r="BQ359" s="124"/>
      <c r="BR359" s="125"/>
      <c r="BS359" s="88"/>
    </row>
    <row r="360">
      <c r="G360" s="9"/>
      <c r="H360" s="9"/>
      <c r="I360" s="9"/>
      <c r="J360" s="143"/>
      <c r="K360" s="141"/>
      <c r="L360" s="141"/>
      <c r="M360" s="141"/>
      <c r="N360" s="141"/>
      <c r="O360" s="9"/>
      <c r="P360" s="9"/>
      <c r="Q360" s="9"/>
      <c r="R360" s="142"/>
      <c r="S360" s="116"/>
      <c r="T360" s="117"/>
      <c r="U360" s="118"/>
      <c r="V360" s="118"/>
      <c r="W360" s="118"/>
      <c r="X360" s="118"/>
      <c r="Y360" s="118"/>
      <c r="Z360" s="118"/>
      <c r="AA360" s="118"/>
      <c r="AB360" s="118"/>
      <c r="AC360" s="118"/>
      <c r="AD360" s="118"/>
      <c r="AE360" s="118"/>
      <c r="AF360" s="118"/>
      <c r="AG360" s="118"/>
      <c r="AH360" s="118"/>
      <c r="AI360" s="118"/>
      <c r="AJ360" s="118"/>
      <c r="AK360" s="118"/>
      <c r="AL360" s="118"/>
      <c r="AM360" s="118"/>
      <c r="AN360" s="118"/>
      <c r="AO360" s="118"/>
      <c r="AP360" s="118"/>
      <c r="AQ360" s="118"/>
      <c r="AR360" s="118"/>
      <c r="AS360" s="118"/>
      <c r="AT360" s="123"/>
      <c r="AU360" s="124"/>
      <c r="AV360" s="124"/>
      <c r="AW360" s="124"/>
      <c r="AX360" s="124"/>
      <c r="AY360" s="124"/>
      <c r="AZ360" s="124"/>
      <c r="BA360" s="124"/>
      <c r="BB360" s="124"/>
      <c r="BC360" s="124"/>
      <c r="BD360" s="124"/>
      <c r="BE360" s="124"/>
      <c r="BF360" s="124"/>
      <c r="BG360" s="124"/>
      <c r="BH360" s="124"/>
      <c r="BI360" s="124"/>
      <c r="BJ360" s="124"/>
      <c r="BK360" s="124"/>
      <c r="BL360" s="124"/>
      <c r="BM360" s="124"/>
      <c r="BN360" s="124"/>
      <c r="BO360" s="124"/>
      <c r="BP360" s="124"/>
      <c r="BQ360" s="124"/>
      <c r="BR360" s="125"/>
      <c r="BS360" s="88"/>
    </row>
    <row r="361">
      <c r="G361" s="9"/>
      <c r="H361" s="9"/>
      <c r="I361" s="9"/>
      <c r="J361" s="143"/>
      <c r="K361" s="141"/>
      <c r="L361" s="141"/>
      <c r="M361" s="141"/>
      <c r="N361" s="141"/>
      <c r="O361" s="9"/>
      <c r="P361" s="9"/>
      <c r="Q361" s="9"/>
      <c r="R361" s="142"/>
      <c r="S361" s="116"/>
      <c r="T361" s="117"/>
      <c r="U361" s="118"/>
      <c r="V361" s="118"/>
      <c r="W361" s="118"/>
      <c r="X361" s="118"/>
      <c r="Y361" s="118"/>
      <c r="Z361" s="118"/>
      <c r="AA361" s="118"/>
      <c r="AB361" s="118"/>
      <c r="AC361" s="118"/>
      <c r="AD361" s="118"/>
      <c r="AE361" s="118"/>
      <c r="AF361" s="118"/>
      <c r="AG361" s="118"/>
      <c r="AH361" s="118"/>
      <c r="AI361" s="118"/>
      <c r="AJ361" s="118"/>
      <c r="AK361" s="118"/>
      <c r="AL361" s="118"/>
      <c r="AM361" s="118"/>
      <c r="AN361" s="118"/>
      <c r="AO361" s="118"/>
      <c r="AP361" s="118"/>
      <c r="AQ361" s="118"/>
      <c r="AR361" s="118"/>
      <c r="AS361" s="118"/>
      <c r="AT361" s="123"/>
      <c r="AU361" s="124"/>
      <c r="AV361" s="124"/>
      <c r="AW361" s="124"/>
      <c r="AX361" s="124"/>
      <c r="AY361" s="124"/>
      <c r="AZ361" s="124"/>
      <c r="BA361" s="124"/>
      <c r="BB361" s="124"/>
      <c r="BC361" s="124"/>
      <c r="BD361" s="124"/>
      <c r="BE361" s="124"/>
      <c r="BF361" s="124"/>
      <c r="BG361" s="124"/>
      <c r="BH361" s="124"/>
      <c r="BI361" s="124"/>
      <c r="BJ361" s="124"/>
      <c r="BK361" s="124"/>
      <c r="BL361" s="124"/>
      <c r="BM361" s="124"/>
      <c r="BN361" s="124"/>
      <c r="BO361" s="124"/>
      <c r="BP361" s="124"/>
      <c r="BQ361" s="124"/>
      <c r="BR361" s="125"/>
      <c r="BS361" s="88"/>
    </row>
    <row r="362">
      <c r="G362" s="9"/>
      <c r="H362" s="9"/>
      <c r="I362" s="9"/>
      <c r="J362" s="143"/>
      <c r="K362" s="141"/>
      <c r="L362" s="141"/>
      <c r="M362" s="141"/>
      <c r="N362" s="141"/>
      <c r="O362" s="9"/>
      <c r="P362" s="9"/>
      <c r="Q362" s="9"/>
      <c r="R362" s="142"/>
      <c r="S362" s="116"/>
      <c r="T362" s="117"/>
      <c r="U362" s="118"/>
      <c r="V362" s="118"/>
      <c r="W362" s="118"/>
      <c r="X362" s="118"/>
      <c r="Y362" s="118"/>
      <c r="Z362" s="118"/>
      <c r="AA362" s="118"/>
      <c r="AB362" s="118"/>
      <c r="AC362" s="118"/>
      <c r="AD362" s="118"/>
      <c r="AE362" s="118"/>
      <c r="AF362" s="118"/>
      <c r="AG362" s="118"/>
      <c r="AH362" s="118"/>
      <c r="AI362" s="118"/>
      <c r="AJ362" s="118"/>
      <c r="AK362" s="118"/>
      <c r="AL362" s="118"/>
      <c r="AM362" s="118"/>
      <c r="AN362" s="118"/>
      <c r="AO362" s="118"/>
      <c r="AP362" s="118"/>
      <c r="AQ362" s="118"/>
      <c r="AR362" s="118"/>
      <c r="AS362" s="118"/>
      <c r="AT362" s="123"/>
      <c r="AU362" s="124"/>
      <c r="AV362" s="124"/>
      <c r="AW362" s="124"/>
      <c r="AX362" s="124"/>
      <c r="AY362" s="124"/>
      <c r="AZ362" s="124"/>
      <c r="BA362" s="124"/>
      <c r="BB362" s="124"/>
      <c r="BC362" s="124"/>
      <c r="BD362" s="124"/>
      <c r="BE362" s="124"/>
      <c r="BF362" s="124"/>
      <c r="BG362" s="124"/>
      <c r="BH362" s="124"/>
      <c r="BI362" s="124"/>
      <c r="BJ362" s="124"/>
      <c r="BK362" s="124"/>
      <c r="BL362" s="124"/>
      <c r="BM362" s="124"/>
      <c r="BN362" s="124"/>
      <c r="BO362" s="124"/>
      <c r="BP362" s="124"/>
      <c r="BQ362" s="124"/>
      <c r="BR362" s="125"/>
      <c r="BS362" s="88"/>
    </row>
    <row r="363">
      <c r="G363" s="9"/>
      <c r="H363" s="9"/>
      <c r="I363" s="9"/>
      <c r="J363" s="143"/>
      <c r="K363" s="141"/>
      <c r="L363" s="141"/>
      <c r="M363" s="141"/>
      <c r="N363" s="141"/>
      <c r="O363" s="9"/>
      <c r="P363" s="9"/>
      <c r="Q363" s="9"/>
      <c r="R363" s="142"/>
      <c r="S363" s="116"/>
      <c r="T363" s="117"/>
      <c r="U363" s="118"/>
      <c r="V363" s="118"/>
      <c r="W363" s="118"/>
      <c r="X363" s="118"/>
      <c r="Y363" s="118"/>
      <c r="Z363" s="118"/>
      <c r="AA363" s="118"/>
      <c r="AB363" s="118"/>
      <c r="AC363" s="118"/>
      <c r="AD363" s="118"/>
      <c r="AE363" s="118"/>
      <c r="AF363" s="118"/>
      <c r="AG363" s="118"/>
      <c r="AH363" s="118"/>
      <c r="AI363" s="118"/>
      <c r="AJ363" s="118"/>
      <c r="AK363" s="118"/>
      <c r="AL363" s="118"/>
      <c r="AM363" s="118"/>
      <c r="AN363" s="118"/>
      <c r="AO363" s="118"/>
      <c r="AP363" s="118"/>
      <c r="AQ363" s="118"/>
      <c r="AR363" s="118"/>
      <c r="AS363" s="118"/>
      <c r="AT363" s="123"/>
      <c r="AU363" s="124"/>
      <c r="AV363" s="124"/>
      <c r="AW363" s="124"/>
      <c r="AX363" s="124"/>
      <c r="AY363" s="124"/>
      <c r="AZ363" s="124"/>
      <c r="BA363" s="124"/>
      <c r="BB363" s="124"/>
      <c r="BC363" s="124"/>
      <c r="BD363" s="124"/>
      <c r="BE363" s="124"/>
      <c r="BF363" s="124"/>
      <c r="BG363" s="124"/>
      <c r="BH363" s="124"/>
      <c r="BI363" s="124"/>
      <c r="BJ363" s="124"/>
      <c r="BK363" s="124"/>
      <c r="BL363" s="124"/>
      <c r="BM363" s="124"/>
      <c r="BN363" s="124"/>
      <c r="BO363" s="124"/>
      <c r="BP363" s="124"/>
      <c r="BQ363" s="124"/>
      <c r="BR363" s="125"/>
      <c r="BS363" s="88"/>
    </row>
    <row r="364">
      <c r="G364" s="9"/>
      <c r="H364" s="9"/>
      <c r="I364" s="9"/>
      <c r="J364" s="143"/>
      <c r="K364" s="141"/>
      <c r="L364" s="141"/>
      <c r="M364" s="141"/>
      <c r="N364" s="141"/>
      <c r="O364" s="9"/>
      <c r="P364" s="9"/>
      <c r="Q364" s="9"/>
      <c r="R364" s="142"/>
      <c r="S364" s="116"/>
      <c r="T364" s="117"/>
      <c r="U364" s="118"/>
      <c r="V364" s="118"/>
      <c r="W364" s="118"/>
      <c r="X364" s="118"/>
      <c r="Y364" s="118"/>
      <c r="Z364" s="118"/>
      <c r="AA364" s="118"/>
      <c r="AB364" s="118"/>
      <c r="AC364" s="118"/>
      <c r="AD364" s="118"/>
      <c r="AE364" s="118"/>
      <c r="AF364" s="118"/>
      <c r="AG364" s="118"/>
      <c r="AH364" s="118"/>
      <c r="AI364" s="118"/>
      <c r="AJ364" s="118"/>
      <c r="AK364" s="118"/>
      <c r="AL364" s="118"/>
      <c r="AM364" s="118"/>
      <c r="AN364" s="118"/>
      <c r="AO364" s="118"/>
      <c r="AP364" s="118"/>
      <c r="AQ364" s="118"/>
      <c r="AR364" s="118"/>
      <c r="AS364" s="118"/>
      <c r="AT364" s="123"/>
      <c r="AU364" s="124"/>
      <c r="AV364" s="124"/>
      <c r="AW364" s="124"/>
      <c r="AX364" s="124"/>
      <c r="AY364" s="124"/>
      <c r="AZ364" s="124"/>
      <c r="BA364" s="124"/>
      <c r="BB364" s="124"/>
      <c r="BC364" s="124"/>
      <c r="BD364" s="124"/>
      <c r="BE364" s="124"/>
      <c r="BF364" s="124"/>
      <c r="BG364" s="124"/>
      <c r="BH364" s="124"/>
      <c r="BI364" s="124"/>
      <c r="BJ364" s="124"/>
      <c r="BK364" s="124"/>
      <c r="BL364" s="124"/>
      <c r="BM364" s="124"/>
      <c r="BN364" s="124"/>
      <c r="BO364" s="124"/>
      <c r="BP364" s="124"/>
      <c r="BQ364" s="124"/>
      <c r="BR364" s="125"/>
      <c r="BS364" s="88"/>
    </row>
    <row r="365">
      <c r="G365" s="9"/>
      <c r="H365" s="9"/>
      <c r="I365" s="9"/>
      <c r="J365" s="143"/>
      <c r="K365" s="141"/>
      <c r="L365" s="141"/>
      <c r="M365" s="141"/>
      <c r="N365" s="141"/>
      <c r="O365" s="9"/>
      <c r="P365" s="9"/>
      <c r="Q365" s="9"/>
      <c r="R365" s="142"/>
      <c r="S365" s="116"/>
      <c r="T365" s="117"/>
      <c r="U365" s="118"/>
      <c r="V365" s="118"/>
      <c r="W365" s="118"/>
      <c r="X365" s="118"/>
      <c r="Y365" s="118"/>
      <c r="Z365" s="118"/>
      <c r="AA365" s="118"/>
      <c r="AB365" s="118"/>
      <c r="AC365" s="118"/>
      <c r="AD365" s="118"/>
      <c r="AE365" s="118"/>
      <c r="AF365" s="118"/>
      <c r="AG365" s="118"/>
      <c r="AH365" s="118"/>
      <c r="AI365" s="118"/>
      <c r="AJ365" s="118"/>
      <c r="AK365" s="118"/>
      <c r="AL365" s="118"/>
      <c r="AM365" s="118"/>
      <c r="AN365" s="118"/>
      <c r="AO365" s="118"/>
      <c r="AP365" s="118"/>
      <c r="AQ365" s="118"/>
      <c r="AR365" s="118"/>
      <c r="AS365" s="118"/>
      <c r="AT365" s="123"/>
      <c r="AU365" s="124"/>
      <c r="AV365" s="124"/>
      <c r="AW365" s="124"/>
      <c r="AX365" s="124"/>
      <c r="AY365" s="124"/>
      <c r="AZ365" s="124"/>
      <c r="BA365" s="124"/>
      <c r="BB365" s="124"/>
      <c r="BC365" s="124"/>
      <c r="BD365" s="124"/>
      <c r="BE365" s="124"/>
      <c r="BF365" s="124"/>
      <c r="BG365" s="124"/>
      <c r="BH365" s="124"/>
      <c r="BI365" s="124"/>
      <c r="BJ365" s="124"/>
      <c r="BK365" s="124"/>
      <c r="BL365" s="124"/>
      <c r="BM365" s="124"/>
      <c r="BN365" s="124"/>
      <c r="BO365" s="124"/>
      <c r="BP365" s="124"/>
      <c r="BQ365" s="124"/>
      <c r="BR365" s="125"/>
      <c r="BS365" s="88"/>
    </row>
    <row r="366">
      <c r="G366" s="9"/>
      <c r="H366" s="9"/>
      <c r="I366" s="9"/>
      <c r="J366" s="143"/>
      <c r="K366" s="141"/>
      <c r="L366" s="141"/>
      <c r="M366" s="141"/>
      <c r="N366" s="141"/>
      <c r="O366" s="9"/>
      <c r="P366" s="9"/>
      <c r="Q366" s="9"/>
      <c r="R366" s="142"/>
      <c r="S366" s="116"/>
      <c r="T366" s="117"/>
      <c r="U366" s="118"/>
      <c r="V366" s="118"/>
      <c r="W366" s="118"/>
      <c r="X366" s="118"/>
      <c r="Y366" s="118"/>
      <c r="Z366" s="118"/>
      <c r="AA366" s="118"/>
      <c r="AB366" s="118"/>
      <c r="AC366" s="118"/>
      <c r="AD366" s="118"/>
      <c r="AE366" s="118"/>
      <c r="AF366" s="118"/>
      <c r="AG366" s="118"/>
      <c r="AH366" s="118"/>
      <c r="AI366" s="118"/>
      <c r="AJ366" s="118"/>
      <c r="AK366" s="118"/>
      <c r="AL366" s="118"/>
      <c r="AM366" s="118"/>
      <c r="AN366" s="118"/>
      <c r="AO366" s="118"/>
      <c r="AP366" s="118"/>
      <c r="AQ366" s="118"/>
      <c r="AR366" s="118"/>
      <c r="AS366" s="118"/>
      <c r="AT366" s="123"/>
      <c r="AU366" s="124"/>
      <c r="AV366" s="124"/>
      <c r="AW366" s="124"/>
      <c r="AX366" s="124"/>
      <c r="AY366" s="124"/>
      <c r="AZ366" s="124"/>
      <c r="BA366" s="124"/>
      <c r="BB366" s="124"/>
      <c r="BC366" s="124"/>
      <c r="BD366" s="124"/>
      <c r="BE366" s="124"/>
      <c r="BF366" s="124"/>
      <c r="BG366" s="124"/>
      <c r="BH366" s="124"/>
      <c r="BI366" s="124"/>
      <c r="BJ366" s="124"/>
      <c r="BK366" s="124"/>
      <c r="BL366" s="124"/>
      <c r="BM366" s="124"/>
      <c r="BN366" s="124"/>
      <c r="BO366" s="124"/>
      <c r="BP366" s="124"/>
      <c r="BQ366" s="124"/>
      <c r="BR366" s="125"/>
      <c r="BS366" s="88"/>
    </row>
    <row r="367">
      <c r="G367" s="9"/>
      <c r="H367" s="9"/>
      <c r="I367" s="9"/>
      <c r="J367" s="143"/>
      <c r="K367" s="141"/>
      <c r="L367" s="141"/>
      <c r="M367" s="141"/>
      <c r="N367" s="141"/>
      <c r="O367" s="9"/>
      <c r="P367" s="9"/>
      <c r="Q367" s="9"/>
      <c r="R367" s="142"/>
      <c r="S367" s="116"/>
      <c r="T367" s="117"/>
      <c r="U367" s="118"/>
      <c r="V367" s="118"/>
      <c r="W367" s="118"/>
      <c r="X367" s="118"/>
      <c r="Y367" s="118"/>
      <c r="Z367" s="118"/>
      <c r="AA367" s="118"/>
      <c r="AB367" s="118"/>
      <c r="AC367" s="118"/>
      <c r="AD367" s="118"/>
      <c r="AE367" s="118"/>
      <c r="AF367" s="118"/>
      <c r="AG367" s="118"/>
      <c r="AH367" s="118"/>
      <c r="AI367" s="118"/>
      <c r="AJ367" s="118"/>
      <c r="AK367" s="118"/>
      <c r="AL367" s="118"/>
      <c r="AM367" s="118"/>
      <c r="AN367" s="118"/>
      <c r="AO367" s="118"/>
      <c r="AP367" s="118"/>
      <c r="AQ367" s="118"/>
      <c r="AR367" s="118"/>
      <c r="AS367" s="118"/>
      <c r="AT367" s="123"/>
      <c r="AU367" s="124"/>
      <c r="AV367" s="124"/>
      <c r="AW367" s="124"/>
      <c r="AX367" s="124"/>
      <c r="AY367" s="124"/>
      <c r="AZ367" s="124"/>
      <c r="BA367" s="124"/>
      <c r="BB367" s="124"/>
      <c r="BC367" s="124"/>
      <c r="BD367" s="124"/>
      <c r="BE367" s="124"/>
      <c r="BF367" s="124"/>
      <c r="BG367" s="124"/>
      <c r="BH367" s="124"/>
      <c r="BI367" s="124"/>
      <c r="BJ367" s="124"/>
      <c r="BK367" s="124"/>
      <c r="BL367" s="124"/>
      <c r="BM367" s="124"/>
      <c r="BN367" s="124"/>
      <c r="BO367" s="124"/>
      <c r="BP367" s="124"/>
      <c r="BQ367" s="124"/>
      <c r="BR367" s="125"/>
      <c r="BS367" s="88"/>
    </row>
    <row r="368">
      <c r="G368" s="9"/>
      <c r="H368" s="9"/>
      <c r="I368" s="9"/>
      <c r="J368" s="143"/>
      <c r="K368" s="141"/>
      <c r="L368" s="141"/>
      <c r="M368" s="141"/>
      <c r="N368" s="141"/>
      <c r="O368" s="9"/>
      <c r="P368" s="9"/>
      <c r="Q368" s="9"/>
      <c r="R368" s="142"/>
      <c r="S368" s="116"/>
      <c r="T368" s="117"/>
      <c r="U368" s="118"/>
      <c r="V368" s="118"/>
      <c r="W368" s="118"/>
      <c r="X368" s="118"/>
      <c r="Y368" s="118"/>
      <c r="Z368" s="118"/>
      <c r="AA368" s="118"/>
      <c r="AB368" s="118"/>
      <c r="AC368" s="118"/>
      <c r="AD368" s="118"/>
      <c r="AE368" s="118"/>
      <c r="AF368" s="118"/>
      <c r="AG368" s="118"/>
      <c r="AH368" s="118"/>
      <c r="AI368" s="118"/>
      <c r="AJ368" s="118"/>
      <c r="AK368" s="118"/>
      <c r="AL368" s="118"/>
      <c r="AM368" s="118"/>
      <c r="AN368" s="118"/>
      <c r="AO368" s="118"/>
      <c r="AP368" s="118"/>
      <c r="AQ368" s="118"/>
      <c r="AR368" s="118"/>
      <c r="AS368" s="118"/>
      <c r="AT368" s="123"/>
      <c r="AU368" s="124"/>
      <c r="AV368" s="124"/>
      <c r="AW368" s="124"/>
      <c r="AX368" s="124"/>
      <c r="AY368" s="124"/>
      <c r="AZ368" s="124"/>
      <c r="BA368" s="124"/>
      <c r="BB368" s="124"/>
      <c r="BC368" s="124"/>
      <c r="BD368" s="124"/>
      <c r="BE368" s="124"/>
      <c r="BF368" s="124"/>
      <c r="BG368" s="124"/>
      <c r="BH368" s="124"/>
      <c r="BI368" s="124"/>
      <c r="BJ368" s="124"/>
      <c r="BK368" s="124"/>
      <c r="BL368" s="124"/>
      <c r="BM368" s="124"/>
      <c r="BN368" s="124"/>
      <c r="BO368" s="124"/>
      <c r="BP368" s="124"/>
      <c r="BQ368" s="124"/>
      <c r="BR368" s="125"/>
      <c r="BS368" s="88"/>
    </row>
    <row r="369">
      <c r="G369" s="9"/>
      <c r="H369" s="9"/>
      <c r="I369" s="9"/>
      <c r="J369" s="143"/>
      <c r="K369" s="141"/>
      <c r="L369" s="141"/>
      <c r="M369" s="141"/>
      <c r="N369" s="141"/>
      <c r="O369" s="9"/>
      <c r="P369" s="9"/>
      <c r="Q369" s="9"/>
      <c r="R369" s="142"/>
      <c r="S369" s="116"/>
      <c r="T369" s="117"/>
      <c r="U369" s="118"/>
      <c r="V369" s="118"/>
      <c r="W369" s="118"/>
      <c r="X369" s="118"/>
      <c r="Y369" s="118"/>
      <c r="Z369" s="118"/>
      <c r="AA369" s="118"/>
      <c r="AB369" s="118"/>
      <c r="AC369" s="118"/>
      <c r="AD369" s="118"/>
      <c r="AE369" s="118"/>
      <c r="AF369" s="118"/>
      <c r="AG369" s="118"/>
      <c r="AH369" s="118"/>
      <c r="AI369" s="118"/>
      <c r="AJ369" s="118"/>
      <c r="AK369" s="118"/>
      <c r="AL369" s="118"/>
      <c r="AM369" s="118"/>
      <c r="AN369" s="118"/>
      <c r="AO369" s="118"/>
      <c r="AP369" s="118"/>
      <c r="AQ369" s="118"/>
      <c r="AR369" s="118"/>
      <c r="AS369" s="118"/>
      <c r="AT369" s="123"/>
      <c r="AU369" s="124"/>
      <c r="AV369" s="124"/>
      <c r="AW369" s="124"/>
      <c r="AX369" s="124"/>
      <c r="AY369" s="124"/>
      <c r="AZ369" s="124"/>
      <c r="BA369" s="124"/>
      <c r="BB369" s="124"/>
      <c r="BC369" s="124"/>
      <c r="BD369" s="124"/>
      <c r="BE369" s="124"/>
      <c r="BF369" s="124"/>
      <c r="BG369" s="124"/>
      <c r="BH369" s="124"/>
      <c r="BI369" s="124"/>
      <c r="BJ369" s="124"/>
      <c r="BK369" s="124"/>
      <c r="BL369" s="124"/>
      <c r="BM369" s="124"/>
      <c r="BN369" s="124"/>
      <c r="BO369" s="124"/>
      <c r="BP369" s="124"/>
      <c r="BQ369" s="124"/>
      <c r="BR369" s="125"/>
      <c r="BS369" s="88"/>
    </row>
    <row r="370">
      <c r="G370" s="9"/>
      <c r="H370" s="9"/>
      <c r="I370" s="9"/>
      <c r="J370" s="143"/>
      <c r="K370" s="141"/>
      <c r="L370" s="141"/>
      <c r="M370" s="141"/>
      <c r="N370" s="141"/>
      <c r="O370" s="9"/>
      <c r="P370" s="9"/>
      <c r="Q370" s="9"/>
      <c r="R370" s="142"/>
      <c r="S370" s="116"/>
      <c r="T370" s="117"/>
      <c r="U370" s="118"/>
      <c r="V370" s="118"/>
      <c r="W370" s="118"/>
      <c r="X370" s="118"/>
      <c r="Y370" s="118"/>
      <c r="Z370" s="118"/>
      <c r="AA370" s="118"/>
      <c r="AB370" s="118"/>
      <c r="AC370" s="118"/>
      <c r="AD370" s="118"/>
      <c r="AE370" s="118"/>
      <c r="AF370" s="118"/>
      <c r="AG370" s="118"/>
      <c r="AH370" s="118"/>
      <c r="AI370" s="118"/>
      <c r="AJ370" s="118"/>
      <c r="AK370" s="118"/>
      <c r="AL370" s="118"/>
      <c r="AM370" s="118"/>
      <c r="AN370" s="118"/>
      <c r="AO370" s="118"/>
      <c r="AP370" s="118"/>
      <c r="AQ370" s="118"/>
      <c r="AR370" s="118"/>
      <c r="AS370" s="118"/>
      <c r="AT370" s="123"/>
      <c r="AU370" s="124"/>
      <c r="AV370" s="124"/>
      <c r="AW370" s="124"/>
      <c r="AX370" s="124"/>
      <c r="AY370" s="124"/>
      <c r="AZ370" s="124"/>
      <c r="BA370" s="124"/>
      <c r="BB370" s="124"/>
      <c r="BC370" s="124"/>
      <c r="BD370" s="124"/>
      <c r="BE370" s="124"/>
      <c r="BF370" s="124"/>
      <c r="BG370" s="124"/>
      <c r="BH370" s="124"/>
      <c r="BI370" s="124"/>
      <c r="BJ370" s="124"/>
      <c r="BK370" s="124"/>
      <c r="BL370" s="124"/>
      <c r="BM370" s="124"/>
      <c r="BN370" s="124"/>
      <c r="BO370" s="124"/>
      <c r="BP370" s="124"/>
      <c r="BQ370" s="124"/>
      <c r="BR370" s="125"/>
      <c r="BS370" s="88"/>
    </row>
    <row r="371">
      <c r="G371" s="9"/>
      <c r="H371" s="9"/>
      <c r="I371" s="9"/>
      <c r="J371" s="143"/>
      <c r="K371" s="141"/>
      <c r="L371" s="141"/>
      <c r="M371" s="141"/>
      <c r="N371" s="141"/>
      <c r="O371" s="9"/>
      <c r="P371" s="9"/>
      <c r="Q371" s="9"/>
      <c r="R371" s="142"/>
      <c r="S371" s="116"/>
      <c r="T371" s="117"/>
      <c r="U371" s="118"/>
      <c r="V371" s="118"/>
      <c r="W371" s="118"/>
      <c r="X371" s="118"/>
      <c r="Y371" s="118"/>
      <c r="Z371" s="118"/>
      <c r="AA371" s="118"/>
      <c r="AB371" s="118"/>
      <c r="AC371" s="118"/>
      <c r="AD371" s="118"/>
      <c r="AE371" s="118"/>
      <c r="AF371" s="118"/>
      <c r="AG371" s="118"/>
      <c r="AH371" s="118"/>
      <c r="AI371" s="118"/>
      <c r="AJ371" s="118"/>
      <c r="AK371" s="118"/>
      <c r="AL371" s="118"/>
      <c r="AM371" s="118"/>
      <c r="AN371" s="118"/>
      <c r="AO371" s="118"/>
      <c r="AP371" s="118"/>
      <c r="AQ371" s="118"/>
      <c r="AR371" s="118"/>
      <c r="AS371" s="118"/>
      <c r="AT371" s="123"/>
      <c r="AU371" s="124"/>
      <c r="AV371" s="124"/>
      <c r="AW371" s="124"/>
      <c r="AX371" s="124"/>
      <c r="AY371" s="124"/>
      <c r="AZ371" s="124"/>
      <c r="BA371" s="124"/>
      <c r="BB371" s="124"/>
      <c r="BC371" s="124"/>
      <c r="BD371" s="124"/>
      <c r="BE371" s="124"/>
      <c r="BF371" s="124"/>
      <c r="BG371" s="124"/>
      <c r="BH371" s="124"/>
      <c r="BI371" s="124"/>
      <c r="BJ371" s="124"/>
      <c r="BK371" s="124"/>
      <c r="BL371" s="124"/>
      <c r="BM371" s="124"/>
      <c r="BN371" s="124"/>
      <c r="BO371" s="124"/>
      <c r="BP371" s="124"/>
      <c r="BQ371" s="124"/>
      <c r="BR371" s="125"/>
      <c r="BS371" s="88"/>
    </row>
    <row r="372">
      <c r="G372" s="9"/>
      <c r="H372" s="9"/>
      <c r="I372" s="9"/>
      <c r="J372" s="143"/>
      <c r="K372" s="141"/>
      <c r="L372" s="141"/>
      <c r="M372" s="141"/>
      <c r="N372" s="141"/>
      <c r="O372" s="9"/>
      <c r="P372" s="9"/>
      <c r="Q372" s="9"/>
      <c r="R372" s="142"/>
      <c r="S372" s="116"/>
      <c r="T372" s="117"/>
      <c r="U372" s="118"/>
      <c r="V372" s="118"/>
      <c r="W372" s="118"/>
      <c r="X372" s="118"/>
      <c r="Y372" s="118"/>
      <c r="Z372" s="118"/>
      <c r="AA372" s="118"/>
      <c r="AB372" s="118"/>
      <c r="AC372" s="118"/>
      <c r="AD372" s="118"/>
      <c r="AE372" s="118"/>
      <c r="AF372" s="118"/>
      <c r="AG372" s="118"/>
      <c r="AH372" s="118"/>
      <c r="AI372" s="118"/>
      <c r="AJ372" s="118"/>
      <c r="AK372" s="118"/>
      <c r="AL372" s="118"/>
      <c r="AM372" s="118"/>
      <c r="AN372" s="118"/>
      <c r="AO372" s="118"/>
      <c r="AP372" s="118"/>
      <c r="AQ372" s="118"/>
      <c r="AR372" s="118"/>
      <c r="AS372" s="118"/>
      <c r="AT372" s="123"/>
      <c r="AU372" s="124"/>
      <c r="AV372" s="124"/>
      <c r="AW372" s="124"/>
      <c r="AX372" s="124"/>
      <c r="AY372" s="124"/>
      <c r="AZ372" s="124"/>
      <c r="BA372" s="124"/>
      <c r="BB372" s="124"/>
      <c r="BC372" s="124"/>
      <c r="BD372" s="124"/>
      <c r="BE372" s="124"/>
      <c r="BF372" s="124"/>
      <c r="BG372" s="124"/>
      <c r="BH372" s="124"/>
      <c r="BI372" s="124"/>
      <c r="BJ372" s="124"/>
      <c r="BK372" s="124"/>
      <c r="BL372" s="124"/>
      <c r="BM372" s="124"/>
      <c r="BN372" s="124"/>
      <c r="BO372" s="124"/>
      <c r="BP372" s="124"/>
      <c r="BQ372" s="124"/>
      <c r="BR372" s="125"/>
      <c r="BS372" s="88"/>
    </row>
    <row r="373">
      <c r="G373" s="9"/>
      <c r="H373" s="9"/>
      <c r="I373" s="9"/>
      <c r="J373" s="143"/>
      <c r="K373" s="141"/>
      <c r="L373" s="141"/>
      <c r="M373" s="141"/>
      <c r="N373" s="141"/>
      <c r="O373" s="9"/>
      <c r="P373" s="9"/>
      <c r="Q373" s="9"/>
      <c r="R373" s="142"/>
      <c r="S373" s="116"/>
      <c r="T373" s="117"/>
      <c r="U373" s="118"/>
      <c r="V373" s="118"/>
      <c r="W373" s="118"/>
      <c r="X373" s="118"/>
      <c r="Y373" s="118"/>
      <c r="Z373" s="118"/>
      <c r="AA373" s="118"/>
      <c r="AB373" s="118"/>
      <c r="AC373" s="118"/>
      <c r="AD373" s="118"/>
      <c r="AE373" s="118"/>
      <c r="AF373" s="118"/>
      <c r="AG373" s="118"/>
      <c r="AH373" s="118"/>
      <c r="AI373" s="118"/>
      <c r="AJ373" s="118"/>
      <c r="AK373" s="118"/>
      <c r="AL373" s="118"/>
      <c r="AM373" s="118"/>
      <c r="AN373" s="118"/>
      <c r="AO373" s="118"/>
      <c r="AP373" s="118"/>
      <c r="AQ373" s="118"/>
      <c r="AR373" s="118"/>
      <c r="AS373" s="118"/>
      <c r="AT373" s="123"/>
      <c r="AU373" s="124"/>
      <c r="AV373" s="124"/>
      <c r="AW373" s="124"/>
      <c r="AX373" s="124"/>
      <c r="AY373" s="124"/>
      <c r="AZ373" s="124"/>
      <c r="BA373" s="124"/>
      <c r="BB373" s="124"/>
      <c r="BC373" s="124"/>
      <c r="BD373" s="124"/>
      <c r="BE373" s="124"/>
      <c r="BF373" s="124"/>
      <c r="BG373" s="124"/>
      <c r="BH373" s="124"/>
      <c r="BI373" s="124"/>
      <c r="BJ373" s="124"/>
      <c r="BK373" s="124"/>
      <c r="BL373" s="124"/>
      <c r="BM373" s="124"/>
      <c r="BN373" s="124"/>
      <c r="BO373" s="124"/>
      <c r="BP373" s="124"/>
      <c r="BQ373" s="124"/>
      <c r="BR373" s="125"/>
      <c r="BS373" s="88"/>
    </row>
    <row r="374">
      <c r="G374" s="9"/>
      <c r="H374" s="9"/>
      <c r="I374" s="9"/>
      <c r="J374" s="143"/>
      <c r="K374" s="141"/>
      <c r="L374" s="141"/>
      <c r="M374" s="141"/>
      <c r="N374" s="141"/>
      <c r="O374" s="9"/>
      <c r="P374" s="9"/>
      <c r="Q374" s="9"/>
      <c r="R374" s="142"/>
      <c r="S374" s="116"/>
      <c r="T374" s="117"/>
      <c r="U374" s="118"/>
      <c r="V374" s="118"/>
      <c r="W374" s="118"/>
      <c r="X374" s="118"/>
      <c r="Y374" s="118"/>
      <c r="Z374" s="118"/>
      <c r="AA374" s="118"/>
      <c r="AB374" s="118"/>
      <c r="AC374" s="118"/>
      <c r="AD374" s="118"/>
      <c r="AE374" s="118"/>
      <c r="AF374" s="118"/>
      <c r="AG374" s="118"/>
      <c r="AH374" s="118"/>
      <c r="AI374" s="118"/>
      <c r="AJ374" s="118"/>
      <c r="AK374" s="118"/>
      <c r="AL374" s="118"/>
      <c r="AM374" s="118"/>
      <c r="AN374" s="118"/>
      <c r="AO374" s="118"/>
      <c r="AP374" s="118"/>
      <c r="AQ374" s="118"/>
      <c r="AR374" s="118"/>
      <c r="AS374" s="118"/>
      <c r="AT374" s="123"/>
      <c r="AU374" s="124"/>
      <c r="AV374" s="124"/>
      <c r="AW374" s="124"/>
      <c r="AX374" s="124"/>
      <c r="AY374" s="124"/>
      <c r="AZ374" s="124"/>
      <c r="BA374" s="124"/>
      <c r="BB374" s="124"/>
      <c r="BC374" s="124"/>
      <c r="BD374" s="124"/>
      <c r="BE374" s="124"/>
      <c r="BF374" s="124"/>
      <c r="BG374" s="124"/>
      <c r="BH374" s="124"/>
      <c r="BI374" s="124"/>
      <c r="BJ374" s="124"/>
      <c r="BK374" s="124"/>
      <c r="BL374" s="124"/>
      <c r="BM374" s="124"/>
      <c r="BN374" s="124"/>
      <c r="BO374" s="124"/>
      <c r="BP374" s="124"/>
      <c r="BQ374" s="124"/>
      <c r="BR374" s="125"/>
      <c r="BS374" s="88"/>
    </row>
    <row r="375">
      <c r="G375" s="9"/>
      <c r="H375" s="9"/>
      <c r="I375" s="9"/>
      <c r="J375" s="143"/>
      <c r="K375" s="141"/>
      <c r="L375" s="141"/>
      <c r="M375" s="141"/>
      <c r="N375" s="141"/>
      <c r="O375" s="9"/>
      <c r="P375" s="9"/>
      <c r="Q375" s="9"/>
      <c r="R375" s="142"/>
      <c r="S375" s="116"/>
      <c r="T375" s="117"/>
      <c r="U375" s="118"/>
      <c r="V375" s="118"/>
      <c r="W375" s="118"/>
      <c r="X375" s="118"/>
      <c r="Y375" s="118"/>
      <c r="Z375" s="118"/>
      <c r="AA375" s="118"/>
      <c r="AB375" s="118"/>
      <c r="AC375" s="118"/>
      <c r="AD375" s="118"/>
      <c r="AE375" s="118"/>
      <c r="AF375" s="118"/>
      <c r="AG375" s="118"/>
      <c r="AH375" s="118"/>
      <c r="AI375" s="118"/>
      <c r="AJ375" s="118"/>
      <c r="AK375" s="118"/>
      <c r="AL375" s="118"/>
      <c r="AM375" s="118"/>
      <c r="AN375" s="118"/>
      <c r="AO375" s="118"/>
      <c r="AP375" s="118"/>
      <c r="AQ375" s="118"/>
      <c r="AR375" s="118"/>
      <c r="AS375" s="118"/>
      <c r="AT375" s="123"/>
      <c r="AU375" s="124"/>
      <c r="AV375" s="124"/>
      <c r="AW375" s="124"/>
      <c r="AX375" s="124"/>
      <c r="AY375" s="124"/>
      <c r="AZ375" s="124"/>
      <c r="BA375" s="124"/>
      <c r="BB375" s="124"/>
      <c r="BC375" s="124"/>
      <c r="BD375" s="124"/>
      <c r="BE375" s="124"/>
      <c r="BF375" s="124"/>
      <c r="BG375" s="124"/>
      <c r="BH375" s="124"/>
      <c r="BI375" s="124"/>
      <c r="BJ375" s="124"/>
      <c r="BK375" s="124"/>
      <c r="BL375" s="124"/>
      <c r="BM375" s="124"/>
      <c r="BN375" s="124"/>
      <c r="BO375" s="124"/>
      <c r="BP375" s="124"/>
      <c r="BQ375" s="124"/>
      <c r="BR375" s="125"/>
      <c r="BS375" s="88"/>
    </row>
    <row r="376">
      <c r="G376" s="9"/>
      <c r="H376" s="9"/>
      <c r="I376" s="9"/>
      <c r="J376" s="143"/>
      <c r="K376" s="141"/>
      <c r="L376" s="141"/>
      <c r="M376" s="141"/>
      <c r="N376" s="141"/>
      <c r="O376" s="9"/>
      <c r="P376" s="9"/>
      <c r="Q376" s="9"/>
      <c r="R376" s="142"/>
      <c r="S376" s="116"/>
      <c r="T376" s="117"/>
      <c r="U376" s="118"/>
      <c r="V376" s="118"/>
      <c r="W376" s="118"/>
      <c r="X376" s="118"/>
      <c r="Y376" s="118"/>
      <c r="Z376" s="118"/>
      <c r="AA376" s="118"/>
      <c r="AB376" s="118"/>
      <c r="AC376" s="118"/>
      <c r="AD376" s="118"/>
      <c r="AE376" s="118"/>
      <c r="AF376" s="118"/>
      <c r="AG376" s="118"/>
      <c r="AH376" s="118"/>
      <c r="AI376" s="118"/>
      <c r="AJ376" s="118"/>
      <c r="AK376" s="118"/>
      <c r="AL376" s="118"/>
      <c r="AM376" s="118"/>
      <c r="AN376" s="118"/>
      <c r="AO376" s="118"/>
      <c r="AP376" s="118"/>
      <c r="AQ376" s="118"/>
      <c r="AR376" s="118"/>
      <c r="AS376" s="118"/>
      <c r="AT376" s="123"/>
      <c r="AU376" s="124"/>
      <c r="AV376" s="124"/>
      <c r="AW376" s="124"/>
      <c r="AX376" s="124"/>
      <c r="AY376" s="124"/>
      <c r="AZ376" s="124"/>
      <c r="BA376" s="124"/>
      <c r="BB376" s="124"/>
      <c r="BC376" s="124"/>
      <c r="BD376" s="124"/>
      <c r="BE376" s="124"/>
      <c r="BF376" s="124"/>
      <c r="BG376" s="124"/>
      <c r="BH376" s="124"/>
      <c r="BI376" s="124"/>
      <c r="BJ376" s="124"/>
      <c r="BK376" s="124"/>
      <c r="BL376" s="124"/>
      <c r="BM376" s="124"/>
      <c r="BN376" s="124"/>
      <c r="BO376" s="124"/>
      <c r="BP376" s="124"/>
      <c r="BQ376" s="124"/>
      <c r="BR376" s="125"/>
      <c r="BS376" s="88"/>
    </row>
    <row r="377">
      <c r="G377" s="9"/>
      <c r="H377" s="9"/>
      <c r="I377" s="9"/>
      <c r="J377" s="143"/>
      <c r="K377" s="141"/>
      <c r="L377" s="141"/>
      <c r="M377" s="141"/>
      <c r="N377" s="141"/>
      <c r="O377" s="9"/>
      <c r="P377" s="9"/>
      <c r="Q377" s="9"/>
      <c r="R377" s="142"/>
      <c r="S377" s="116"/>
      <c r="T377" s="117"/>
      <c r="U377" s="118"/>
      <c r="V377" s="118"/>
      <c r="W377" s="118"/>
      <c r="X377" s="118"/>
      <c r="Y377" s="118"/>
      <c r="Z377" s="118"/>
      <c r="AA377" s="118"/>
      <c r="AB377" s="118"/>
      <c r="AC377" s="118"/>
      <c r="AD377" s="118"/>
      <c r="AE377" s="118"/>
      <c r="AF377" s="118"/>
      <c r="AG377" s="118"/>
      <c r="AH377" s="118"/>
      <c r="AI377" s="118"/>
      <c r="AJ377" s="118"/>
      <c r="AK377" s="118"/>
      <c r="AL377" s="118"/>
      <c r="AM377" s="118"/>
      <c r="AN377" s="118"/>
      <c r="AO377" s="118"/>
      <c r="AP377" s="118"/>
      <c r="AQ377" s="118"/>
      <c r="AR377" s="118"/>
      <c r="AS377" s="118"/>
      <c r="AT377" s="123"/>
      <c r="AU377" s="124"/>
      <c r="AV377" s="124"/>
      <c r="AW377" s="124"/>
      <c r="AX377" s="124"/>
      <c r="AY377" s="124"/>
      <c r="AZ377" s="124"/>
      <c r="BA377" s="124"/>
      <c r="BB377" s="124"/>
      <c r="BC377" s="124"/>
      <c r="BD377" s="124"/>
      <c r="BE377" s="124"/>
      <c r="BF377" s="124"/>
      <c r="BG377" s="124"/>
      <c r="BH377" s="124"/>
      <c r="BI377" s="124"/>
      <c r="BJ377" s="124"/>
      <c r="BK377" s="124"/>
      <c r="BL377" s="124"/>
      <c r="BM377" s="124"/>
      <c r="BN377" s="124"/>
      <c r="BO377" s="124"/>
      <c r="BP377" s="124"/>
      <c r="BQ377" s="124"/>
      <c r="BR377" s="125"/>
      <c r="BS377" s="88"/>
    </row>
    <row r="378">
      <c r="G378" s="9"/>
      <c r="H378" s="9"/>
      <c r="I378" s="9"/>
      <c r="J378" s="143"/>
      <c r="K378" s="141"/>
      <c r="L378" s="141"/>
      <c r="M378" s="141"/>
      <c r="N378" s="141"/>
      <c r="O378" s="9"/>
      <c r="P378" s="9"/>
      <c r="Q378" s="9"/>
      <c r="R378" s="142"/>
      <c r="S378" s="116"/>
      <c r="T378" s="117"/>
      <c r="U378" s="118"/>
      <c r="V378" s="118"/>
      <c r="W378" s="118"/>
      <c r="X378" s="118"/>
      <c r="Y378" s="118"/>
      <c r="Z378" s="118"/>
      <c r="AA378" s="118"/>
      <c r="AB378" s="118"/>
      <c r="AC378" s="118"/>
      <c r="AD378" s="118"/>
      <c r="AE378" s="118"/>
      <c r="AF378" s="118"/>
      <c r="AG378" s="118"/>
      <c r="AH378" s="118"/>
      <c r="AI378" s="118"/>
      <c r="AJ378" s="118"/>
      <c r="AK378" s="118"/>
      <c r="AL378" s="118"/>
      <c r="AM378" s="118"/>
      <c r="AN378" s="118"/>
      <c r="AO378" s="118"/>
      <c r="AP378" s="118"/>
      <c r="AQ378" s="118"/>
      <c r="AR378" s="118"/>
      <c r="AS378" s="118"/>
      <c r="AT378" s="123"/>
      <c r="AU378" s="124"/>
      <c r="AV378" s="124"/>
      <c r="AW378" s="124"/>
      <c r="AX378" s="124"/>
      <c r="AY378" s="124"/>
      <c r="AZ378" s="124"/>
      <c r="BA378" s="124"/>
      <c r="BB378" s="124"/>
      <c r="BC378" s="124"/>
      <c r="BD378" s="124"/>
      <c r="BE378" s="124"/>
      <c r="BF378" s="124"/>
      <c r="BG378" s="124"/>
      <c r="BH378" s="124"/>
      <c r="BI378" s="124"/>
      <c r="BJ378" s="124"/>
      <c r="BK378" s="124"/>
      <c r="BL378" s="124"/>
      <c r="BM378" s="124"/>
      <c r="BN378" s="124"/>
      <c r="BO378" s="124"/>
      <c r="BP378" s="124"/>
      <c r="BQ378" s="124"/>
      <c r="BR378" s="125"/>
      <c r="BS378" s="88"/>
    </row>
    <row r="379">
      <c r="G379" s="9"/>
      <c r="H379" s="9"/>
      <c r="I379" s="9"/>
      <c r="J379" s="143"/>
      <c r="K379" s="141"/>
      <c r="L379" s="141"/>
      <c r="M379" s="141"/>
      <c r="N379" s="141"/>
      <c r="O379" s="9"/>
      <c r="P379" s="9"/>
      <c r="Q379" s="9"/>
      <c r="R379" s="142"/>
      <c r="S379" s="116"/>
      <c r="T379" s="117"/>
      <c r="U379" s="118"/>
      <c r="V379" s="118"/>
      <c r="W379" s="118"/>
      <c r="X379" s="118"/>
      <c r="Y379" s="118"/>
      <c r="Z379" s="118"/>
      <c r="AA379" s="118"/>
      <c r="AB379" s="118"/>
      <c r="AC379" s="118"/>
      <c r="AD379" s="118"/>
      <c r="AE379" s="118"/>
      <c r="AF379" s="118"/>
      <c r="AG379" s="118"/>
      <c r="AH379" s="118"/>
      <c r="AI379" s="118"/>
      <c r="AJ379" s="118"/>
      <c r="AK379" s="118"/>
      <c r="AL379" s="118"/>
      <c r="AM379" s="118"/>
      <c r="AN379" s="118"/>
      <c r="AO379" s="118"/>
      <c r="AP379" s="118"/>
      <c r="AQ379" s="118"/>
      <c r="AR379" s="118"/>
      <c r="AS379" s="118"/>
      <c r="AT379" s="123"/>
      <c r="AU379" s="124"/>
      <c r="AV379" s="124"/>
      <c r="AW379" s="124"/>
      <c r="AX379" s="124"/>
      <c r="AY379" s="124"/>
      <c r="AZ379" s="124"/>
      <c r="BA379" s="124"/>
      <c r="BB379" s="124"/>
      <c r="BC379" s="124"/>
      <c r="BD379" s="124"/>
      <c r="BE379" s="124"/>
      <c r="BF379" s="124"/>
      <c r="BG379" s="124"/>
      <c r="BH379" s="124"/>
      <c r="BI379" s="124"/>
      <c r="BJ379" s="124"/>
      <c r="BK379" s="124"/>
      <c r="BL379" s="124"/>
      <c r="BM379" s="124"/>
      <c r="BN379" s="124"/>
      <c r="BO379" s="124"/>
      <c r="BP379" s="124"/>
      <c r="BQ379" s="124"/>
      <c r="BR379" s="125"/>
      <c r="BS379" s="88"/>
    </row>
    <row r="380">
      <c r="G380" s="9"/>
      <c r="H380" s="9"/>
      <c r="I380" s="9"/>
      <c r="J380" s="143"/>
      <c r="K380" s="141"/>
      <c r="L380" s="141"/>
      <c r="M380" s="141"/>
      <c r="N380" s="141"/>
      <c r="O380" s="9"/>
      <c r="P380" s="9"/>
      <c r="Q380" s="9"/>
      <c r="R380" s="142"/>
      <c r="S380" s="116"/>
      <c r="T380" s="117"/>
      <c r="U380" s="118"/>
      <c r="V380" s="118"/>
      <c r="W380" s="118"/>
      <c r="X380" s="118"/>
      <c r="Y380" s="118"/>
      <c r="Z380" s="118"/>
      <c r="AA380" s="118"/>
      <c r="AB380" s="118"/>
      <c r="AC380" s="118"/>
      <c r="AD380" s="118"/>
      <c r="AE380" s="118"/>
      <c r="AF380" s="118"/>
      <c r="AG380" s="118"/>
      <c r="AH380" s="118"/>
      <c r="AI380" s="118"/>
      <c r="AJ380" s="118"/>
      <c r="AK380" s="118"/>
      <c r="AL380" s="118"/>
      <c r="AM380" s="118"/>
      <c r="AN380" s="118"/>
      <c r="AO380" s="118"/>
      <c r="AP380" s="118"/>
      <c r="AQ380" s="118"/>
      <c r="AR380" s="118"/>
      <c r="AS380" s="118"/>
      <c r="AT380" s="123"/>
      <c r="AU380" s="124"/>
      <c r="AV380" s="124"/>
      <c r="AW380" s="124"/>
      <c r="AX380" s="124"/>
      <c r="AY380" s="124"/>
      <c r="AZ380" s="124"/>
      <c r="BA380" s="124"/>
      <c r="BB380" s="124"/>
      <c r="BC380" s="124"/>
      <c r="BD380" s="124"/>
      <c r="BE380" s="124"/>
      <c r="BF380" s="124"/>
      <c r="BG380" s="124"/>
      <c r="BH380" s="124"/>
      <c r="BI380" s="124"/>
      <c r="BJ380" s="124"/>
      <c r="BK380" s="124"/>
      <c r="BL380" s="124"/>
      <c r="BM380" s="124"/>
      <c r="BN380" s="124"/>
      <c r="BO380" s="124"/>
      <c r="BP380" s="124"/>
      <c r="BQ380" s="124"/>
      <c r="BR380" s="125"/>
      <c r="BS380" s="88"/>
    </row>
    <row r="381">
      <c r="G381" s="9"/>
      <c r="H381" s="9"/>
      <c r="I381" s="9"/>
      <c r="J381" s="143"/>
      <c r="K381" s="141"/>
      <c r="L381" s="141"/>
      <c r="M381" s="141"/>
      <c r="N381" s="141"/>
      <c r="O381" s="9"/>
      <c r="P381" s="9"/>
      <c r="Q381" s="9"/>
      <c r="R381" s="142"/>
      <c r="S381" s="116"/>
      <c r="T381" s="117"/>
      <c r="U381" s="118"/>
      <c r="V381" s="118"/>
      <c r="W381" s="118"/>
      <c r="X381" s="118"/>
      <c r="Y381" s="118"/>
      <c r="Z381" s="118"/>
      <c r="AA381" s="118"/>
      <c r="AB381" s="118"/>
      <c r="AC381" s="118"/>
      <c r="AD381" s="118"/>
      <c r="AE381" s="118"/>
      <c r="AF381" s="118"/>
      <c r="AG381" s="118"/>
      <c r="AH381" s="118"/>
      <c r="AI381" s="118"/>
      <c r="AJ381" s="118"/>
      <c r="AK381" s="118"/>
      <c r="AL381" s="118"/>
      <c r="AM381" s="118"/>
      <c r="AN381" s="118"/>
      <c r="AO381" s="118"/>
      <c r="AP381" s="118"/>
      <c r="AQ381" s="118"/>
      <c r="AR381" s="118"/>
      <c r="AS381" s="118"/>
      <c r="AT381" s="123"/>
      <c r="AU381" s="124"/>
      <c r="AV381" s="124"/>
      <c r="AW381" s="124"/>
      <c r="AX381" s="124"/>
      <c r="AY381" s="124"/>
      <c r="AZ381" s="124"/>
      <c r="BA381" s="124"/>
      <c r="BB381" s="124"/>
      <c r="BC381" s="124"/>
      <c r="BD381" s="124"/>
      <c r="BE381" s="124"/>
      <c r="BF381" s="124"/>
      <c r="BG381" s="124"/>
      <c r="BH381" s="124"/>
      <c r="BI381" s="124"/>
      <c r="BJ381" s="124"/>
      <c r="BK381" s="124"/>
      <c r="BL381" s="124"/>
      <c r="BM381" s="124"/>
      <c r="BN381" s="124"/>
      <c r="BO381" s="124"/>
      <c r="BP381" s="124"/>
      <c r="BQ381" s="124"/>
      <c r="BR381" s="125"/>
      <c r="BS381" s="88"/>
    </row>
    <row r="382">
      <c r="G382" s="9"/>
      <c r="H382" s="9"/>
      <c r="I382" s="9"/>
      <c r="J382" s="143"/>
      <c r="K382" s="141"/>
      <c r="L382" s="141"/>
      <c r="M382" s="141"/>
      <c r="N382" s="141"/>
      <c r="O382" s="9"/>
      <c r="P382" s="9"/>
      <c r="Q382" s="9"/>
      <c r="R382" s="142"/>
      <c r="S382" s="116"/>
      <c r="T382" s="117"/>
      <c r="U382" s="118"/>
      <c r="V382" s="118"/>
      <c r="W382" s="118"/>
      <c r="X382" s="118"/>
      <c r="Y382" s="118"/>
      <c r="Z382" s="118"/>
      <c r="AA382" s="118"/>
      <c r="AB382" s="118"/>
      <c r="AC382" s="118"/>
      <c r="AD382" s="118"/>
      <c r="AE382" s="118"/>
      <c r="AF382" s="118"/>
      <c r="AG382" s="118"/>
      <c r="AH382" s="118"/>
      <c r="AI382" s="118"/>
      <c r="AJ382" s="118"/>
      <c r="AK382" s="118"/>
      <c r="AL382" s="118"/>
      <c r="AM382" s="118"/>
      <c r="AN382" s="118"/>
      <c r="AO382" s="118"/>
      <c r="AP382" s="118"/>
      <c r="AQ382" s="118"/>
      <c r="AR382" s="118"/>
      <c r="AS382" s="118"/>
      <c r="AT382" s="123"/>
      <c r="AU382" s="124"/>
      <c r="AV382" s="124"/>
      <c r="AW382" s="124"/>
      <c r="AX382" s="124"/>
      <c r="AY382" s="124"/>
      <c r="AZ382" s="124"/>
      <c r="BA382" s="124"/>
      <c r="BB382" s="124"/>
      <c r="BC382" s="124"/>
      <c r="BD382" s="124"/>
      <c r="BE382" s="124"/>
      <c r="BF382" s="124"/>
      <c r="BG382" s="124"/>
      <c r="BH382" s="124"/>
      <c r="BI382" s="124"/>
      <c r="BJ382" s="124"/>
      <c r="BK382" s="124"/>
      <c r="BL382" s="124"/>
      <c r="BM382" s="124"/>
      <c r="BN382" s="124"/>
      <c r="BO382" s="124"/>
      <c r="BP382" s="124"/>
      <c r="BQ382" s="124"/>
      <c r="BR382" s="125"/>
      <c r="BS382" s="88"/>
    </row>
    <row r="383">
      <c r="G383" s="9"/>
      <c r="H383" s="9"/>
      <c r="I383" s="9"/>
      <c r="J383" s="143"/>
      <c r="K383" s="141"/>
      <c r="L383" s="141"/>
      <c r="M383" s="141"/>
      <c r="N383" s="141"/>
      <c r="O383" s="9"/>
      <c r="P383" s="9"/>
      <c r="Q383" s="9"/>
      <c r="R383" s="142"/>
      <c r="S383" s="116"/>
      <c r="T383" s="117"/>
      <c r="U383" s="118"/>
      <c r="V383" s="118"/>
      <c r="W383" s="118"/>
      <c r="X383" s="118"/>
      <c r="Y383" s="118"/>
      <c r="Z383" s="118"/>
      <c r="AA383" s="118"/>
      <c r="AB383" s="118"/>
      <c r="AC383" s="118"/>
      <c r="AD383" s="118"/>
      <c r="AE383" s="118"/>
      <c r="AF383" s="118"/>
      <c r="AG383" s="118"/>
      <c r="AH383" s="118"/>
      <c r="AI383" s="118"/>
      <c r="AJ383" s="118"/>
      <c r="AK383" s="118"/>
      <c r="AL383" s="118"/>
      <c r="AM383" s="118"/>
      <c r="AN383" s="118"/>
      <c r="AO383" s="118"/>
      <c r="AP383" s="118"/>
      <c r="AQ383" s="118"/>
      <c r="AR383" s="118"/>
      <c r="AS383" s="118"/>
      <c r="AT383" s="123"/>
      <c r="AU383" s="124"/>
      <c r="AV383" s="124"/>
      <c r="AW383" s="124"/>
      <c r="AX383" s="124"/>
      <c r="AY383" s="124"/>
      <c r="AZ383" s="124"/>
      <c r="BA383" s="124"/>
      <c r="BB383" s="124"/>
      <c r="BC383" s="124"/>
      <c r="BD383" s="124"/>
      <c r="BE383" s="124"/>
      <c r="BF383" s="124"/>
      <c r="BG383" s="124"/>
      <c r="BH383" s="124"/>
      <c r="BI383" s="124"/>
      <c r="BJ383" s="124"/>
      <c r="BK383" s="124"/>
      <c r="BL383" s="124"/>
      <c r="BM383" s="124"/>
      <c r="BN383" s="124"/>
      <c r="BO383" s="124"/>
      <c r="BP383" s="124"/>
      <c r="BQ383" s="124"/>
      <c r="BR383" s="125"/>
      <c r="BS383" s="88"/>
    </row>
    <row r="384">
      <c r="G384" s="9"/>
      <c r="H384" s="9"/>
      <c r="I384" s="9"/>
      <c r="J384" s="143"/>
      <c r="K384" s="141"/>
      <c r="L384" s="141"/>
      <c r="M384" s="141"/>
      <c r="N384" s="141"/>
      <c r="O384" s="9"/>
      <c r="P384" s="9"/>
      <c r="Q384" s="9"/>
      <c r="R384" s="142"/>
      <c r="S384" s="116"/>
      <c r="T384" s="117"/>
      <c r="U384" s="118"/>
      <c r="V384" s="118"/>
      <c r="W384" s="118"/>
      <c r="X384" s="118"/>
      <c r="Y384" s="118"/>
      <c r="Z384" s="118"/>
      <c r="AA384" s="118"/>
      <c r="AB384" s="118"/>
      <c r="AC384" s="118"/>
      <c r="AD384" s="118"/>
      <c r="AE384" s="118"/>
      <c r="AF384" s="118"/>
      <c r="AG384" s="118"/>
      <c r="AH384" s="118"/>
      <c r="AI384" s="118"/>
      <c r="AJ384" s="118"/>
      <c r="AK384" s="118"/>
      <c r="AL384" s="118"/>
      <c r="AM384" s="118"/>
      <c r="AN384" s="118"/>
      <c r="AO384" s="118"/>
      <c r="AP384" s="118"/>
      <c r="AQ384" s="118"/>
      <c r="AR384" s="118"/>
      <c r="AS384" s="118"/>
      <c r="AT384" s="123"/>
      <c r="AU384" s="124"/>
      <c r="AV384" s="124"/>
      <c r="AW384" s="124"/>
      <c r="AX384" s="124"/>
      <c r="AY384" s="124"/>
      <c r="AZ384" s="124"/>
      <c r="BA384" s="124"/>
      <c r="BB384" s="124"/>
      <c r="BC384" s="124"/>
      <c r="BD384" s="124"/>
      <c r="BE384" s="124"/>
      <c r="BF384" s="124"/>
      <c r="BG384" s="124"/>
      <c r="BH384" s="124"/>
      <c r="BI384" s="124"/>
      <c r="BJ384" s="124"/>
      <c r="BK384" s="124"/>
      <c r="BL384" s="124"/>
      <c r="BM384" s="124"/>
      <c r="BN384" s="124"/>
      <c r="BO384" s="124"/>
      <c r="BP384" s="124"/>
      <c r="BQ384" s="124"/>
      <c r="BR384" s="125"/>
      <c r="BS384" s="88"/>
    </row>
    <row r="385">
      <c r="G385" s="9"/>
      <c r="H385" s="9"/>
      <c r="I385" s="9"/>
      <c r="J385" s="143"/>
      <c r="K385" s="141"/>
      <c r="L385" s="141"/>
      <c r="M385" s="141"/>
      <c r="N385" s="141"/>
      <c r="O385" s="9"/>
      <c r="P385" s="9"/>
      <c r="Q385" s="9"/>
      <c r="R385" s="142"/>
      <c r="S385" s="116"/>
      <c r="T385" s="117"/>
      <c r="U385" s="118"/>
      <c r="V385" s="118"/>
      <c r="W385" s="118"/>
      <c r="X385" s="118"/>
      <c r="Y385" s="118"/>
      <c r="Z385" s="118"/>
      <c r="AA385" s="118"/>
      <c r="AB385" s="118"/>
      <c r="AC385" s="118"/>
      <c r="AD385" s="118"/>
      <c r="AE385" s="118"/>
      <c r="AF385" s="118"/>
      <c r="AG385" s="118"/>
      <c r="AH385" s="118"/>
      <c r="AI385" s="118"/>
      <c r="AJ385" s="118"/>
      <c r="AK385" s="118"/>
      <c r="AL385" s="118"/>
      <c r="AM385" s="118"/>
      <c r="AN385" s="118"/>
      <c r="AO385" s="118"/>
      <c r="AP385" s="118"/>
      <c r="AQ385" s="118"/>
      <c r="AR385" s="118"/>
      <c r="AS385" s="118"/>
      <c r="AT385" s="123"/>
      <c r="AU385" s="124"/>
      <c r="AV385" s="124"/>
      <c r="AW385" s="124"/>
      <c r="AX385" s="124"/>
      <c r="AY385" s="124"/>
      <c r="AZ385" s="124"/>
      <c r="BA385" s="124"/>
      <c r="BB385" s="124"/>
      <c r="BC385" s="124"/>
      <c r="BD385" s="124"/>
      <c r="BE385" s="124"/>
      <c r="BF385" s="124"/>
      <c r="BG385" s="124"/>
      <c r="BH385" s="124"/>
      <c r="BI385" s="124"/>
      <c r="BJ385" s="124"/>
      <c r="BK385" s="124"/>
      <c r="BL385" s="124"/>
      <c r="BM385" s="124"/>
      <c r="BN385" s="124"/>
      <c r="BO385" s="124"/>
      <c r="BP385" s="124"/>
      <c r="BQ385" s="124"/>
      <c r="BR385" s="125"/>
      <c r="BS385" s="88"/>
    </row>
    <row r="386">
      <c r="G386" s="9"/>
      <c r="H386" s="9"/>
      <c r="I386" s="9"/>
      <c r="J386" s="143"/>
      <c r="K386" s="141"/>
      <c r="L386" s="141"/>
      <c r="M386" s="141"/>
      <c r="N386" s="141"/>
      <c r="O386" s="9"/>
      <c r="P386" s="9"/>
      <c r="Q386" s="9"/>
      <c r="R386" s="142"/>
      <c r="S386" s="116"/>
      <c r="T386" s="117"/>
      <c r="U386" s="118"/>
      <c r="V386" s="118"/>
      <c r="W386" s="118"/>
      <c r="X386" s="118"/>
      <c r="Y386" s="118"/>
      <c r="Z386" s="118"/>
      <c r="AA386" s="118"/>
      <c r="AB386" s="118"/>
      <c r="AC386" s="118"/>
      <c r="AD386" s="118"/>
      <c r="AE386" s="118"/>
      <c r="AF386" s="118"/>
      <c r="AG386" s="118"/>
      <c r="AH386" s="118"/>
      <c r="AI386" s="118"/>
      <c r="AJ386" s="118"/>
      <c r="AK386" s="118"/>
      <c r="AL386" s="118"/>
      <c r="AM386" s="118"/>
      <c r="AN386" s="118"/>
      <c r="AO386" s="118"/>
      <c r="AP386" s="118"/>
      <c r="AQ386" s="118"/>
      <c r="AR386" s="118"/>
      <c r="AS386" s="118"/>
      <c r="AT386" s="123"/>
      <c r="AU386" s="124"/>
      <c r="AV386" s="124"/>
      <c r="AW386" s="124"/>
      <c r="AX386" s="124"/>
      <c r="AY386" s="124"/>
      <c r="AZ386" s="124"/>
      <c r="BA386" s="124"/>
      <c r="BB386" s="124"/>
      <c r="BC386" s="124"/>
      <c r="BD386" s="124"/>
      <c r="BE386" s="124"/>
      <c r="BF386" s="124"/>
      <c r="BG386" s="124"/>
      <c r="BH386" s="124"/>
      <c r="BI386" s="124"/>
      <c r="BJ386" s="124"/>
      <c r="BK386" s="124"/>
      <c r="BL386" s="124"/>
      <c r="BM386" s="124"/>
      <c r="BN386" s="124"/>
      <c r="BO386" s="124"/>
      <c r="BP386" s="124"/>
      <c r="BQ386" s="124"/>
      <c r="BR386" s="125"/>
      <c r="BS386" s="88"/>
    </row>
    <row r="387">
      <c r="G387" s="9"/>
      <c r="H387" s="9"/>
      <c r="I387" s="9"/>
      <c r="J387" s="143"/>
      <c r="K387" s="141"/>
      <c r="L387" s="141"/>
      <c r="M387" s="141"/>
      <c r="N387" s="141"/>
      <c r="O387" s="9"/>
      <c r="P387" s="9"/>
      <c r="Q387" s="9"/>
      <c r="R387" s="142"/>
      <c r="S387" s="116"/>
      <c r="T387" s="117"/>
      <c r="U387" s="118"/>
      <c r="V387" s="118"/>
      <c r="W387" s="118"/>
      <c r="X387" s="118"/>
      <c r="Y387" s="118"/>
      <c r="Z387" s="118"/>
      <c r="AA387" s="118"/>
      <c r="AB387" s="118"/>
      <c r="AC387" s="118"/>
      <c r="AD387" s="118"/>
      <c r="AE387" s="118"/>
      <c r="AF387" s="118"/>
      <c r="AG387" s="118"/>
      <c r="AH387" s="118"/>
      <c r="AI387" s="118"/>
      <c r="AJ387" s="118"/>
      <c r="AK387" s="118"/>
      <c r="AL387" s="118"/>
      <c r="AM387" s="118"/>
      <c r="AN387" s="118"/>
      <c r="AO387" s="118"/>
      <c r="AP387" s="118"/>
      <c r="AQ387" s="118"/>
      <c r="AR387" s="118"/>
      <c r="AS387" s="118"/>
      <c r="AT387" s="123"/>
      <c r="AU387" s="124"/>
      <c r="AV387" s="124"/>
      <c r="AW387" s="124"/>
      <c r="AX387" s="124"/>
      <c r="AY387" s="124"/>
      <c r="AZ387" s="124"/>
      <c r="BA387" s="124"/>
      <c r="BB387" s="124"/>
      <c r="BC387" s="124"/>
      <c r="BD387" s="124"/>
      <c r="BE387" s="124"/>
      <c r="BF387" s="124"/>
      <c r="BG387" s="124"/>
      <c r="BH387" s="124"/>
      <c r="BI387" s="124"/>
      <c r="BJ387" s="124"/>
      <c r="BK387" s="124"/>
      <c r="BL387" s="124"/>
      <c r="BM387" s="124"/>
      <c r="BN387" s="124"/>
      <c r="BO387" s="124"/>
      <c r="BP387" s="124"/>
      <c r="BQ387" s="124"/>
      <c r="BR387" s="125"/>
      <c r="BS387" s="88"/>
    </row>
    <row r="388">
      <c r="G388" s="9"/>
      <c r="H388" s="9"/>
      <c r="I388" s="9"/>
      <c r="J388" s="143"/>
      <c r="K388" s="141"/>
      <c r="L388" s="141"/>
      <c r="M388" s="141"/>
      <c r="N388" s="141"/>
      <c r="O388" s="9"/>
      <c r="P388" s="9"/>
      <c r="Q388" s="9"/>
      <c r="R388" s="142"/>
      <c r="S388" s="116"/>
      <c r="T388" s="117"/>
      <c r="U388" s="118"/>
      <c r="V388" s="118"/>
      <c r="W388" s="118"/>
      <c r="X388" s="118"/>
      <c r="Y388" s="118"/>
      <c r="Z388" s="118"/>
      <c r="AA388" s="118"/>
      <c r="AB388" s="118"/>
      <c r="AC388" s="118"/>
      <c r="AD388" s="118"/>
      <c r="AE388" s="118"/>
      <c r="AF388" s="118"/>
      <c r="AG388" s="118"/>
      <c r="AH388" s="118"/>
      <c r="AI388" s="118"/>
      <c r="AJ388" s="118"/>
      <c r="AK388" s="118"/>
      <c r="AL388" s="118"/>
      <c r="AM388" s="118"/>
      <c r="AN388" s="118"/>
      <c r="AO388" s="118"/>
      <c r="AP388" s="118"/>
      <c r="AQ388" s="118"/>
      <c r="AR388" s="118"/>
      <c r="AS388" s="118"/>
      <c r="AT388" s="123"/>
      <c r="AU388" s="124"/>
      <c r="AV388" s="124"/>
      <c r="AW388" s="124"/>
      <c r="AX388" s="124"/>
      <c r="AY388" s="124"/>
      <c r="AZ388" s="124"/>
      <c r="BA388" s="124"/>
      <c r="BB388" s="124"/>
      <c r="BC388" s="124"/>
      <c r="BD388" s="124"/>
      <c r="BE388" s="124"/>
      <c r="BF388" s="124"/>
      <c r="BG388" s="124"/>
      <c r="BH388" s="124"/>
      <c r="BI388" s="124"/>
      <c r="BJ388" s="124"/>
      <c r="BK388" s="124"/>
      <c r="BL388" s="124"/>
      <c r="BM388" s="124"/>
      <c r="BN388" s="124"/>
      <c r="BO388" s="124"/>
      <c r="BP388" s="124"/>
      <c r="BQ388" s="124"/>
      <c r="BR388" s="125"/>
      <c r="BS388" s="88"/>
    </row>
    <row r="389">
      <c r="G389" s="9"/>
      <c r="H389" s="9"/>
      <c r="I389" s="9"/>
      <c r="J389" s="143"/>
      <c r="K389" s="141"/>
      <c r="L389" s="141"/>
      <c r="M389" s="141"/>
      <c r="N389" s="141"/>
      <c r="O389" s="9"/>
      <c r="P389" s="9"/>
      <c r="Q389" s="9"/>
      <c r="R389" s="142"/>
      <c r="S389" s="116"/>
      <c r="T389" s="117"/>
      <c r="U389" s="118"/>
      <c r="V389" s="118"/>
      <c r="W389" s="118"/>
      <c r="X389" s="118"/>
      <c r="Y389" s="118"/>
      <c r="Z389" s="118"/>
      <c r="AA389" s="118"/>
      <c r="AB389" s="118"/>
      <c r="AC389" s="118"/>
      <c r="AD389" s="118"/>
      <c r="AE389" s="118"/>
      <c r="AF389" s="118"/>
      <c r="AG389" s="118"/>
      <c r="AH389" s="118"/>
      <c r="AI389" s="118"/>
      <c r="AJ389" s="118"/>
      <c r="AK389" s="118"/>
      <c r="AL389" s="118"/>
      <c r="AM389" s="118"/>
      <c r="AN389" s="118"/>
      <c r="AO389" s="118"/>
      <c r="AP389" s="118"/>
      <c r="AQ389" s="118"/>
      <c r="AR389" s="118"/>
      <c r="AS389" s="118"/>
      <c r="AT389" s="123"/>
      <c r="AU389" s="124"/>
      <c r="AV389" s="124"/>
      <c r="AW389" s="124"/>
      <c r="AX389" s="124"/>
      <c r="AY389" s="124"/>
      <c r="AZ389" s="124"/>
      <c r="BA389" s="124"/>
      <c r="BB389" s="124"/>
      <c r="BC389" s="124"/>
      <c r="BD389" s="124"/>
      <c r="BE389" s="124"/>
      <c r="BF389" s="124"/>
      <c r="BG389" s="124"/>
      <c r="BH389" s="124"/>
      <c r="BI389" s="124"/>
      <c r="BJ389" s="124"/>
      <c r="BK389" s="124"/>
      <c r="BL389" s="124"/>
      <c r="BM389" s="124"/>
      <c r="BN389" s="124"/>
      <c r="BO389" s="124"/>
      <c r="BP389" s="124"/>
      <c r="BQ389" s="124"/>
      <c r="BR389" s="125"/>
      <c r="BS389" s="88"/>
    </row>
    <row r="390">
      <c r="G390" s="9"/>
      <c r="H390" s="9"/>
      <c r="I390" s="9"/>
      <c r="J390" s="143"/>
      <c r="K390" s="141"/>
      <c r="L390" s="141"/>
      <c r="M390" s="141"/>
      <c r="N390" s="141"/>
      <c r="O390" s="9"/>
      <c r="P390" s="9"/>
      <c r="Q390" s="9"/>
      <c r="R390" s="142"/>
      <c r="S390" s="116"/>
      <c r="T390" s="117"/>
      <c r="U390" s="118"/>
      <c r="V390" s="118"/>
      <c r="W390" s="118"/>
      <c r="X390" s="118"/>
      <c r="Y390" s="118"/>
      <c r="Z390" s="118"/>
      <c r="AA390" s="118"/>
      <c r="AB390" s="118"/>
      <c r="AC390" s="118"/>
      <c r="AD390" s="118"/>
      <c r="AE390" s="118"/>
      <c r="AF390" s="118"/>
      <c r="AG390" s="118"/>
      <c r="AH390" s="118"/>
      <c r="AI390" s="118"/>
      <c r="AJ390" s="118"/>
      <c r="AK390" s="118"/>
      <c r="AL390" s="118"/>
      <c r="AM390" s="118"/>
      <c r="AN390" s="118"/>
      <c r="AO390" s="118"/>
      <c r="AP390" s="118"/>
      <c r="AQ390" s="118"/>
      <c r="AR390" s="118"/>
      <c r="AS390" s="118"/>
      <c r="AT390" s="123"/>
      <c r="AU390" s="124"/>
      <c r="AV390" s="124"/>
      <c r="AW390" s="124"/>
      <c r="AX390" s="124"/>
      <c r="AY390" s="124"/>
      <c r="AZ390" s="124"/>
      <c r="BA390" s="124"/>
      <c r="BB390" s="124"/>
      <c r="BC390" s="124"/>
      <c r="BD390" s="124"/>
      <c r="BE390" s="124"/>
      <c r="BF390" s="124"/>
      <c r="BG390" s="124"/>
      <c r="BH390" s="124"/>
      <c r="BI390" s="124"/>
      <c r="BJ390" s="124"/>
      <c r="BK390" s="124"/>
      <c r="BL390" s="124"/>
      <c r="BM390" s="124"/>
      <c r="BN390" s="124"/>
      <c r="BO390" s="124"/>
      <c r="BP390" s="124"/>
      <c r="BQ390" s="124"/>
      <c r="BR390" s="125"/>
      <c r="BS390" s="88"/>
    </row>
    <row r="391">
      <c r="G391" s="9"/>
      <c r="H391" s="9"/>
      <c r="I391" s="9"/>
      <c r="J391" s="143"/>
      <c r="K391" s="141"/>
      <c r="L391" s="141"/>
      <c r="M391" s="141"/>
      <c r="N391" s="141"/>
      <c r="O391" s="9"/>
      <c r="P391" s="9"/>
      <c r="Q391" s="9"/>
      <c r="R391" s="142"/>
      <c r="S391" s="116"/>
      <c r="T391" s="117"/>
      <c r="U391" s="118"/>
      <c r="V391" s="118"/>
      <c r="W391" s="118"/>
      <c r="X391" s="118"/>
      <c r="Y391" s="118"/>
      <c r="Z391" s="118"/>
      <c r="AA391" s="118"/>
      <c r="AB391" s="118"/>
      <c r="AC391" s="118"/>
      <c r="AD391" s="118"/>
      <c r="AE391" s="118"/>
      <c r="AF391" s="118"/>
      <c r="AG391" s="118"/>
      <c r="AH391" s="118"/>
      <c r="AI391" s="118"/>
      <c r="AJ391" s="118"/>
      <c r="AK391" s="118"/>
      <c r="AL391" s="118"/>
      <c r="AM391" s="118"/>
      <c r="AN391" s="118"/>
      <c r="AO391" s="118"/>
      <c r="AP391" s="118"/>
      <c r="AQ391" s="118"/>
      <c r="AR391" s="118"/>
      <c r="AS391" s="118"/>
      <c r="AT391" s="123"/>
      <c r="AU391" s="124"/>
      <c r="AV391" s="124"/>
      <c r="AW391" s="124"/>
      <c r="AX391" s="124"/>
      <c r="AY391" s="124"/>
      <c r="AZ391" s="124"/>
      <c r="BA391" s="124"/>
      <c r="BB391" s="124"/>
      <c r="BC391" s="124"/>
      <c r="BD391" s="124"/>
      <c r="BE391" s="124"/>
      <c r="BF391" s="124"/>
      <c r="BG391" s="124"/>
      <c r="BH391" s="124"/>
      <c r="BI391" s="124"/>
      <c r="BJ391" s="124"/>
      <c r="BK391" s="124"/>
      <c r="BL391" s="124"/>
      <c r="BM391" s="124"/>
      <c r="BN391" s="124"/>
      <c r="BO391" s="124"/>
      <c r="BP391" s="124"/>
      <c r="BQ391" s="124"/>
      <c r="BR391" s="125"/>
      <c r="BS391" s="88"/>
    </row>
    <row r="392">
      <c r="G392" s="9"/>
      <c r="H392" s="9"/>
      <c r="I392" s="9"/>
      <c r="J392" s="143"/>
      <c r="K392" s="141"/>
      <c r="L392" s="141"/>
      <c r="M392" s="141"/>
      <c r="N392" s="141"/>
      <c r="O392" s="9"/>
      <c r="P392" s="9"/>
      <c r="Q392" s="9"/>
      <c r="R392" s="142"/>
      <c r="S392" s="116"/>
      <c r="T392" s="117"/>
      <c r="U392" s="118"/>
      <c r="V392" s="118"/>
      <c r="W392" s="118"/>
      <c r="X392" s="118"/>
      <c r="Y392" s="118"/>
      <c r="Z392" s="118"/>
      <c r="AA392" s="118"/>
      <c r="AB392" s="118"/>
      <c r="AC392" s="118"/>
      <c r="AD392" s="118"/>
      <c r="AE392" s="118"/>
      <c r="AF392" s="118"/>
      <c r="AG392" s="118"/>
      <c r="AH392" s="118"/>
      <c r="AI392" s="118"/>
      <c r="AJ392" s="118"/>
      <c r="AK392" s="118"/>
      <c r="AL392" s="118"/>
      <c r="AM392" s="118"/>
      <c r="AN392" s="118"/>
      <c r="AO392" s="118"/>
      <c r="AP392" s="118"/>
      <c r="AQ392" s="118"/>
      <c r="AR392" s="118"/>
      <c r="AS392" s="118"/>
      <c r="AT392" s="123"/>
      <c r="AU392" s="124"/>
      <c r="AV392" s="124"/>
      <c r="AW392" s="124"/>
      <c r="AX392" s="124"/>
      <c r="AY392" s="124"/>
      <c r="AZ392" s="124"/>
      <c r="BA392" s="124"/>
      <c r="BB392" s="124"/>
      <c r="BC392" s="124"/>
      <c r="BD392" s="124"/>
      <c r="BE392" s="124"/>
      <c r="BF392" s="124"/>
      <c r="BG392" s="124"/>
      <c r="BH392" s="124"/>
      <c r="BI392" s="124"/>
      <c r="BJ392" s="124"/>
      <c r="BK392" s="124"/>
      <c r="BL392" s="124"/>
      <c r="BM392" s="124"/>
      <c r="BN392" s="124"/>
      <c r="BO392" s="124"/>
      <c r="BP392" s="124"/>
      <c r="BQ392" s="124"/>
      <c r="BR392" s="125"/>
      <c r="BS392" s="88"/>
    </row>
    <row r="393">
      <c r="G393" s="9"/>
      <c r="H393" s="9"/>
      <c r="I393" s="9"/>
      <c r="J393" s="143"/>
      <c r="K393" s="141"/>
      <c r="L393" s="141"/>
      <c r="M393" s="141"/>
      <c r="N393" s="141"/>
      <c r="O393" s="9"/>
      <c r="P393" s="9"/>
      <c r="Q393" s="9"/>
      <c r="R393" s="142"/>
      <c r="S393" s="116"/>
      <c r="T393" s="117"/>
      <c r="U393" s="118"/>
      <c r="V393" s="118"/>
      <c r="W393" s="118"/>
      <c r="X393" s="118"/>
      <c r="Y393" s="118"/>
      <c r="Z393" s="118"/>
      <c r="AA393" s="118"/>
      <c r="AB393" s="118"/>
      <c r="AC393" s="118"/>
      <c r="AD393" s="118"/>
      <c r="AE393" s="118"/>
      <c r="AF393" s="118"/>
      <c r="AG393" s="118"/>
      <c r="AH393" s="118"/>
      <c r="AI393" s="118"/>
      <c r="AJ393" s="118"/>
      <c r="AK393" s="118"/>
      <c r="AL393" s="118"/>
      <c r="AM393" s="118"/>
      <c r="AN393" s="118"/>
      <c r="AO393" s="118"/>
      <c r="AP393" s="118"/>
      <c r="AQ393" s="118"/>
      <c r="AR393" s="118"/>
      <c r="AS393" s="118"/>
      <c r="AT393" s="123"/>
      <c r="AU393" s="124"/>
      <c r="AV393" s="124"/>
      <c r="AW393" s="124"/>
      <c r="AX393" s="124"/>
      <c r="AY393" s="124"/>
      <c r="AZ393" s="124"/>
      <c r="BA393" s="124"/>
      <c r="BB393" s="124"/>
      <c r="BC393" s="124"/>
      <c r="BD393" s="124"/>
      <c r="BE393" s="124"/>
      <c r="BF393" s="124"/>
      <c r="BG393" s="124"/>
      <c r="BH393" s="124"/>
      <c r="BI393" s="124"/>
      <c r="BJ393" s="124"/>
      <c r="BK393" s="124"/>
      <c r="BL393" s="124"/>
      <c r="BM393" s="124"/>
      <c r="BN393" s="124"/>
      <c r="BO393" s="124"/>
      <c r="BP393" s="124"/>
      <c r="BQ393" s="124"/>
      <c r="BR393" s="125"/>
      <c r="BS393" s="88"/>
    </row>
    <row r="394">
      <c r="G394" s="9"/>
      <c r="H394" s="9"/>
      <c r="I394" s="9"/>
      <c r="J394" s="143"/>
      <c r="K394" s="141"/>
      <c r="L394" s="141"/>
      <c r="M394" s="141"/>
      <c r="N394" s="141"/>
      <c r="O394" s="9"/>
      <c r="P394" s="9"/>
      <c r="Q394" s="9"/>
      <c r="R394" s="142"/>
      <c r="S394" s="116"/>
      <c r="T394" s="117"/>
      <c r="U394" s="118"/>
      <c r="V394" s="118"/>
      <c r="W394" s="118"/>
      <c r="X394" s="118"/>
      <c r="Y394" s="118"/>
      <c r="Z394" s="118"/>
      <c r="AA394" s="118"/>
      <c r="AB394" s="118"/>
      <c r="AC394" s="118"/>
      <c r="AD394" s="118"/>
      <c r="AE394" s="118"/>
      <c r="AF394" s="118"/>
      <c r="AG394" s="118"/>
      <c r="AH394" s="118"/>
      <c r="AI394" s="118"/>
      <c r="AJ394" s="118"/>
      <c r="AK394" s="118"/>
      <c r="AL394" s="118"/>
      <c r="AM394" s="118"/>
      <c r="AN394" s="118"/>
      <c r="AO394" s="118"/>
      <c r="AP394" s="118"/>
      <c r="AQ394" s="118"/>
      <c r="AR394" s="118"/>
      <c r="AS394" s="118"/>
      <c r="AT394" s="123"/>
      <c r="AU394" s="124"/>
      <c r="AV394" s="124"/>
      <c r="AW394" s="124"/>
      <c r="AX394" s="124"/>
      <c r="AY394" s="124"/>
      <c r="AZ394" s="124"/>
      <c r="BA394" s="124"/>
      <c r="BB394" s="124"/>
      <c r="BC394" s="124"/>
      <c r="BD394" s="124"/>
      <c r="BE394" s="124"/>
      <c r="BF394" s="124"/>
      <c r="BG394" s="124"/>
      <c r="BH394" s="124"/>
      <c r="BI394" s="124"/>
      <c r="BJ394" s="124"/>
      <c r="BK394" s="124"/>
      <c r="BL394" s="124"/>
      <c r="BM394" s="124"/>
      <c r="BN394" s="124"/>
      <c r="BO394" s="124"/>
      <c r="BP394" s="124"/>
      <c r="BQ394" s="124"/>
      <c r="BR394" s="125"/>
      <c r="BS394" s="88"/>
    </row>
    <row r="395">
      <c r="G395" s="9"/>
      <c r="H395" s="9"/>
      <c r="I395" s="9"/>
      <c r="J395" s="143"/>
      <c r="K395" s="141"/>
      <c r="L395" s="141"/>
      <c r="M395" s="141"/>
      <c r="N395" s="141"/>
      <c r="O395" s="9"/>
      <c r="P395" s="9"/>
      <c r="Q395" s="9"/>
      <c r="R395" s="142"/>
      <c r="S395" s="116"/>
      <c r="T395" s="117"/>
      <c r="U395" s="118"/>
      <c r="V395" s="118"/>
      <c r="W395" s="118"/>
      <c r="X395" s="118"/>
      <c r="Y395" s="118"/>
      <c r="Z395" s="118"/>
      <c r="AA395" s="118"/>
      <c r="AB395" s="118"/>
      <c r="AC395" s="118"/>
      <c r="AD395" s="118"/>
      <c r="AE395" s="118"/>
      <c r="AF395" s="118"/>
      <c r="AG395" s="118"/>
      <c r="AH395" s="118"/>
      <c r="AI395" s="118"/>
      <c r="AJ395" s="118"/>
      <c r="AK395" s="118"/>
      <c r="AL395" s="118"/>
      <c r="AM395" s="118"/>
      <c r="AN395" s="118"/>
      <c r="AO395" s="118"/>
      <c r="AP395" s="118"/>
      <c r="AQ395" s="118"/>
      <c r="AR395" s="118"/>
      <c r="AS395" s="118"/>
      <c r="AT395" s="123"/>
      <c r="AU395" s="124"/>
      <c r="AV395" s="124"/>
      <c r="AW395" s="124"/>
      <c r="AX395" s="124"/>
      <c r="AY395" s="124"/>
      <c r="AZ395" s="124"/>
      <c r="BA395" s="124"/>
      <c r="BB395" s="124"/>
      <c r="BC395" s="124"/>
      <c r="BD395" s="124"/>
      <c r="BE395" s="124"/>
      <c r="BF395" s="124"/>
      <c r="BG395" s="124"/>
      <c r="BH395" s="124"/>
      <c r="BI395" s="124"/>
      <c r="BJ395" s="124"/>
      <c r="BK395" s="124"/>
      <c r="BL395" s="124"/>
      <c r="BM395" s="124"/>
      <c r="BN395" s="124"/>
      <c r="BO395" s="124"/>
      <c r="BP395" s="124"/>
      <c r="BQ395" s="124"/>
      <c r="BR395" s="125"/>
      <c r="BS395" s="88"/>
    </row>
    <row r="396">
      <c r="G396" s="9"/>
      <c r="H396" s="9"/>
      <c r="I396" s="9"/>
      <c r="J396" s="143"/>
      <c r="K396" s="141"/>
      <c r="L396" s="141"/>
      <c r="M396" s="141"/>
      <c r="N396" s="141"/>
      <c r="O396" s="9"/>
      <c r="P396" s="9"/>
      <c r="Q396" s="9"/>
      <c r="R396" s="142"/>
      <c r="S396" s="116"/>
      <c r="T396" s="117"/>
      <c r="U396" s="118"/>
      <c r="V396" s="118"/>
      <c r="W396" s="118"/>
      <c r="X396" s="118"/>
      <c r="Y396" s="118"/>
      <c r="Z396" s="118"/>
      <c r="AA396" s="118"/>
      <c r="AB396" s="118"/>
      <c r="AC396" s="118"/>
      <c r="AD396" s="118"/>
      <c r="AE396" s="118"/>
      <c r="AF396" s="118"/>
      <c r="AG396" s="118"/>
      <c r="AH396" s="118"/>
      <c r="AI396" s="118"/>
      <c r="AJ396" s="118"/>
      <c r="AK396" s="118"/>
      <c r="AL396" s="118"/>
      <c r="AM396" s="118"/>
      <c r="AN396" s="118"/>
      <c r="AO396" s="118"/>
      <c r="AP396" s="118"/>
      <c r="AQ396" s="118"/>
      <c r="AR396" s="118"/>
      <c r="AS396" s="118"/>
      <c r="AT396" s="123"/>
      <c r="AU396" s="124"/>
      <c r="AV396" s="124"/>
      <c r="AW396" s="124"/>
      <c r="AX396" s="124"/>
      <c r="AY396" s="124"/>
      <c r="AZ396" s="124"/>
      <c r="BA396" s="124"/>
      <c r="BB396" s="124"/>
      <c r="BC396" s="124"/>
      <c r="BD396" s="124"/>
      <c r="BE396" s="124"/>
      <c r="BF396" s="124"/>
      <c r="BG396" s="124"/>
      <c r="BH396" s="124"/>
      <c r="BI396" s="124"/>
      <c r="BJ396" s="124"/>
      <c r="BK396" s="124"/>
      <c r="BL396" s="124"/>
      <c r="BM396" s="124"/>
      <c r="BN396" s="124"/>
      <c r="BO396" s="124"/>
      <c r="BP396" s="124"/>
      <c r="BQ396" s="124"/>
      <c r="BR396" s="125"/>
      <c r="BS396" s="88"/>
    </row>
    <row r="397">
      <c r="G397" s="9"/>
      <c r="H397" s="9"/>
      <c r="I397" s="9"/>
      <c r="J397" s="143"/>
      <c r="K397" s="141"/>
      <c r="L397" s="141"/>
      <c r="M397" s="141"/>
      <c r="N397" s="141"/>
      <c r="O397" s="9"/>
      <c r="P397" s="9"/>
      <c r="Q397" s="9"/>
      <c r="R397" s="142"/>
      <c r="S397" s="116"/>
      <c r="T397" s="117"/>
      <c r="U397" s="118"/>
      <c r="V397" s="118"/>
      <c r="W397" s="118"/>
      <c r="X397" s="118"/>
      <c r="Y397" s="118"/>
      <c r="Z397" s="118"/>
      <c r="AA397" s="118"/>
      <c r="AB397" s="118"/>
      <c r="AC397" s="118"/>
      <c r="AD397" s="118"/>
      <c r="AE397" s="118"/>
      <c r="AF397" s="118"/>
      <c r="AG397" s="118"/>
      <c r="AH397" s="118"/>
      <c r="AI397" s="118"/>
      <c r="AJ397" s="118"/>
      <c r="AK397" s="118"/>
      <c r="AL397" s="118"/>
      <c r="AM397" s="118"/>
      <c r="AN397" s="118"/>
      <c r="AO397" s="118"/>
      <c r="AP397" s="118"/>
      <c r="AQ397" s="118"/>
      <c r="AR397" s="118"/>
      <c r="AS397" s="118"/>
      <c r="AT397" s="123"/>
      <c r="AU397" s="124"/>
      <c r="AV397" s="124"/>
      <c r="AW397" s="124"/>
      <c r="AX397" s="124"/>
      <c r="AY397" s="124"/>
      <c r="AZ397" s="124"/>
      <c r="BA397" s="124"/>
      <c r="BB397" s="124"/>
      <c r="BC397" s="124"/>
      <c r="BD397" s="124"/>
      <c r="BE397" s="124"/>
      <c r="BF397" s="124"/>
      <c r="BG397" s="124"/>
      <c r="BH397" s="124"/>
      <c r="BI397" s="124"/>
      <c r="BJ397" s="124"/>
      <c r="BK397" s="124"/>
      <c r="BL397" s="124"/>
      <c r="BM397" s="124"/>
      <c r="BN397" s="124"/>
      <c r="BO397" s="124"/>
      <c r="BP397" s="124"/>
      <c r="BQ397" s="124"/>
      <c r="BR397" s="125"/>
      <c r="BS397" s="88"/>
    </row>
    <row r="398">
      <c r="G398" s="9"/>
      <c r="H398" s="9"/>
      <c r="I398" s="9"/>
      <c r="J398" s="143"/>
      <c r="K398" s="141"/>
      <c r="L398" s="141"/>
      <c r="M398" s="141"/>
      <c r="N398" s="141"/>
      <c r="O398" s="9"/>
      <c r="P398" s="9"/>
      <c r="Q398" s="9"/>
      <c r="R398" s="142"/>
      <c r="S398" s="116"/>
      <c r="T398" s="117"/>
      <c r="U398" s="118"/>
      <c r="V398" s="118"/>
      <c r="W398" s="118"/>
      <c r="X398" s="118"/>
      <c r="Y398" s="118"/>
      <c r="Z398" s="118"/>
      <c r="AA398" s="118"/>
      <c r="AB398" s="118"/>
      <c r="AC398" s="118"/>
      <c r="AD398" s="118"/>
      <c r="AE398" s="118"/>
      <c r="AF398" s="118"/>
      <c r="AG398" s="118"/>
      <c r="AH398" s="118"/>
      <c r="AI398" s="118"/>
      <c r="AJ398" s="118"/>
      <c r="AK398" s="118"/>
      <c r="AL398" s="118"/>
      <c r="AM398" s="118"/>
      <c r="AN398" s="118"/>
      <c r="AO398" s="118"/>
      <c r="AP398" s="118"/>
      <c r="AQ398" s="118"/>
      <c r="AR398" s="118"/>
      <c r="AS398" s="118"/>
      <c r="AT398" s="123"/>
      <c r="AU398" s="124"/>
      <c r="AV398" s="124"/>
      <c r="AW398" s="124"/>
      <c r="AX398" s="124"/>
      <c r="AY398" s="124"/>
      <c r="AZ398" s="124"/>
      <c r="BA398" s="124"/>
      <c r="BB398" s="124"/>
      <c r="BC398" s="124"/>
      <c r="BD398" s="124"/>
      <c r="BE398" s="124"/>
      <c r="BF398" s="124"/>
      <c r="BG398" s="124"/>
      <c r="BH398" s="124"/>
      <c r="BI398" s="124"/>
      <c r="BJ398" s="124"/>
      <c r="BK398" s="124"/>
      <c r="BL398" s="124"/>
      <c r="BM398" s="124"/>
      <c r="BN398" s="124"/>
      <c r="BO398" s="124"/>
      <c r="BP398" s="124"/>
      <c r="BQ398" s="124"/>
      <c r="BR398" s="125"/>
      <c r="BS398" s="88"/>
    </row>
    <row r="399">
      <c r="G399" s="9"/>
      <c r="H399" s="9"/>
      <c r="I399" s="9"/>
      <c r="J399" s="143"/>
      <c r="K399" s="141"/>
      <c r="L399" s="141"/>
      <c r="M399" s="141"/>
      <c r="N399" s="141"/>
      <c r="O399" s="9"/>
      <c r="P399" s="9"/>
      <c r="Q399" s="9"/>
      <c r="R399" s="142"/>
      <c r="S399" s="116"/>
      <c r="T399" s="117"/>
      <c r="U399" s="118"/>
      <c r="V399" s="118"/>
      <c r="W399" s="118"/>
      <c r="X399" s="118"/>
      <c r="Y399" s="118"/>
      <c r="Z399" s="118"/>
      <c r="AA399" s="118"/>
      <c r="AB399" s="118"/>
      <c r="AC399" s="118"/>
      <c r="AD399" s="118"/>
      <c r="AE399" s="118"/>
      <c r="AF399" s="118"/>
      <c r="AG399" s="118"/>
      <c r="AH399" s="118"/>
      <c r="AI399" s="118"/>
      <c r="AJ399" s="118"/>
      <c r="AK399" s="118"/>
      <c r="AL399" s="118"/>
      <c r="AM399" s="118"/>
      <c r="AN399" s="118"/>
      <c r="AO399" s="118"/>
      <c r="AP399" s="118"/>
      <c r="AQ399" s="118"/>
      <c r="AR399" s="118"/>
      <c r="AS399" s="118"/>
      <c r="AT399" s="123"/>
      <c r="AU399" s="124"/>
      <c r="AV399" s="124"/>
      <c r="AW399" s="124"/>
      <c r="AX399" s="124"/>
      <c r="AY399" s="124"/>
      <c r="AZ399" s="124"/>
      <c r="BA399" s="124"/>
      <c r="BB399" s="124"/>
      <c r="BC399" s="124"/>
      <c r="BD399" s="124"/>
      <c r="BE399" s="124"/>
      <c r="BF399" s="124"/>
      <c r="BG399" s="124"/>
      <c r="BH399" s="124"/>
      <c r="BI399" s="124"/>
      <c r="BJ399" s="124"/>
      <c r="BK399" s="124"/>
      <c r="BL399" s="124"/>
      <c r="BM399" s="124"/>
      <c r="BN399" s="124"/>
      <c r="BO399" s="124"/>
      <c r="BP399" s="124"/>
      <c r="BQ399" s="124"/>
      <c r="BR399" s="125"/>
      <c r="BS399" s="88"/>
    </row>
    <row r="400">
      <c r="G400" s="9"/>
      <c r="H400" s="9"/>
      <c r="I400" s="9"/>
      <c r="J400" s="143"/>
      <c r="K400" s="141"/>
      <c r="L400" s="141"/>
      <c r="M400" s="141"/>
      <c r="N400" s="141"/>
      <c r="O400" s="9"/>
      <c r="P400" s="9"/>
      <c r="Q400" s="9"/>
      <c r="R400" s="142"/>
      <c r="S400" s="116"/>
      <c r="T400" s="117"/>
      <c r="U400" s="118"/>
      <c r="V400" s="118"/>
      <c r="W400" s="118"/>
      <c r="X400" s="118"/>
      <c r="Y400" s="118"/>
      <c r="Z400" s="118"/>
      <c r="AA400" s="118"/>
      <c r="AB400" s="118"/>
      <c r="AC400" s="118"/>
      <c r="AD400" s="118"/>
      <c r="AE400" s="118"/>
      <c r="AF400" s="118"/>
      <c r="AG400" s="118"/>
      <c r="AH400" s="118"/>
      <c r="AI400" s="118"/>
      <c r="AJ400" s="118"/>
      <c r="AK400" s="118"/>
      <c r="AL400" s="118"/>
      <c r="AM400" s="118"/>
      <c r="AN400" s="118"/>
      <c r="AO400" s="118"/>
      <c r="AP400" s="118"/>
      <c r="AQ400" s="118"/>
      <c r="AR400" s="118"/>
      <c r="AS400" s="118"/>
      <c r="AT400" s="123"/>
      <c r="AU400" s="124"/>
      <c r="AV400" s="124"/>
      <c r="AW400" s="124"/>
      <c r="AX400" s="124"/>
      <c r="AY400" s="124"/>
      <c r="AZ400" s="124"/>
      <c r="BA400" s="124"/>
      <c r="BB400" s="124"/>
      <c r="BC400" s="124"/>
      <c r="BD400" s="124"/>
      <c r="BE400" s="124"/>
      <c r="BF400" s="124"/>
      <c r="BG400" s="124"/>
      <c r="BH400" s="124"/>
      <c r="BI400" s="124"/>
      <c r="BJ400" s="124"/>
      <c r="BK400" s="124"/>
      <c r="BL400" s="124"/>
      <c r="BM400" s="124"/>
      <c r="BN400" s="124"/>
      <c r="BO400" s="124"/>
      <c r="BP400" s="124"/>
      <c r="BQ400" s="124"/>
      <c r="BR400" s="125"/>
      <c r="BS400" s="88"/>
    </row>
    <row r="401">
      <c r="G401" s="9"/>
      <c r="H401" s="9"/>
      <c r="I401" s="9"/>
      <c r="J401" s="143"/>
      <c r="K401" s="141"/>
      <c r="L401" s="141"/>
      <c r="M401" s="141"/>
      <c r="N401" s="141"/>
      <c r="O401" s="9"/>
      <c r="P401" s="9"/>
      <c r="Q401" s="9"/>
      <c r="R401" s="142"/>
      <c r="S401" s="116"/>
      <c r="T401" s="117"/>
      <c r="U401" s="118"/>
      <c r="V401" s="118"/>
      <c r="W401" s="118"/>
      <c r="X401" s="118"/>
      <c r="Y401" s="118"/>
      <c r="Z401" s="118"/>
      <c r="AA401" s="118"/>
      <c r="AB401" s="118"/>
      <c r="AC401" s="118"/>
      <c r="AD401" s="118"/>
      <c r="AE401" s="118"/>
      <c r="AF401" s="118"/>
      <c r="AG401" s="118"/>
      <c r="AH401" s="118"/>
      <c r="AI401" s="118"/>
      <c r="AJ401" s="118"/>
      <c r="AK401" s="118"/>
      <c r="AL401" s="118"/>
      <c r="AM401" s="118"/>
      <c r="AN401" s="118"/>
      <c r="AO401" s="118"/>
      <c r="AP401" s="118"/>
      <c r="AQ401" s="118"/>
      <c r="AR401" s="118"/>
      <c r="AS401" s="118"/>
      <c r="AT401" s="123"/>
      <c r="AU401" s="124"/>
      <c r="AV401" s="124"/>
      <c r="AW401" s="124"/>
      <c r="AX401" s="124"/>
      <c r="AY401" s="124"/>
      <c r="AZ401" s="124"/>
      <c r="BA401" s="124"/>
      <c r="BB401" s="124"/>
      <c r="BC401" s="124"/>
      <c r="BD401" s="124"/>
      <c r="BE401" s="124"/>
      <c r="BF401" s="124"/>
      <c r="BG401" s="124"/>
      <c r="BH401" s="124"/>
      <c r="BI401" s="124"/>
      <c r="BJ401" s="124"/>
      <c r="BK401" s="124"/>
      <c r="BL401" s="124"/>
      <c r="BM401" s="124"/>
      <c r="BN401" s="124"/>
      <c r="BO401" s="124"/>
      <c r="BP401" s="124"/>
      <c r="BQ401" s="124"/>
      <c r="BR401" s="125"/>
      <c r="BS401" s="88"/>
    </row>
    <row r="402">
      <c r="G402" s="9"/>
      <c r="H402" s="9"/>
      <c r="I402" s="9"/>
      <c r="J402" s="143"/>
      <c r="K402" s="141"/>
      <c r="L402" s="141"/>
      <c r="M402" s="141"/>
      <c r="N402" s="141"/>
      <c r="O402" s="9"/>
      <c r="P402" s="9"/>
      <c r="Q402" s="9"/>
      <c r="R402" s="142"/>
      <c r="S402" s="116"/>
      <c r="T402" s="117"/>
      <c r="U402" s="118"/>
      <c r="V402" s="118"/>
      <c r="W402" s="118"/>
      <c r="X402" s="118"/>
      <c r="Y402" s="118"/>
      <c r="Z402" s="118"/>
      <c r="AA402" s="118"/>
      <c r="AB402" s="118"/>
      <c r="AC402" s="118"/>
      <c r="AD402" s="118"/>
      <c r="AE402" s="118"/>
      <c r="AF402" s="118"/>
      <c r="AG402" s="118"/>
      <c r="AH402" s="118"/>
      <c r="AI402" s="118"/>
      <c r="AJ402" s="118"/>
      <c r="AK402" s="118"/>
      <c r="AL402" s="118"/>
      <c r="AM402" s="118"/>
      <c r="AN402" s="118"/>
      <c r="AO402" s="118"/>
      <c r="AP402" s="118"/>
      <c r="AQ402" s="118"/>
      <c r="AR402" s="118"/>
      <c r="AS402" s="118"/>
      <c r="AT402" s="123"/>
      <c r="AU402" s="124"/>
      <c r="AV402" s="124"/>
      <c r="AW402" s="124"/>
      <c r="AX402" s="124"/>
      <c r="AY402" s="124"/>
      <c r="AZ402" s="124"/>
      <c r="BA402" s="124"/>
      <c r="BB402" s="124"/>
      <c r="BC402" s="124"/>
      <c r="BD402" s="124"/>
      <c r="BE402" s="124"/>
      <c r="BF402" s="124"/>
      <c r="BG402" s="124"/>
      <c r="BH402" s="124"/>
      <c r="BI402" s="124"/>
      <c r="BJ402" s="124"/>
      <c r="BK402" s="124"/>
      <c r="BL402" s="124"/>
      <c r="BM402" s="124"/>
      <c r="BN402" s="124"/>
      <c r="BO402" s="124"/>
      <c r="BP402" s="124"/>
      <c r="BQ402" s="124"/>
      <c r="BR402" s="125"/>
      <c r="BS402" s="88"/>
    </row>
    <row r="403">
      <c r="G403" s="9"/>
      <c r="H403" s="9"/>
      <c r="I403" s="9"/>
      <c r="J403" s="143"/>
      <c r="K403" s="141"/>
      <c r="L403" s="141"/>
      <c r="M403" s="141"/>
      <c r="N403" s="141"/>
      <c r="O403" s="9"/>
      <c r="P403" s="9"/>
      <c r="Q403" s="9"/>
      <c r="R403" s="142"/>
      <c r="S403" s="116"/>
      <c r="T403" s="117"/>
      <c r="U403" s="118"/>
      <c r="V403" s="118"/>
      <c r="W403" s="118"/>
      <c r="X403" s="118"/>
      <c r="Y403" s="118"/>
      <c r="Z403" s="118"/>
      <c r="AA403" s="118"/>
      <c r="AB403" s="118"/>
      <c r="AC403" s="118"/>
      <c r="AD403" s="118"/>
      <c r="AE403" s="118"/>
      <c r="AF403" s="118"/>
      <c r="AG403" s="118"/>
      <c r="AH403" s="118"/>
      <c r="AI403" s="118"/>
      <c r="AJ403" s="118"/>
      <c r="AK403" s="118"/>
      <c r="AL403" s="118"/>
      <c r="AM403" s="118"/>
      <c r="AN403" s="118"/>
      <c r="AO403" s="118"/>
      <c r="AP403" s="118"/>
      <c r="AQ403" s="118"/>
      <c r="AR403" s="118"/>
      <c r="AS403" s="118"/>
      <c r="AT403" s="123"/>
      <c r="AU403" s="124"/>
      <c r="AV403" s="124"/>
      <c r="AW403" s="124"/>
      <c r="AX403" s="124"/>
      <c r="AY403" s="124"/>
      <c r="AZ403" s="124"/>
      <c r="BA403" s="124"/>
      <c r="BB403" s="124"/>
      <c r="BC403" s="124"/>
      <c r="BD403" s="124"/>
      <c r="BE403" s="124"/>
      <c r="BF403" s="124"/>
      <c r="BG403" s="124"/>
      <c r="BH403" s="124"/>
      <c r="BI403" s="124"/>
      <c r="BJ403" s="124"/>
      <c r="BK403" s="124"/>
      <c r="BL403" s="124"/>
      <c r="BM403" s="124"/>
      <c r="BN403" s="124"/>
      <c r="BO403" s="124"/>
      <c r="BP403" s="124"/>
      <c r="BQ403" s="124"/>
      <c r="BR403" s="125"/>
      <c r="BS403" s="88"/>
    </row>
    <row r="404">
      <c r="G404" s="9"/>
      <c r="H404" s="9"/>
      <c r="I404" s="9"/>
      <c r="J404" s="143"/>
      <c r="K404" s="141"/>
      <c r="L404" s="141"/>
      <c r="M404" s="141"/>
      <c r="N404" s="141"/>
      <c r="O404" s="9"/>
      <c r="P404" s="9"/>
      <c r="Q404" s="9"/>
      <c r="R404" s="142"/>
      <c r="S404" s="116"/>
      <c r="T404" s="117"/>
      <c r="U404" s="118"/>
      <c r="V404" s="118"/>
      <c r="W404" s="118"/>
      <c r="X404" s="118"/>
      <c r="Y404" s="118"/>
      <c r="Z404" s="118"/>
      <c r="AA404" s="118"/>
      <c r="AB404" s="118"/>
      <c r="AC404" s="118"/>
      <c r="AD404" s="118"/>
      <c r="AE404" s="118"/>
      <c r="AF404" s="118"/>
      <c r="AG404" s="118"/>
      <c r="AH404" s="118"/>
      <c r="AI404" s="118"/>
      <c r="AJ404" s="118"/>
      <c r="AK404" s="118"/>
      <c r="AL404" s="118"/>
      <c r="AM404" s="118"/>
      <c r="AN404" s="118"/>
      <c r="AO404" s="118"/>
      <c r="AP404" s="118"/>
      <c r="AQ404" s="118"/>
      <c r="AR404" s="118"/>
      <c r="AS404" s="118"/>
      <c r="AT404" s="123"/>
      <c r="AU404" s="124"/>
      <c r="AV404" s="124"/>
      <c r="AW404" s="124"/>
      <c r="AX404" s="124"/>
      <c r="AY404" s="124"/>
      <c r="AZ404" s="124"/>
      <c r="BA404" s="124"/>
      <c r="BB404" s="124"/>
      <c r="BC404" s="124"/>
      <c r="BD404" s="124"/>
      <c r="BE404" s="124"/>
      <c r="BF404" s="124"/>
      <c r="BG404" s="124"/>
      <c r="BH404" s="124"/>
      <c r="BI404" s="124"/>
      <c r="BJ404" s="124"/>
      <c r="BK404" s="124"/>
      <c r="BL404" s="124"/>
      <c r="BM404" s="124"/>
      <c r="BN404" s="124"/>
      <c r="BO404" s="124"/>
      <c r="BP404" s="124"/>
      <c r="BQ404" s="124"/>
      <c r="BR404" s="125"/>
      <c r="BS404" s="88"/>
    </row>
    <row r="405">
      <c r="G405" s="9"/>
      <c r="H405" s="9"/>
      <c r="I405" s="9"/>
      <c r="J405" s="143"/>
      <c r="K405" s="141"/>
      <c r="L405" s="141"/>
      <c r="M405" s="141"/>
      <c r="N405" s="141"/>
      <c r="O405" s="9"/>
      <c r="P405" s="9"/>
      <c r="Q405" s="9"/>
      <c r="R405" s="142"/>
      <c r="S405" s="116"/>
      <c r="T405" s="117"/>
      <c r="U405" s="118"/>
      <c r="V405" s="118"/>
      <c r="W405" s="118"/>
      <c r="X405" s="118"/>
      <c r="Y405" s="118"/>
      <c r="Z405" s="118"/>
      <c r="AA405" s="118"/>
      <c r="AB405" s="118"/>
      <c r="AC405" s="118"/>
      <c r="AD405" s="118"/>
      <c r="AE405" s="118"/>
      <c r="AF405" s="118"/>
      <c r="AG405" s="118"/>
      <c r="AH405" s="118"/>
      <c r="AI405" s="118"/>
      <c r="AJ405" s="118"/>
      <c r="AK405" s="118"/>
      <c r="AL405" s="118"/>
      <c r="AM405" s="118"/>
      <c r="AN405" s="118"/>
      <c r="AO405" s="118"/>
      <c r="AP405" s="118"/>
      <c r="AQ405" s="118"/>
      <c r="AR405" s="118"/>
      <c r="AS405" s="118"/>
      <c r="AT405" s="123"/>
      <c r="AU405" s="124"/>
      <c r="AV405" s="124"/>
      <c r="AW405" s="124"/>
      <c r="AX405" s="124"/>
      <c r="AY405" s="124"/>
      <c r="AZ405" s="124"/>
      <c r="BA405" s="124"/>
      <c r="BB405" s="124"/>
      <c r="BC405" s="124"/>
      <c r="BD405" s="124"/>
      <c r="BE405" s="124"/>
      <c r="BF405" s="124"/>
      <c r="BG405" s="124"/>
      <c r="BH405" s="124"/>
      <c r="BI405" s="124"/>
      <c r="BJ405" s="124"/>
      <c r="BK405" s="124"/>
      <c r="BL405" s="124"/>
      <c r="BM405" s="124"/>
      <c r="BN405" s="124"/>
      <c r="BO405" s="124"/>
      <c r="BP405" s="124"/>
      <c r="BQ405" s="124"/>
      <c r="BR405" s="125"/>
      <c r="BS405" s="88"/>
    </row>
    <row r="406">
      <c r="J406" s="73"/>
      <c r="K406" s="74"/>
      <c r="L406" s="74"/>
      <c r="M406" s="74"/>
      <c r="N406" s="74"/>
      <c r="R406" s="144"/>
      <c r="S406" s="75"/>
      <c r="T406" s="145"/>
      <c r="U406" s="145"/>
      <c r="V406" s="145"/>
      <c r="W406" s="145"/>
      <c r="X406" s="145"/>
      <c r="Y406" s="145"/>
      <c r="Z406" s="145"/>
      <c r="AA406" s="145"/>
      <c r="AB406" s="145"/>
      <c r="AC406" s="145"/>
      <c r="AD406" s="145"/>
      <c r="AE406" s="145"/>
      <c r="AF406" s="145"/>
      <c r="AG406" s="145"/>
      <c r="AH406" s="145"/>
      <c r="AI406" s="145"/>
      <c r="AJ406" s="145"/>
      <c r="AK406" s="145"/>
      <c r="AL406" s="145"/>
      <c r="AM406" s="145"/>
      <c r="AN406" s="145"/>
      <c r="AO406" s="145"/>
      <c r="AP406" s="145"/>
      <c r="AQ406" s="145"/>
      <c r="AR406" s="145"/>
      <c r="AS406" s="145"/>
      <c r="AT406" s="124"/>
      <c r="AU406" s="124"/>
      <c r="AV406" s="124"/>
      <c r="AW406" s="124"/>
      <c r="AX406" s="124"/>
      <c r="AY406" s="124"/>
      <c r="AZ406" s="124"/>
      <c r="BA406" s="124"/>
      <c r="BB406" s="88"/>
      <c r="BC406" s="88"/>
      <c r="BD406" s="88"/>
      <c r="BE406" s="88"/>
      <c r="BF406" s="88"/>
      <c r="BG406" s="88"/>
      <c r="BH406" s="88"/>
      <c r="BI406" s="88"/>
      <c r="BJ406" s="88"/>
      <c r="BK406" s="88"/>
      <c r="BL406" s="88"/>
      <c r="BM406" s="88"/>
      <c r="BN406" s="88"/>
      <c r="BO406" s="88"/>
      <c r="BP406" s="88"/>
      <c r="BQ406" s="88"/>
      <c r="BR406" s="88"/>
      <c r="BS406" s="88"/>
    </row>
    <row r="407">
      <c r="J407" s="73"/>
      <c r="K407" s="74"/>
      <c r="L407" s="74"/>
      <c r="M407" s="74"/>
      <c r="N407" s="74"/>
      <c r="R407" s="144"/>
      <c r="S407" s="75"/>
      <c r="T407" s="145"/>
      <c r="U407" s="145"/>
      <c r="V407" s="145"/>
      <c r="W407" s="145"/>
      <c r="X407" s="145"/>
      <c r="Y407" s="145"/>
      <c r="Z407" s="145"/>
      <c r="AA407" s="145"/>
      <c r="AB407" s="145"/>
      <c r="AC407" s="145"/>
      <c r="AD407" s="145"/>
      <c r="AE407" s="145"/>
      <c r="AF407" s="145"/>
      <c r="AG407" s="145"/>
      <c r="AH407" s="145"/>
      <c r="AI407" s="145"/>
      <c r="AJ407" s="145"/>
      <c r="AK407" s="145"/>
      <c r="AL407" s="145"/>
      <c r="AM407" s="145"/>
      <c r="AN407" s="145"/>
      <c r="AO407" s="145"/>
      <c r="AP407" s="145"/>
      <c r="AQ407" s="145"/>
      <c r="AR407" s="145"/>
      <c r="AS407" s="145"/>
      <c r="AT407" s="124"/>
      <c r="AU407" s="124"/>
      <c r="AV407" s="124"/>
      <c r="AW407" s="124"/>
      <c r="AX407" s="124"/>
      <c r="AY407" s="124"/>
      <c r="AZ407" s="124"/>
      <c r="BA407" s="124"/>
      <c r="BB407" s="88"/>
      <c r="BC407" s="88"/>
      <c r="BD407" s="88"/>
      <c r="BE407" s="88"/>
      <c r="BF407" s="88"/>
      <c r="BG407" s="88"/>
      <c r="BH407" s="88"/>
      <c r="BI407" s="88"/>
      <c r="BJ407" s="88"/>
      <c r="BK407" s="88"/>
      <c r="BL407" s="88"/>
      <c r="BM407" s="88"/>
      <c r="BN407" s="88"/>
      <c r="BO407" s="88"/>
      <c r="BP407" s="88"/>
      <c r="BQ407" s="88"/>
      <c r="BR407" s="88"/>
      <c r="BS407" s="88"/>
    </row>
    <row r="408">
      <c r="J408" s="73"/>
      <c r="K408" s="74"/>
      <c r="L408" s="74"/>
      <c r="M408" s="74"/>
      <c r="N408" s="74"/>
      <c r="R408" s="144"/>
      <c r="S408" s="75"/>
      <c r="T408" s="145"/>
      <c r="U408" s="145"/>
      <c r="V408" s="145"/>
      <c r="W408" s="145"/>
      <c r="X408" s="145"/>
      <c r="Y408" s="145"/>
      <c r="Z408" s="145"/>
      <c r="AA408" s="145"/>
      <c r="AB408" s="145"/>
      <c r="AC408" s="145"/>
      <c r="AD408" s="145"/>
      <c r="AE408" s="145"/>
      <c r="AF408" s="145"/>
      <c r="AG408" s="145"/>
      <c r="AH408" s="145"/>
      <c r="AI408" s="145"/>
      <c r="AJ408" s="145"/>
      <c r="AK408" s="145"/>
      <c r="AL408" s="145"/>
      <c r="AM408" s="145"/>
      <c r="AN408" s="145"/>
      <c r="AO408" s="145"/>
      <c r="AP408" s="145"/>
      <c r="AQ408" s="145"/>
      <c r="AR408" s="145"/>
      <c r="AS408" s="145"/>
      <c r="AT408" s="124"/>
      <c r="AU408" s="124"/>
      <c r="AV408" s="124"/>
      <c r="AW408" s="124"/>
      <c r="AX408" s="124"/>
      <c r="AY408" s="124"/>
      <c r="AZ408" s="124"/>
      <c r="BA408" s="124"/>
      <c r="BB408" s="88"/>
      <c r="BC408" s="88"/>
      <c r="BD408" s="88"/>
      <c r="BE408" s="88"/>
      <c r="BF408" s="88"/>
      <c r="BG408" s="88"/>
      <c r="BH408" s="88"/>
      <c r="BI408" s="88"/>
      <c r="BJ408" s="88"/>
      <c r="BK408" s="88"/>
      <c r="BL408" s="88"/>
      <c r="BM408" s="88"/>
      <c r="BN408" s="88"/>
      <c r="BO408" s="88"/>
      <c r="BP408" s="88"/>
      <c r="BQ408" s="88"/>
      <c r="BR408" s="88"/>
      <c r="BS408" s="88"/>
    </row>
    <row r="409">
      <c r="J409" s="73"/>
      <c r="K409" s="74"/>
      <c r="L409" s="74"/>
      <c r="M409" s="74"/>
      <c r="N409" s="74"/>
      <c r="R409" s="144"/>
      <c r="S409" s="75"/>
      <c r="T409" s="145"/>
      <c r="U409" s="145"/>
      <c r="V409" s="145"/>
      <c r="W409" s="145"/>
      <c r="X409" s="145"/>
      <c r="Y409" s="145"/>
      <c r="Z409" s="145"/>
      <c r="AA409" s="145"/>
      <c r="AB409" s="145"/>
      <c r="AC409" s="145"/>
      <c r="AD409" s="145"/>
      <c r="AE409" s="145"/>
      <c r="AF409" s="145"/>
      <c r="AG409" s="145"/>
      <c r="AH409" s="145"/>
      <c r="AI409" s="145"/>
      <c r="AJ409" s="145"/>
      <c r="AK409" s="145"/>
      <c r="AL409" s="145"/>
      <c r="AM409" s="145"/>
      <c r="AN409" s="145"/>
      <c r="AO409" s="145"/>
      <c r="AP409" s="145"/>
      <c r="AQ409" s="145"/>
      <c r="AR409" s="145"/>
      <c r="AS409" s="145"/>
      <c r="AT409" s="124"/>
      <c r="AU409" s="124"/>
      <c r="AV409" s="124"/>
      <c r="AW409" s="124"/>
      <c r="AX409" s="124"/>
      <c r="AY409" s="124"/>
      <c r="AZ409" s="124"/>
      <c r="BA409" s="124"/>
      <c r="BB409" s="88"/>
      <c r="BC409" s="88"/>
      <c r="BD409" s="88"/>
      <c r="BE409" s="88"/>
      <c r="BF409" s="88"/>
      <c r="BG409" s="88"/>
      <c r="BH409" s="88"/>
      <c r="BI409" s="88"/>
      <c r="BJ409" s="88"/>
      <c r="BK409" s="88"/>
      <c r="BL409" s="88"/>
      <c r="BM409" s="88"/>
      <c r="BN409" s="88"/>
      <c r="BO409" s="88"/>
      <c r="BP409" s="88"/>
      <c r="BQ409" s="88"/>
      <c r="BR409" s="88"/>
      <c r="BS409" s="88"/>
    </row>
    <row r="410">
      <c r="J410" s="73"/>
      <c r="K410" s="74"/>
      <c r="L410" s="74"/>
      <c r="M410" s="74"/>
      <c r="N410" s="74"/>
      <c r="R410" s="144"/>
      <c r="S410" s="75"/>
      <c r="T410" s="145"/>
      <c r="U410" s="145"/>
      <c r="V410" s="145"/>
      <c r="W410" s="145"/>
      <c r="X410" s="145"/>
      <c r="Y410" s="145"/>
      <c r="Z410" s="145"/>
      <c r="AA410" s="145"/>
      <c r="AB410" s="145"/>
      <c r="AC410" s="145"/>
      <c r="AD410" s="145"/>
      <c r="AE410" s="145"/>
      <c r="AF410" s="145"/>
      <c r="AG410" s="145"/>
      <c r="AH410" s="145"/>
      <c r="AI410" s="145"/>
      <c r="AJ410" s="145"/>
      <c r="AK410" s="145"/>
      <c r="AL410" s="145"/>
      <c r="AM410" s="145"/>
      <c r="AN410" s="145"/>
      <c r="AO410" s="145"/>
      <c r="AP410" s="145"/>
      <c r="AQ410" s="145"/>
      <c r="AR410" s="145"/>
      <c r="AS410" s="145"/>
      <c r="AT410" s="124"/>
      <c r="AU410" s="124"/>
      <c r="AV410" s="124"/>
      <c r="AW410" s="124"/>
      <c r="AX410" s="124"/>
      <c r="AY410" s="124"/>
      <c r="AZ410" s="124"/>
      <c r="BA410" s="124"/>
      <c r="BB410" s="88"/>
      <c r="BC410" s="88"/>
      <c r="BD410" s="88"/>
      <c r="BE410" s="88"/>
      <c r="BF410" s="88"/>
      <c r="BG410" s="88"/>
      <c r="BH410" s="88"/>
      <c r="BI410" s="88"/>
      <c r="BJ410" s="88"/>
      <c r="BK410" s="88"/>
      <c r="BL410" s="88"/>
      <c r="BM410" s="88"/>
      <c r="BN410" s="88"/>
      <c r="BO410" s="88"/>
      <c r="BP410" s="88"/>
      <c r="BQ410" s="88"/>
      <c r="BR410" s="88"/>
      <c r="BS410" s="88"/>
    </row>
    <row r="411">
      <c r="J411" s="73"/>
      <c r="K411" s="74"/>
      <c r="L411" s="74"/>
      <c r="M411" s="74"/>
      <c r="N411" s="74"/>
      <c r="R411" s="144"/>
      <c r="S411" s="75"/>
      <c r="T411" s="145"/>
      <c r="U411" s="145"/>
      <c r="V411" s="145"/>
      <c r="W411" s="145"/>
      <c r="X411" s="145"/>
      <c r="Y411" s="145"/>
      <c r="Z411" s="145"/>
      <c r="AA411" s="145"/>
      <c r="AB411" s="145"/>
      <c r="AC411" s="145"/>
      <c r="AD411" s="145"/>
      <c r="AE411" s="145"/>
      <c r="AF411" s="145"/>
      <c r="AG411" s="145"/>
      <c r="AH411" s="145"/>
      <c r="AI411" s="145"/>
      <c r="AJ411" s="145"/>
      <c r="AK411" s="145"/>
      <c r="AL411" s="145"/>
      <c r="AM411" s="145"/>
      <c r="AN411" s="145"/>
      <c r="AO411" s="145"/>
      <c r="AP411" s="145"/>
      <c r="AQ411" s="145"/>
      <c r="AR411" s="145"/>
      <c r="AS411" s="145"/>
      <c r="AT411" s="124"/>
      <c r="AU411" s="124"/>
      <c r="AV411" s="124"/>
      <c r="AW411" s="124"/>
      <c r="AX411" s="124"/>
      <c r="AY411" s="124"/>
      <c r="AZ411" s="124"/>
      <c r="BA411" s="124"/>
      <c r="BB411" s="88"/>
      <c r="BC411" s="88"/>
      <c r="BD411" s="88"/>
      <c r="BE411" s="88"/>
      <c r="BF411" s="88"/>
      <c r="BG411" s="88"/>
      <c r="BH411" s="88"/>
      <c r="BI411" s="88"/>
      <c r="BJ411" s="88"/>
      <c r="BK411" s="88"/>
      <c r="BL411" s="88"/>
      <c r="BM411" s="88"/>
      <c r="BN411" s="88"/>
      <c r="BO411" s="88"/>
      <c r="BP411" s="88"/>
      <c r="BQ411" s="88"/>
      <c r="BR411" s="88"/>
      <c r="BS411" s="88"/>
    </row>
    <row r="412">
      <c r="J412" s="73"/>
      <c r="K412" s="74"/>
      <c r="L412" s="74"/>
      <c r="M412" s="74"/>
      <c r="N412" s="74"/>
      <c r="R412" s="144"/>
      <c r="S412" s="75"/>
      <c r="T412" s="145"/>
      <c r="U412" s="145"/>
      <c r="V412" s="145"/>
      <c r="W412" s="145"/>
      <c r="X412" s="145"/>
      <c r="Y412" s="145"/>
      <c r="Z412" s="145"/>
      <c r="AA412" s="145"/>
      <c r="AB412" s="145"/>
      <c r="AC412" s="145"/>
      <c r="AD412" s="145"/>
      <c r="AE412" s="145"/>
      <c r="AF412" s="145"/>
      <c r="AG412" s="145"/>
      <c r="AH412" s="145"/>
      <c r="AI412" s="145"/>
      <c r="AJ412" s="145"/>
      <c r="AK412" s="145"/>
      <c r="AL412" s="145"/>
      <c r="AM412" s="145"/>
      <c r="AN412" s="145"/>
      <c r="AO412" s="145"/>
      <c r="AP412" s="145"/>
      <c r="AQ412" s="145"/>
      <c r="AR412" s="145"/>
      <c r="AS412" s="145"/>
      <c r="AT412" s="124"/>
      <c r="AU412" s="124"/>
      <c r="AV412" s="124"/>
      <c r="AW412" s="124"/>
      <c r="AX412" s="124"/>
      <c r="AY412" s="124"/>
      <c r="AZ412" s="124"/>
      <c r="BA412" s="124"/>
      <c r="BB412" s="88"/>
      <c r="BC412" s="88"/>
      <c r="BD412" s="88"/>
      <c r="BE412" s="88"/>
      <c r="BF412" s="88"/>
      <c r="BG412" s="88"/>
      <c r="BH412" s="88"/>
      <c r="BI412" s="88"/>
      <c r="BJ412" s="88"/>
      <c r="BK412" s="88"/>
      <c r="BL412" s="88"/>
      <c r="BM412" s="88"/>
      <c r="BN412" s="88"/>
      <c r="BO412" s="88"/>
      <c r="BP412" s="88"/>
      <c r="BQ412" s="88"/>
      <c r="BR412" s="88"/>
      <c r="BS412" s="88"/>
    </row>
    <row r="413">
      <c r="J413" s="73"/>
      <c r="K413" s="74"/>
      <c r="L413" s="74"/>
      <c r="M413" s="74"/>
      <c r="N413" s="74"/>
      <c r="R413" s="144"/>
      <c r="S413" s="75"/>
      <c r="T413" s="145"/>
      <c r="U413" s="145"/>
      <c r="V413" s="145"/>
      <c r="W413" s="145"/>
      <c r="X413" s="145"/>
      <c r="Y413" s="145"/>
      <c r="Z413" s="145"/>
      <c r="AA413" s="145"/>
      <c r="AB413" s="145"/>
      <c r="AC413" s="145"/>
      <c r="AD413" s="145"/>
      <c r="AE413" s="145"/>
      <c r="AF413" s="145"/>
      <c r="AG413" s="145"/>
      <c r="AH413" s="145"/>
      <c r="AI413" s="145"/>
      <c r="AJ413" s="145"/>
      <c r="AK413" s="145"/>
      <c r="AL413" s="145"/>
      <c r="AM413" s="145"/>
      <c r="AN413" s="145"/>
      <c r="AO413" s="145"/>
      <c r="AP413" s="145"/>
      <c r="AQ413" s="145"/>
      <c r="AR413" s="145"/>
      <c r="AS413" s="145"/>
      <c r="AT413" s="124"/>
      <c r="AU413" s="124"/>
      <c r="AV413" s="124"/>
      <c r="AW413" s="124"/>
      <c r="AX413" s="124"/>
      <c r="AY413" s="124"/>
      <c r="AZ413" s="124"/>
      <c r="BA413" s="124"/>
      <c r="BB413" s="88"/>
      <c r="BC413" s="88"/>
      <c r="BD413" s="88"/>
      <c r="BE413" s="88"/>
      <c r="BF413" s="88"/>
      <c r="BG413" s="88"/>
      <c r="BH413" s="88"/>
      <c r="BI413" s="88"/>
      <c r="BJ413" s="88"/>
      <c r="BK413" s="88"/>
      <c r="BL413" s="88"/>
      <c r="BM413" s="88"/>
      <c r="BN413" s="88"/>
      <c r="BO413" s="88"/>
      <c r="BP413" s="88"/>
      <c r="BQ413" s="88"/>
      <c r="BR413" s="88"/>
      <c r="BS413" s="88"/>
    </row>
    <row r="414">
      <c r="J414" s="73"/>
      <c r="K414" s="74"/>
      <c r="L414" s="74"/>
      <c r="M414" s="74"/>
      <c r="N414" s="74"/>
      <c r="R414" s="144"/>
      <c r="S414" s="75"/>
      <c r="T414" s="145"/>
      <c r="U414" s="145"/>
      <c r="V414" s="145"/>
      <c r="W414" s="145"/>
      <c r="X414" s="145"/>
      <c r="Y414" s="145"/>
      <c r="Z414" s="145"/>
      <c r="AA414" s="145"/>
      <c r="AB414" s="145"/>
      <c r="AC414" s="145"/>
      <c r="AD414" s="145"/>
      <c r="AE414" s="145"/>
      <c r="AF414" s="145"/>
      <c r="AG414" s="145"/>
      <c r="AH414" s="145"/>
      <c r="AI414" s="145"/>
      <c r="AJ414" s="145"/>
      <c r="AK414" s="145"/>
      <c r="AL414" s="145"/>
      <c r="AM414" s="145"/>
      <c r="AN414" s="145"/>
      <c r="AO414" s="145"/>
      <c r="AP414" s="145"/>
      <c r="AQ414" s="145"/>
      <c r="AR414" s="145"/>
      <c r="AS414" s="145"/>
      <c r="AT414" s="124"/>
      <c r="AU414" s="124"/>
      <c r="AV414" s="124"/>
      <c r="AW414" s="124"/>
      <c r="AX414" s="124"/>
      <c r="AY414" s="124"/>
      <c r="AZ414" s="124"/>
      <c r="BA414" s="124"/>
      <c r="BB414" s="88"/>
      <c r="BC414" s="88"/>
      <c r="BD414" s="88"/>
      <c r="BE414" s="88"/>
      <c r="BF414" s="88"/>
      <c r="BG414" s="88"/>
      <c r="BH414" s="88"/>
      <c r="BI414" s="88"/>
      <c r="BJ414" s="88"/>
      <c r="BK414" s="88"/>
      <c r="BL414" s="88"/>
      <c r="BM414" s="88"/>
      <c r="BN414" s="88"/>
      <c r="BO414" s="88"/>
      <c r="BP414" s="88"/>
      <c r="BQ414" s="88"/>
      <c r="BR414" s="88"/>
      <c r="BS414" s="88"/>
    </row>
    <row r="415">
      <c r="J415" s="73"/>
      <c r="K415" s="74"/>
      <c r="L415" s="74"/>
      <c r="M415" s="74"/>
      <c r="N415" s="74"/>
      <c r="R415" s="144"/>
      <c r="S415" s="75"/>
      <c r="T415" s="145"/>
      <c r="U415" s="145"/>
      <c r="V415" s="145"/>
      <c r="W415" s="145"/>
      <c r="X415" s="145"/>
      <c r="Y415" s="145"/>
      <c r="Z415" s="145"/>
      <c r="AA415" s="145"/>
      <c r="AB415" s="145"/>
      <c r="AC415" s="145"/>
      <c r="AD415" s="145"/>
      <c r="AE415" s="145"/>
      <c r="AF415" s="145"/>
      <c r="AG415" s="145"/>
      <c r="AH415" s="145"/>
      <c r="AI415" s="145"/>
      <c r="AJ415" s="145"/>
      <c r="AK415" s="145"/>
      <c r="AL415" s="145"/>
      <c r="AM415" s="145"/>
      <c r="AN415" s="145"/>
      <c r="AO415" s="145"/>
      <c r="AP415" s="145"/>
      <c r="AQ415" s="145"/>
      <c r="AR415" s="145"/>
      <c r="AS415" s="145"/>
      <c r="AT415" s="124"/>
      <c r="AU415" s="124"/>
      <c r="AV415" s="124"/>
      <c r="AW415" s="124"/>
      <c r="AX415" s="124"/>
      <c r="AY415" s="124"/>
      <c r="AZ415" s="124"/>
      <c r="BA415" s="124"/>
      <c r="BB415" s="88"/>
      <c r="BC415" s="88"/>
      <c r="BD415" s="88"/>
      <c r="BE415" s="88"/>
      <c r="BF415" s="88"/>
      <c r="BG415" s="88"/>
      <c r="BH415" s="88"/>
      <c r="BI415" s="88"/>
      <c r="BJ415" s="88"/>
      <c r="BK415" s="88"/>
      <c r="BL415" s="88"/>
      <c r="BM415" s="88"/>
      <c r="BN415" s="88"/>
      <c r="BO415" s="88"/>
      <c r="BP415" s="88"/>
      <c r="BQ415" s="88"/>
      <c r="BR415" s="88"/>
      <c r="BS415" s="88"/>
    </row>
    <row r="416">
      <c r="J416" s="73"/>
      <c r="K416" s="74"/>
      <c r="L416" s="74"/>
      <c r="M416" s="74"/>
      <c r="N416" s="74"/>
      <c r="R416" s="144"/>
      <c r="S416" s="75"/>
      <c r="T416" s="145"/>
      <c r="U416" s="145"/>
      <c r="V416" s="145"/>
      <c r="W416" s="145"/>
      <c r="X416" s="145"/>
      <c r="Y416" s="145"/>
      <c r="Z416" s="145"/>
      <c r="AA416" s="145"/>
      <c r="AB416" s="145"/>
      <c r="AC416" s="145"/>
      <c r="AD416" s="145"/>
      <c r="AE416" s="145"/>
      <c r="AF416" s="145"/>
      <c r="AG416" s="145"/>
      <c r="AH416" s="145"/>
      <c r="AI416" s="145"/>
      <c r="AJ416" s="145"/>
      <c r="AK416" s="145"/>
      <c r="AL416" s="145"/>
      <c r="AM416" s="145"/>
      <c r="AN416" s="145"/>
      <c r="AO416" s="145"/>
      <c r="AP416" s="145"/>
      <c r="AQ416" s="145"/>
      <c r="AR416" s="145"/>
      <c r="AS416" s="145"/>
      <c r="AT416" s="124"/>
      <c r="AU416" s="124"/>
      <c r="AV416" s="124"/>
      <c r="AW416" s="124"/>
      <c r="AX416" s="124"/>
      <c r="AY416" s="124"/>
      <c r="AZ416" s="124"/>
      <c r="BA416" s="124"/>
      <c r="BB416" s="88"/>
      <c r="BC416" s="88"/>
      <c r="BD416" s="88"/>
      <c r="BE416" s="88"/>
      <c r="BF416" s="88"/>
      <c r="BG416" s="88"/>
      <c r="BH416" s="88"/>
      <c r="BI416" s="88"/>
      <c r="BJ416" s="88"/>
      <c r="BK416" s="88"/>
      <c r="BL416" s="88"/>
      <c r="BM416" s="88"/>
      <c r="BN416" s="88"/>
      <c r="BO416" s="88"/>
      <c r="BP416" s="88"/>
      <c r="BQ416" s="88"/>
      <c r="BR416" s="88"/>
      <c r="BS416" s="88"/>
    </row>
    <row r="417">
      <c r="J417" s="73"/>
      <c r="K417" s="74"/>
      <c r="L417" s="74"/>
      <c r="M417" s="74"/>
      <c r="N417" s="74"/>
      <c r="R417" s="144"/>
      <c r="S417" s="75"/>
      <c r="T417" s="145"/>
      <c r="U417" s="145"/>
      <c r="V417" s="145"/>
      <c r="W417" s="145"/>
      <c r="X417" s="145"/>
      <c r="Y417" s="145"/>
      <c r="Z417" s="145"/>
      <c r="AA417" s="145"/>
      <c r="AB417" s="145"/>
      <c r="AC417" s="145"/>
      <c r="AD417" s="145"/>
      <c r="AE417" s="145"/>
      <c r="AF417" s="145"/>
      <c r="AG417" s="145"/>
      <c r="AH417" s="145"/>
      <c r="AI417" s="145"/>
      <c r="AJ417" s="145"/>
      <c r="AK417" s="145"/>
      <c r="AL417" s="145"/>
      <c r="AM417" s="145"/>
      <c r="AN417" s="145"/>
      <c r="AO417" s="145"/>
      <c r="AP417" s="145"/>
      <c r="AQ417" s="145"/>
      <c r="AR417" s="145"/>
      <c r="AS417" s="145"/>
      <c r="AT417" s="124"/>
      <c r="AU417" s="124"/>
      <c r="AV417" s="124"/>
      <c r="AW417" s="124"/>
      <c r="AX417" s="124"/>
      <c r="AY417" s="124"/>
      <c r="AZ417" s="124"/>
      <c r="BA417" s="124"/>
      <c r="BB417" s="88"/>
      <c r="BC417" s="88"/>
      <c r="BD417" s="88"/>
      <c r="BE417" s="88"/>
      <c r="BF417" s="88"/>
      <c r="BG417" s="88"/>
      <c r="BH417" s="88"/>
      <c r="BI417" s="88"/>
      <c r="BJ417" s="88"/>
      <c r="BK417" s="88"/>
      <c r="BL417" s="88"/>
      <c r="BM417" s="88"/>
      <c r="BN417" s="88"/>
      <c r="BO417" s="88"/>
      <c r="BP417" s="88"/>
      <c r="BQ417" s="88"/>
      <c r="BR417" s="88"/>
      <c r="BS417" s="88"/>
    </row>
    <row r="418">
      <c r="J418" s="73"/>
      <c r="K418" s="74"/>
      <c r="L418" s="74"/>
      <c r="M418" s="74"/>
      <c r="N418" s="74"/>
      <c r="R418" s="144"/>
      <c r="S418" s="75"/>
      <c r="T418" s="145"/>
      <c r="U418" s="145"/>
      <c r="V418" s="145"/>
      <c r="W418" s="145"/>
      <c r="X418" s="145"/>
      <c r="Y418" s="145"/>
      <c r="Z418" s="145"/>
      <c r="AA418" s="145"/>
      <c r="AB418" s="145"/>
      <c r="AC418" s="145"/>
      <c r="AD418" s="145"/>
      <c r="AE418" s="145"/>
      <c r="AF418" s="145"/>
      <c r="AG418" s="145"/>
      <c r="AH418" s="145"/>
      <c r="AI418" s="145"/>
      <c r="AJ418" s="145"/>
      <c r="AK418" s="145"/>
      <c r="AL418" s="145"/>
      <c r="AM418" s="145"/>
      <c r="AN418" s="145"/>
      <c r="AO418" s="145"/>
      <c r="AP418" s="145"/>
      <c r="AQ418" s="145"/>
      <c r="AR418" s="145"/>
      <c r="AS418" s="145"/>
      <c r="AT418" s="124"/>
      <c r="AU418" s="124"/>
      <c r="AV418" s="124"/>
      <c r="AW418" s="124"/>
      <c r="AX418" s="124"/>
      <c r="AY418" s="124"/>
      <c r="AZ418" s="124"/>
      <c r="BA418" s="124"/>
      <c r="BB418" s="88"/>
      <c r="BC418" s="88"/>
      <c r="BD418" s="88"/>
      <c r="BE418" s="88"/>
      <c r="BF418" s="88"/>
      <c r="BG418" s="88"/>
      <c r="BH418" s="88"/>
      <c r="BI418" s="88"/>
      <c r="BJ418" s="88"/>
      <c r="BK418" s="88"/>
      <c r="BL418" s="88"/>
      <c r="BM418" s="88"/>
      <c r="BN418" s="88"/>
      <c r="BO418" s="88"/>
      <c r="BP418" s="88"/>
      <c r="BQ418" s="88"/>
      <c r="BR418" s="88"/>
      <c r="BS418" s="88"/>
    </row>
    <row r="419">
      <c r="J419" s="73"/>
      <c r="K419" s="74"/>
      <c r="L419" s="74"/>
      <c r="M419" s="74"/>
      <c r="N419" s="74"/>
      <c r="R419" s="144"/>
      <c r="S419" s="75"/>
      <c r="T419" s="145"/>
      <c r="U419" s="145"/>
      <c r="V419" s="145"/>
      <c r="W419" s="145"/>
      <c r="X419" s="145"/>
      <c r="Y419" s="145"/>
      <c r="Z419" s="145"/>
      <c r="AA419" s="145"/>
      <c r="AB419" s="145"/>
      <c r="AC419" s="145"/>
      <c r="AD419" s="145"/>
      <c r="AE419" s="145"/>
      <c r="AF419" s="145"/>
      <c r="AG419" s="145"/>
      <c r="AH419" s="145"/>
      <c r="AI419" s="145"/>
      <c r="AJ419" s="145"/>
      <c r="AK419" s="145"/>
      <c r="AL419" s="145"/>
      <c r="AM419" s="145"/>
      <c r="AN419" s="145"/>
      <c r="AO419" s="145"/>
      <c r="AP419" s="145"/>
      <c r="AQ419" s="145"/>
      <c r="AR419" s="145"/>
      <c r="AS419" s="145"/>
      <c r="AT419" s="124"/>
      <c r="AU419" s="124"/>
      <c r="AV419" s="124"/>
      <c r="AW419" s="124"/>
      <c r="AX419" s="124"/>
      <c r="AY419" s="124"/>
      <c r="AZ419" s="124"/>
      <c r="BA419" s="124"/>
      <c r="BB419" s="88"/>
      <c r="BC419" s="88"/>
      <c r="BD419" s="88"/>
      <c r="BE419" s="88"/>
      <c r="BF419" s="88"/>
      <c r="BG419" s="88"/>
      <c r="BH419" s="88"/>
      <c r="BI419" s="88"/>
      <c r="BJ419" s="88"/>
      <c r="BK419" s="88"/>
      <c r="BL419" s="88"/>
      <c r="BM419" s="88"/>
      <c r="BN419" s="88"/>
      <c r="BO419" s="88"/>
      <c r="BP419" s="88"/>
      <c r="BQ419" s="88"/>
      <c r="BR419" s="88"/>
      <c r="BS419" s="88"/>
    </row>
    <row r="420">
      <c r="J420" s="73"/>
      <c r="K420" s="74"/>
      <c r="L420" s="74"/>
      <c r="M420" s="74"/>
      <c r="N420" s="74"/>
      <c r="R420" s="144"/>
      <c r="S420" s="75"/>
      <c r="T420" s="145"/>
      <c r="U420" s="145"/>
      <c r="V420" s="145"/>
      <c r="W420" s="145"/>
      <c r="X420" s="145"/>
      <c r="Y420" s="145"/>
      <c r="Z420" s="145"/>
      <c r="AA420" s="145"/>
      <c r="AB420" s="145"/>
      <c r="AC420" s="145"/>
      <c r="AD420" s="145"/>
      <c r="AE420" s="145"/>
      <c r="AF420" s="145"/>
      <c r="AG420" s="145"/>
      <c r="AH420" s="145"/>
      <c r="AI420" s="145"/>
      <c r="AJ420" s="145"/>
      <c r="AK420" s="145"/>
      <c r="AL420" s="145"/>
      <c r="AM420" s="145"/>
      <c r="AN420" s="145"/>
      <c r="AO420" s="145"/>
      <c r="AP420" s="145"/>
      <c r="AQ420" s="145"/>
      <c r="AR420" s="145"/>
      <c r="AS420" s="145"/>
      <c r="AT420" s="124"/>
      <c r="AU420" s="124"/>
      <c r="AV420" s="124"/>
      <c r="AW420" s="124"/>
      <c r="AX420" s="124"/>
      <c r="AY420" s="124"/>
      <c r="AZ420" s="124"/>
      <c r="BA420" s="124"/>
      <c r="BB420" s="88"/>
      <c r="BC420" s="88"/>
      <c r="BD420" s="88"/>
      <c r="BE420" s="88"/>
      <c r="BF420" s="88"/>
      <c r="BG420" s="88"/>
      <c r="BH420" s="88"/>
      <c r="BI420" s="88"/>
      <c r="BJ420" s="88"/>
      <c r="BK420" s="88"/>
      <c r="BL420" s="88"/>
      <c r="BM420" s="88"/>
      <c r="BN420" s="88"/>
      <c r="BO420" s="88"/>
      <c r="BP420" s="88"/>
      <c r="BQ420" s="88"/>
      <c r="BR420" s="88"/>
      <c r="BS420" s="88"/>
    </row>
    <row r="421">
      <c r="J421" s="73"/>
      <c r="K421" s="74"/>
      <c r="L421" s="74"/>
      <c r="M421" s="74"/>
      <c r="N421" s="74"/>
      <c r="R421" s="144"/>
      <c r="S421" s="75"/>
      <c r="T421" s="145"/>
      <c r="U421" s="145"/>
      <c r="V421" s="145"/>
      <c r="W421" s="145"/>
      <c r="X421" s="145"/>
      <c r="Y421" s="145"/>
      <c r="Z421" s="145"/>
      <c r="AA421" s="145"/>
      <c r="AB421" s="145"/>
      <c r="AC421" s="145"/>
      <c r="AD421" s="145"/>
      <c r="AE421" s="145"/>
      <c r="AF421" s="145"/>
      <c r="AG421" s="145"/>
      <c r="AH421" s="145"/>
      <c r="AI421" s="145"/>
      <c r="AJ421" s="145"/>
      <c r="AK421" s="145"/>
      <c r="AL421" s="145"/>
      <c r="AM421" s="145"/>
      <c r="AN421" s="145"/>
      <c r="AO421" s="145"/>
      <c r="AP421" s="145"/>
      <c r="AQ421" s="145"/>
      <c r="AR421" s="145"/>
      <c r="AS421" s="145"/>
      <c r="AT421" s="124"/>
      <c r="AU421" s="124"/>
      <c r="AV421" s="124"/>
      <c r="AW421" s="124"/>
      <c r="AX421" s="124"/>
      <c r="AY421" s="124"/>
      <c r="AZ421" s="124"/>
      <c r="BA421" s="124"/>
      <c r="BB421" s="88"/>
      <c r="BC421" s="88"/>
      <c r="BD421" s="88"/>
      <c r="BE421" s="88"/>
      <c r="BF421" s="88"/>
      <c r="BG421" s="88"/>
      <c r="BH421" s="88"/>
      <c r="BI421" s="88"/>
      <c r="BJ421" s="88"/>
      <c r="BK421" s="88"/>
      <c r="BL421" s="88"/>
      <c r="BM421" s="88"/>
      <c r="BN421" s="88"/>
      <c r="BO421" s="88"/>
      <c r="BP421" s="88"/>
      <c r="BQ421" s="88"/>
      <c r="BR421" s="88"/>
      <c r="BS421" s="88"/>
    </row>
    <row r="422">
      <c r="J422" s="73"/>
      <c r="K422" s="74"/>
      <c r="L422" s="74"/>
      <c r="M422" s="74"/>
      <c r="N422" s="74"/>
      <c r="R422" s="144"/>
      <c r="S422" s="75"/>
      <c r="T422" s="145"/>
      <c r="U422" s="145"/>
      <c r="V422" s="145"/>
      <c r="W422" s="145"/>
      <c r="X422" s="145"/>
      <c r="Y422" s="145"/>
      <c r="Z422" s="145"/>
      <c r="AA422" s="145"/>
      <c r="AB422" s="145"/>
      <c r="AC422" s="145"/>
      <c r="AD422" s="145"/>
      <c r="AE422" s="145"/>
      <c r="AF422" s="145"/>
      <c r="AG422" s="145"/>
      <c r="AH422" s="145"/>
      <c r="AI422" s="145"/>
      <c r="AJ422" s="145"/>
      <c r="AK422" s="145"/>
      <c r="AL422" s="145"/>
      <c r="AM422" s="145"/>
      <c r="AN422" s="145"/>
      <c r="AO422" s="145"/>
      <c r="AP422" s="145"/>
      <c r="AQ422" s="145"/>
      <c r="AR422" s="145"/>
      <c r="AS422" s="145"/>
      <c r="AT422" s="124"/>
      <c r="AU422" s="124"/>
      <c r="AV422" s="124"/>
      <c r="AW422" s="124"/>
      <c r="AX422" s="124"/>
      <c r="AY422" s="124"/>
      <c r="AZ422" s="124"/>
      <c r="BA422" s="124"/>
      <c r="BB422" s="88"/>
      <c r="BC422" s="88"/>
      <c r="BD422" s="88"/>
      <c r="BE422" s="88"/>
      <c r="BF422" s="88"/>
      <c r="BG422" s="88"/>
      <c r="BH422" s="88"/>
      <c r="BI422" s="88"/>
      <c r="BJ422" s="88"/>
      <c r="BK422" s="88"/>
      <c r="BL422" s="88"/>
      <c r="BM422" s="88"/>
      <c r="BN422" s="88"/>
      <c r="BO422" s="88"/>
      <c r="BP422" s="88"/>
      <c r="BQ422" s="88"/>
      <c r="BR422" s="88"/>
      <c r="BS422" s="88"/>
    </row>
    <row r="423">
      <c r="J423" s="73"/>
      <c r="K423" s="74"/>
      <c r="L423" s="74"/>
      <c r="M423" s="74"/>
      <c r="N423" s="74"/>
      <c r="R423" s="144"/>
      <c r="S423" s="75"/>
      <c r="T423" s="145"/>
      <c r="U423" s="145"/>
      <c r="V423" s="145"/>
      <c r="W423" s="145"/>
      <c r="X423" s="145"/>
      <c r="Y423" s="145"/>
      <c r="Z423" s="145"/>
      <c r="AA423" s="145"/>
      <c r="AB423" s="145"/>
      <c r="AC423" s="145"/>
      <c r="AD423" s="145"/>
      <c r="AE423" s="145"/>
      <c r="AF423" s="145"/>
      <c r="AG423" s="145"/>
      <c r="AH423" s="145"/>
      <c r="AI423" s="145"/>
      <c r="AJ423" s="145"/>
      <c r="AK423" s="145"/>
      <c r="AL423" s="145"/>
      <c r="AM423" s="145"/>
      <c r="AN423" s="145"/>
      <c r="AO423" s="145"/>
      <c r="AP423" s="145"/>
      <c r="AQ423" s="145"/>
      <c r="AR423" s="145"/>
      <c r="AS423" s="145"/>
      <c r="AT423" s="124"/>
      <c r="AU423" s="124"/>
      <c r="AV423" s="124"/>
      <c r="AW423" s="124"/>
      <c r="AX423" s="124"/>
      <c r="AY423" s="124"/>
      <c r="AZ423" s="124"/>
      <c r="BA423" s="124"/>
      <c r="BB423" s="88"/>
      <c r="BC423" s="88"/>
      <c r="BD423" s="88"/>
      <c r="BE423" s="88"/>
      <c r="BF423" s="88"/>
      <c r="BG423" s="88"/>
      <c r="BH423" s="88"/>
      <c r="BI423" s="88"/>
      <c r="BJ423" s="88"/>
      <c r="BK423" s="88"/>
      <c r="BL423" s="88"/>
      <c r="BM423" s="88"/>
      <c r="BN423" s="88"/>
      <c r="BO423" s="88"/>
      <c r="BP423" s="88"/>
      <c r="BQ423" s="88"/>
      <c r="BR423" s="88"/>
      <c r="BS423" s="88"/>
    </row>
    <row r="424">
      <c r="J424" s="73"/>
      <c r="K424" s="74"/>
      <c r="L424" s="74"/>
      <c r="M424" s="74"/>
      <c r="N424" s="74"/>
      <c r="R424" s="144"/>
      <c r="S424" s="75"/>
      <c r="T424" s="145"/>
      <c r="U424" s="145"/>
      <c r="V424" s="145"/>
      <c r="W424" s="145"/>
      <c r="X424" s="145"/>
      <c r="Y424" s="145"/>
      <c r="Z424" s="145"/>
      <c r="AA424" s="145"/>
      <c r="AB424" s="145"/>
      <c r="AC424" s="145"/>
      <c r="AD424" s="145"/>
      <c r="AE424" s="145"/>
      <c r="AF424" s="145"/>
      <c r="AG424" s="145"/>
      <c r="AH424" s="145"/>
      <c r="AI424" s="145"/>
      <c r="AJ424" s="145"/>
      <c r="AK424" s="145"/>
      <c r="AL424" s="145"/>
      <c r="AM424" s="145"/>
      <c r="AN424" s="145"/>
      <c r="AO424" s="145"/>
      <c r="AP424" s="145"/>
      <c r="AQ424" s="145"/>
      <c r="AR424" s="145"/>
      <c r="AS424" s="145"/>
      <c r="AT424" s="124"/>
      <c r="AU424" s="124"/>
      <c r="AV424" s="124"/>
      <c r="AW424" s="124"/>
      <c r="AX424" s="124"/>
      <c r="AY424" s="124"/>
      <c r="AZ424" s="124"/>
      <c r="BA424" s="124"/>
      <c r="BB424" s="88"/>
      <c r="BC424" s="88"/>
      <c r="BD424" s="88"/>
      <c r="BE424" s="88"/>
      <c r="BF424" s="88"/>
      <c r="BG424" s="88"/>
      <c r="BH424" s="88"/>
      <c r="BI424" s="88"/>
      <c r="BJ424" s="88"/>
      <c r="BK424" s="88"/>
      <c r="BL424" s="88"/>
      <c r="BM424" s="88"/>
      <c r="BN424" s="88"/>
      <c r="BO424" s="88"/>
      <c r="BP424" s="88"/>
      <c r="BQ424" s="88"/>
      <c r="BR424" s="88"/>
      <c r="BS424" s="88"/>
    </row>
    <row r="425">
      <c r="J425" s="73"/>
      <c r="K425" s="74"/>
      <c r="L425" s="74"/>
      <c r="M425" s="74"/>
      <c r="N425" s="74"/>
      <c r="R425" s="144"/>
      <c r="S425" s="75"/>
      <c r="T425" s="145"/>
      <c r="U425" s="145"/>
      <c r="V425" s="145"/>
      <c r="W425" s="145"/>
      <c r="X425" s="145"/>
      <c r="Y425" s="145"/>
      <c r="Z425" s="145"/>
      <c r="AA425" s="145"/>
      <c r="AB425" s="145"/>
      <c r="AC425" s="145"/>
      <c r="AD425" s="145"/>
      <c r="AE425" s="145"/>
      <c r="AF425" s="145"/>
      <c r="AG425" s="145"/>
      <c r="AH425" s="145"/>
      <c r="AI425" s="145"/>
      <c r="AJ425" s="145"/>
      <c r="AK425" s="145"/>
      <c r="AL425" s="145"/>
      <c r="AM425" s="145"/>
      <c r="AN425" s="145"/>
      <c r="AO425" s="145"/>
      <c r="AP425" s="145"/>
      <c r="AQ425" s="145"/>
      <c r="AR425" s="145"/>
      <c r="AS425" s="145"/>
      <c r="AT425" s="124"/>
      <c r="AU425" s="124"/>
      <c r="AV425" s="124"/>
      <c r="AW425" s="124"/>
      <c r="AX425" s="124"/>
      <c r="AY425" s="124"/>
      <c r="AZ425" s="124"/>
      <c r="BA425" s="124"/>
      <c r="BB425" s="88"/>
      <c r="BC425" s="88"/>
      <c r="BD425" s="88"/>
      <c r="BE425" s="88"/>
      <c r="BF425" s="88"/>
      <c r="BG425" s="88"/>
      <c r="BH425" s="88"/>
      <c r="BI425" s="88"/>
      <c r="BJ425" s="88"/>
      <c r="BK425" s="88"/>
      <c r="BL425" s="88"/>
      <c r="BM425" s="88"/>
      <c r="BN425" s="88"/>
      <c r="BO425" s="88"/>
      <c r="BP425" s="88"/>
      <c r="BQ425" s="88"/>
      <c r="BR425" s="88"/>
      <c r="BS425" s="88"/>
    </row>
    <row r="426">
      <c r="J426" s="73"/>
      <c r="K426" s="74"/>
      <c r="L426" s="74"/>
      <c r="M426" s="74"/>
      <c r="N426" s="74"/>
      <c r="R426" s="144"/>
      <c r="S426" s="75"/>
      <c r="T426" s="145"/>
      <c r="U426" s="145"/>
      <c r="V426" s="145"/>
      <c r="W426" s="145"/>
      <c r="X426" s="145"/>
      <c r="Y426" s="145"/>
      <c r="Z426" s="145"/>
      <c r="AA426" s="145"/>
      <c r="AB426" s="145"/>
      <c r="AC426" s="145"/>
      <c r="AD426" s="145"/>
      <c r="AE426" s="145"/>
      <c r="AF426" s="145"/>
      <c r="AG426" s="145"/>
      <c r="AH426" s="145"/>
      <c r="AI426" s="145"/>
      <c r="AJ426" s="145"/>
      <c r="AK426" s="145"/>
      <c r="AL426" s="145"/>
      <c r="AM426" s="145"/>
      <c r="AN426" s="145"/>
      <c r="AO426" s="145"/>
      <c r="AP426" s="145"/>
      <c r="AQ426" s="145"/>
      <c r="AR426" s="145"/>
      <c r="AS426" s="145"/>
      <c r="AT426" s="124"/>
      <c r="AU426" s="124"/>
      <c r="AV426" s="124"/>
      <c r="AW426" s="124"/>
      <c r="AX426" s="124"/>
      <c r="AY426" s="124"/>
      <c r="AZ426" s="124"/>
      <c r="BA426" s="124"/>
      <c r="BB426" s="88"/>
      <c r="BC426" s="88"/>
      <c r="BD426" s="88"/>
      <c r="BE426" s="88"/>
      <c r="BF426" s="88"/>
      <c r="BG426" s="88"/>
      <c r="BH426" s="88"/>
      <c r="BI426" s="88"/>
      <c r="BJ426" s="88"/>
      <c r="BK426" s="88"/>
      <c r="BL426" s="88"/>
      <c r="BM426" s="88"/>
      <c r="BN426" s="88"/>
      <c r="BO426" s="88"/>
      <c r="BP426" s="88"/>
      <c r="BQ426" s="88"/>
      <c r="BR426" s="88"/>
      <c r="BS426" s="88"/>
    </row>
    <row r="427">
      <c r="J427" s="73"/>
      <c r="K427" s="74"/>
      <c r="L427" s="74"/>
      <c r="M427" s="74"/>
      <c r="N427" s="74"/>
      <c r="R427" s="144"/>
      <c r="S427" s="75"/>
      <c r="T427" s="145"/>
      <c r="U427" s="145"/>
      <c r="V427" s="145"/>
      <c r="W427" s="145"/>
      <c r="X427" s="145"/>
      <c r="Y427" s="145"/>
      <c r="Z427" s="145"/>
      <c r="AA427" s="145"/>
      <c r="AB427" s="145"/>
      <c r="AC427" s="145"/>
      <c r="AD427" s="145"/>
      <c r="AE427" s="145"/>
      <c r="AF427" s="145"/>
      <c r="AG427" s="145"/>
      <c r="AH427" s="145"/>
      <c r="AI427" s="145"/>
      <c r="AJ427" s="145"/>
      <c r="AK427" s="145"/>
      <c r="AL427" s="145"/>
      <c r="AM427" s="145"/>
      <c r="AN427" s="145"/>
      <c r="AO427" s="145"/>
      <c r="AP427" s="145"/>
      <c r="AQ427" s="145"/>
      <c r="AR427" s="145"/>
      <c r="AS427" s="145"/>
      <c r="AT427" s="124"/>
      <c r="AU427" s="124"/>
      <c r="AV427" s="124"/>
      <c r="AW427" s="124"/>
      <c r="AX427" s="124"/>
      <c r="AY427" s="124"/>
      <c r="AZ427" s="124"/>
      <c r="BA427" s="124"/>
      <c r="BB427" s="88"/>
      <c r="BC427" s="88"/>
      <c r="BD427" s="88"/>
      <c r="BE427" s="88"/>
      <c r="BF427" s="88"/>
      <c r="BG427" s="88"/>
      <c r="BH427" s="88"/>
      <c r="BI427" s="88"/>
      <c r="BJ427" s="88"/>
      <c r="BK427" s="88"/>
      <c r="BL427" s="88"/>
      <c r="BM427" s="88"/>
      <c r="BN427" s="88"/>
      <c r="BO427" s="88"/>
      <c r="BP427" s="88"/>
      <c r="BQ427" s="88"/>
      <c r="BR427" s="88"/>
      <c r="BS427" s="88"/>
    </row>
    <row r="428">
      <c r="J428" s="73"/>
      <c r="K428" s="74"/>
      <c r="L428" s="74"/>
      <c r="M428" s="74"/>
      <c r="N428" s="74"/>
      <c r="R428" s="144"/>
      <c r="S428" s="75"/>
      <c r="T428" s="145"/>
      <c r="U428" s="145"/>
      <c r="V428" s="145"/>
      <c r="W428" s="145"/>
      <c r="X428" s="145"/>
      <c r="Y428" s="145"/>
      <c r="Z428" s="145"/>
      <c r="AA428" s="145"/>
      <c r="AB428" s="145"/>
      <c r="AC428" s="145"/>
      <c r="AD428" s="145"/>
      <c r="AE428" s="145"/>
      <c r="AF428" s="145"/>
      <c r="AG428" s="145"/>
      <c r="AH428" s="145"/>
      <c r="AI428" s="145"/>
      <c r="AJ428" s="145"/>
      <c r="AK428" s="145"/>
      <c r="AL428" s="145"/>
      <c r="AM428" s="145"/>
      <c r="AN428" s="145"/>
      <c r="AO428" s="145"/>
      <c r="AP428" s="145"/>
      <c r="AQ428" s="145"/>
      <c r="AR428" s="145"/>
      <c r="AS428" s="145"/>
      <c r="AT428" s="124"/>
      <c r="AU428" s="124"/>
      <c r="AV428" s="124"/>
      <c r="AW428" s="124"/>
      <c r="AX428" s="124"/>
      <c r="AY428" s="124"/>
      <c r="AZ428" s="124"/>
      <c r="BA428" s="124"/>
      <c r="BB428" s="88"/>
      <c r="BC428" s="88"/>
      <c r="BD428" s="88"/>
      <c r="BE428" s="88"/>
      <c r="BF428" s="88"/>
      <c r="BG428" s="88"/>
      <c r="BH428" s="88"/>
      <c r="BI428" s="88"/>
      <c r="BJ428" s="88"/>
      <c r="BK428" s="88"/>
      <c r="BL428" s="88"/>
      <c r="BM428" s="88"/>
      <c r="BN428" s="88"/>
      <c r="BO428" s="88"/>
      <c r="BP428" s="88"/>
      <c r="BQ428" s="88"/>
      <c r="BR428" s="88"/>
      <c r="BS428" s="88"/>
    </row>
    <row r="429">
      <c r="J429" s="73"/>
      <c r="K429" s="74"/>
      <c r="L429" s="74"/>
      <c r="M429" s="74"/>
      <c r="N429" s="74"/>
      <c r="R429" s="144"/>
      <c r="S429" s="75"/>
      <c r="T429" s="145"/>
      <c r="U429" s="145"/>
      <c r="V429" s="145"/>
      <c r="W429" s="145"/>
      <c r="X429" s="145"/>
      <c r="Y429" s="145"/>
      <c r="Z429" s="145"/>
      <c r="AA429" s="145"/>
      <c r="AB429" s="145"/>
      <c r="AC429" s="145"/>
      <c r="AD429" s="145"/>
      <c r="AE429" s="145"/>
      <c r="AF429" s="145"/>
      <c r="AG429" s="145"/>
      <c r="AH429" s="145"/>
      <c r="AI429" s="145"/>
      <c r="AJ429" s="145"/>
      <c r="AK429" s="145"/>
      <c r="AL429" s="145"/>
      <c r="AM429" s="145"/>
      <c r="AN429" s="145"/>
      <c r="AO429" s="145"/>
      <c r="AP429" s="145"/>
      <c r="AQ429" s="145"/>
      <c r="AR429" s="145"/>
      <c r="AS429" s="145"/>
      <c r="AT429" s="124"/>
      <c r="AU429" s="124"/>
      <c r="AV429" s="124"/>
      <c r="AW429" s="124"/>
      <c r="AX429" s="124"/>
      <c r="AY429" s="124"/>
      <c r="AZ429" s="124"/>
      <c r="BA429" s="124"/>
      <c r="BB429" s="88"/>
      <c r="BC429" s="88"/>
      <c r="BD429" s="88"/>
      <c r="BE429" s="88"/>
      <c r="BF429" s="88"/>
      <c r="BG429" s="88"/>
      <c r="BH429" s="88"/>
      <c r="BI429" s="88"/>
      <c r="BJ429" s="88"/>
      <c r="BK429" s="88"/>
      <c r="BL429" s="88"/>
      <c r="BM429" s="88"/>
      <c r="BN429" s="88"/>
      <c r="BO429" s="88"/>
      <c r="BP429" s="88"/>
      <c r="BQ429" s="88"/>
      <c r="BR429" s="88"/>
      <c r="BS429" s="88"/>
    </row>
    <row r="430">
      <c r="J430" s="73"/>
      <c r="K430" s="74"/>
      <c r="L430" s="74"/>
      <c r="M430" s="74"/>
      <c r="N430" s="74"/>
      <c r="R430" s="144"/>
      <c r="S430" s="75"/>
      <c r="T430" s="145"/>
      <c r="U430" s="145"/>
      <c r="V430" s="145"/>
      <c r="W430" s="145"/>
      <c r="X430" s="145"/>
      <c r="Y430" s="145"/>
      <c r="Z430" s="145"/>
      <c r="AA430" s="145"/>
      <c r="AB430" s="145"/>
      <c r="AC430" s="145"/>
      <c r="AD430" s="145"/>
      <c r="AE430" s="145"/>
      <c r="AF430" s="145"/>
      <c r="AG430" s="145"/>
      <c r="AH430" s="145"/>
      <c r="AI430" s="145"/>
      <c r="AJ430" s="145"/>
      <c r="AK430" s="145"/>
      <c r="AL430" s="145"/>
      <c r="AM430" s="145"/>
      <c r="AN430" s="145"/>
      <c r="AO430" s="145"/>
      <c r="AP430" s="145"/>
      <c r="AQ430" s="145"/>
      <c r="AR430" s="145"/>
      <c r="AS430" s="145"/>
      <c r="AT430" s="124"/>
      <c r="AU430" s="124"/>
      <c r="AV430" s="124"/>
      <c r="AW430" s="124"/>
      <c r="AX430" s="124"/>
      <c r="AY430" s="124"/>
      <c r="AZ430" s="124"/>
      <c r="BA430" s="124"/>
      <c r="BB430" s="88"/>
      <c r="BC430" s="88"/>
      <c r="BD430" s="88"/>
      <c r="BE430" s="88"/>
      <c r="BF430" s="88"/>
      <c r="BG430" s="88"/>
      <c r="BH430" s="88"/>
      <c r="BI430" s="88"/>
      <c r="BJ430" s="88"/>
      <c r="BK430" s="88"/>
      <c r="BL430" s="88"/>
      <c r="BM430" s="88"/>
      <c r="BN430" s="88"/>
      <c r="BO430" s="88"/>
      <c r="BP430" s="88"/>
      <c r="BQ430" s="88"/>
      <c r="BR430" s="88"/>
      <c r="BS430" s="88"/>
    </row>
    <row r="431">
      <c r="J431" s="73"/>
      <c r="K431" s="74"/>
      <c r="L431" s="74"/>
      <c r="M431" s="74"/>
      <c r="N431" s="74"/>
      <c r="R431" s="144"/>
      <c r="S431" s="75"/>
      <c r="T431" s="145"/>
      <c r="U431" s="145"/>
      <c r="V431" s="145"/>
      <c r="W431" s="145"/>
      <c r="X431" s="145"/>
      <c r="Y431" s="145"/>
      <c r="Z431" s="145"/>
      <c r="AA431" s="145"/>
      <c r="AB431" s="145"/>
      <c r="AC431" s="145"/>
      <c r="AD431" s="145"/>
      <c r="AE431" s="145"/>
      <c r="AF431" s="145"/>
      <c r="AG431" s="145"/>
      <c r="AH431" s="145"/>
      <c r="AI431" s="145"/>
      <c r="AJ431" s="145"/>
      <c r="AK431" s="145"/>
      <c r="AL431" s="145"/>
      <c r="AM431" s="145"/>
      <c r="AN431" s="145"/>
      <c r="AO431" s="145"/>
      <c r="AP431" s="145"/>
      <c r="AQ431" s="145"/>
      <c r="AR431" s="145"/>
      <c r="AS431" s="145"/>
      <c r="AT431" s="124"/>
      <c r="AU431" s="124"/>
      <c r="AV431" s="124"/>
      <c r="AW431" s="124"/>
      <c r="AX431" s="124"/>
      <c r="AY431" s="124"/>
      <c r="AZ431" s="124"/>
      <c r="BA431" s="124"/>
      <c r="BB431" s="88"/>
      <c r="BC431" s="88"/>
      <c r="BD431" s="88"/>
      <c r="BE431" s="88"/>
      <c r="BF431" s="88"/>
      <c r="BG431" s="88"/>
      <c r="BH431" s="88"/>
      <c r="BI431" s="88"/>
      <c r="BJ431" s="88"/>
      <c r="BK431" s="88"/>
      <c r="BL431" s="88"/>
      <c r="BM431" s="88"/>
      <c r="BN431" s="88"/>
      <c r="BO431" s="88"/>
      <c r="BP431" s="88"/>
      <c r="BQ431" s="88"/>
      <c r="BR431" s="88"/>
      <c r="BS431" s="88"/>
    </row>
    <row r="432">
      <c r="J432" s="73"/>
      <c r="K432" s="74"/>
      <c r="L432" s="74"/>
      <c r="M432" s="74"/>
      <c r="N432" s="74"/>
      <c r="R432" s="144"/>
      <c r="S432" s="75"/>
      <c r="T432" s="145"/>
      <c r="U432" s="145"/>
      <c r="V432" s="145"/>
      <c r="W432" s="145"/>
      <c r="X432" s="145"/>
      <c r="Y432" s="145"/>
      <c r="Z432" s="145"/>
      <c r="AA432" s="145"/>
      <c r="AB432" s="145"/>
      <c r="AC432" s="145"/>
      <c r="AD432" s="145"/>
      <c r="AE432" s="145"/>
      <c r="AF432" s="145"/>
      <c r="AG432" s="145"/>
      <c r="AH432" s="145"/>
      <c r="AI432" s="145"/>
      <c r="AJ432" s="145"/>
      <c r="AK432" s="145"/>
      <c r="AL432" s="145"/>
      <c r="AM432" s="145"/>
      <c r="AN432" s="145"/>
      <c r="AO432" s="145"/>
      <c r="AP432" s="145"/>
      <c r="AQ432" s="145"/>
      <c r="AR432" s="145"/>
      <c r="AS432" s="145"/>
      <c r="AT432" s="124"/>
      <c r="AU432" s="124"/>
      <c r="AV432" s="124"/>
      <c r="AW432" s="124"/>
      <c r="AX432" s="124"/>
      <c r="AY432" s="124"/>
      <c r="AZ432" s="124"/>
      <c r="BA432" s="124"/>
      <c r="BB432" s="88"/>
      <c r="BC432" s="88"/>
      <c r="BD432" s="88"/>
      <c r="BE432" s="88"/>
      <c r="BF432" s="88"/>
      <c r="BG432" s="88"/>
      <c r="BH432" s="88"/>
      <c r="BI432" s="88"/>
      <c r="BJ432" s="88"/>
      <c r="BK432" s="88"/>
      <c r="BL432" s="88"/>
      <c r="BM432" s="88"/>
      <c r="BN432" s="88"/>
      <c r="BO432" s="88"/>
      <c r="BP432" s="88"/>
      <c r="BQ432" s="88"/>
      <c r="BR432" s="88"/>
      <c r="BS432" s="88"/>
    </row>
    <row r="433">
      <c r="J433" s="73"/>
      <c r="K433" s="74"/>
      <c r="L433" s="74"/>
      <c r="M433" s="74"/>
      <c r="N433" s="74"/>
      <c r="R433" s="144"/>
      <c r="S433" s="75"/>
      <c r="T433" s="145"/>
      <c r="U433" s="145"/>
      <c r="V433" s="145"/>
      <c r="W433" s="145"/>
      <c r="X433" s="145"/>
      <c r="Y433" s="145"/>
      <c r="Z433" s="145"/>
      <c r="AA433" s="145"/>
      <c r="AB433" s="145"/>
      <c r="AC433" s="145"/>
      <c r="AD433" s="145"/>
      <c r="AE433" s="145"/>
      <c r="AF433" s="145"/>
      <c r="AG433" s="145"/>
      <c r="AH433" s="145"/>
      <c r="AI433" s="145"/>
      <c r="AJ433" s="145"/>
      <c r="AK433" s="145"/>
      <c r="AL433" s="145"/>
      <c r="AM433" s="145"/>
      <c r="AN433" s="145"/>
      <c r="AO433" s="145"/>
      <c r="AP433" s="145"/>
      <c r="AQ433" s="145"/>
      <c r="AR433" s="145"/>
      <c r="AS433" s="145"/>
      <c r="AT433" s="124"/>
      <c r="AU433" s="124"/>
      <c r="AV433" s="124"/>
      <c r="AW433" s="124"/>
      <c r="AX433" s="124"/>
      <c r="AY433" s="124"/>
      <c r="AZ433" s="124"/>
      <c r="BA433" s="124"/>
      <c r="BB433" s="88"/>
      <c r="BC433" s="88"/>
      <c r="BD433" s="88"/>
      <c r="BE433" s="88"/>
      <c r="BF433" s="88"/>
      <c r="BG433" s="88"/>
      <c r="BH433" s="88"/>
      <c r="BI433" s="88"/>
      <c r="BJ433" s="88"/>
      <c r="BK433" s="88"/>
      <c r="BL433" s="88"/>
      <c r="BM433" s="88"/>
      <c r="BN433" s="88"/>
      <c r="BO433" s="88"/>
      <c r="BP433" s="88"/>
      <c r="BQ433" s="88"/>
      <c r="BR433" s="88"/>
      <c r="BS433" s="88"/>
    </row>
    <row r="434">
      <c r="J434" s="73"/>
      <c r="K434" s="74"/>
      <c r="L434" s="74"/>
      <c r="M434" s="74"/>
      <c r="N434" s="74"/>
      <c r="R434" s="144"/>
      <c r="S434" s="75"/>
      <c r="T434" s="145"/>
      <c r="U434" s="145"/>
      <c r="V434" s="145"/>
      <c r="W434" s="145"/>
      <c r="X434" s="145"/>
      <c r="Y434" s="145"/>
      <c r="Z434" s="145"/>
      <c r="AA434" s="145"/>
      <c r="AB434" s="145"/>
      <c r="AC434" s="145"/>
      <c r="AD434" s="145"/>
      <c r="AE434" s="145"/>
      <c r="AF434" s="145"/>
      <c r="AG434" s="145"/>
      <c r="AH434" s="145"/>
      <c r="AI434" s="145"/>
      <c r="AJ434" s="145"/>
      <c r="AK434" s="145"/>
      <c r="AL434" s="145"/>
      <c r="AM434" s="145"/>
      <c r="AN434" s="145"/>
      <c r="AO434" s="145"/>
      <c r="AP434" s="145"/>
      <c r="AQ434" s="145"/>
      <c r="AR434" s="145"/>
      <c r="AS434" s="145"/>
      <c r="AT434" s="124"/>
      <c r="AU434" s="124"/>
      <c r="AV434" s="124"/>
      <c r="AW434" s="124"/>
      <c r="AX434" s="124"/>
      <c r="AY434" s="124"/>
      <c r="AZ434" s="124"/>
      <c r="BA434" s="124"/>
      <c r="BB434" s="88"/>
      <c r="BC434" s="88"/>
      <c r="BD434" s="88"/>
      <c r="BE434" s="88"/>
      <c r="BF434" s="88"/>
      <c r="BG434" s="88"/>
      <c r="BH434" s="88"/>
      <c r="BI434" s="88"/>
      <c r="BJ434" s="88"/>
      <c r="BK434" s="88"/>
      <c r="BL434" s="88"/>
      <c r="BM434" s="88"/>
      <c r="BN434" s="88"/>
      <c r="BO434" s="88"/>
      <c r="BP434" s="88"/>
      <c r="BQ434" s="88"/>
      <c r="BR434" s="88"/>
      <c r="BS434" s="88"/>
    </row>
    <row r="435">
      <c r="J435" s="73"/>
      <c r="K435" s="74"/>
      <c r="L435" s="74"/>
      <c r="M435" s="74"/>
      <c r="N435" s="74"/>
      <c r="R435" s="144"/>
      <c r="S435" s="75"/>
      <c r="T435" s="145"/>
      <c r="U435" s="145"/>
      <c r="V435" s="145"/>
      <c r="W435" s="145"/>
      <c r="X435" s="145"/>
      <c r="Y435" s="145"/>
      <c r="Z435" s="145"/>
      <c r="AA435" s="145"/>
      <c r="AB435" s="145"/>
      <c r="AC435" s="145"/>
      <c r="AD435" s="145"/>
      <c r="AE435" s="145"/>
      <c r="AF435" s="145"/>
      <c r="AG435" s="145"/>
      <c r="AH435" s="145"/>
      <c r="AI435" s="145"/>
      <c r="AJ435" s="145"/>
      <c r="AK435" s="145"/>
      <c r="AL435" s="145"/>
      <c r="AM435" s="145"/>
      <c r="AN435" s="145"/>
      <c r="AO435" s="145"/>
      <c r="AP435" s="145"/>
      <c r="AQ435" s="145"/>
      <c r="AR435" s="145"/>
      <c r="AS435" s="145"/>
      <c r="AT435" s="124"/>
      <c r="AU435" s="124"/>
      <c r="AV435" s="124"/>
      <c r="AW435" s="124"/>
      <c r="AX435" s="124"/>
      <c r="AY435" s="124"/>
      <c r="AZ435" s="124"/>
      <c r="BA435" s="124"/>
      <c r="BB435" s="88"/>
      <c r="BC435" s="88"/>
      <c r="BD435" s="88"/>
      <c r="BE435" s="88"/>
      <c r="BF435" s="88"/>
      <c r="BG435" s="88"/>
      <c r="BH435" s="88"/>
      <c r="BI435" s="88"/>
      <c r="BJ435" s="88"/>
      <c r="BK435" s="88"/>
      <c r="BL435" s="88"/>
      <c r="BM435" s="88"/>
      <c r="BN435" s="88"/>
      <c r="BO435" s="88"/>
      <c r="BP435" s="88"/>
      <c r="BQ435" s="88"/>
      <c r="BR435" s="88"/>
      <c r="BS435" s="88"/>
    </row>
    <row r="436">
      <c r="J436" s="73"/>
      <c r="K436" s="74"/>
      <c r="L436" s="74"/>
      <c r="M436" s="74"/>
      <c r="N436" s="74"/>
      <c r="R436" s="144"/>
      <c r="S436" s="75"/>
      <c r="T436" s="145"/>
      <c r="U436" s="145"/>
      <c r="V436" s="145"/>
      <c r="W436" s="145"/>
      <c r="X436" s="145"/>
      <c r="Y436" s="145"/>
      <c r="Z436" s="145"/>
      <c r="AA436" s="145"/>
      <c r="AB436" s="145"/>
      <c r="AC436" s="145"/>
      <c r="AD436" s="145"/>
      <c r="AE436" s="145"/>
      <c r="AF436" s="145"/>
      <c r="AG436" s="145"/>
      <c r="AH436" s="145"/>
      <c r="AI436" s="145"/>
      <c r="AJ436" s="145"/>
      <c r="AK436" s="145"/>
      <c r="AL436" s="145"/>
      <c r="AM436" s="145"/>
      <c r="AN436" s="145"/>
      <c r="AO436" s="145"/>
      <c r="AP436" s="145"/>
      <c r="AQ436" s="145"/>
      <c r="AR436" s="145"/>
      <c r="AS436" s="145"/>
      <c r="AT436" s="124"/>
      <c r="AU436" s="124"/>
      <c r="AV436" s="124"/>
      <c r="AW436" s="124"/>
      <c r="AX436" s="124"/>
      <c r="AY436" s="124"/>
      <c r="AZ436" s="124"/>
      <c r="BA436" s="124"/>
      <c r="BB436" s="88"/>
      <c r="BC436" s="88"/>
      <c r="BD436" s="88"/>
      <c r="BE436" s="88"/>
      <c r="BF436" s="88"/>
      <c r="BG436" s="88"/>
      <c r="BH436" s="88"/>
      <c r="BI436" s="88"/>
      <c r="BJ436" s="88"/>
      <c r="BK436" s="88"/>
      <c r="BL436" s="88"/>
      <c r="BM436" s="88"/>
      <c r="BN436" s="88"/>
      <c r="BO436" s="88"/>
      <c r="BP436" s="88"/>
      <c r="BQ436" s="88"/>
      <c r="BR436" s="88"/>
      <c r="BS436" s="88"/>
    </row>
    <row r="437">
      <c r="J437" s="73"/>
      <c r="K437" s="74"/>
      <c r="L437" s="74"/>
      <c r="M437" s="74"/>
      <c r="N437" s="74"/>
      <c r="R437" s="144"/>
      <c r="S437" s="75"/>
      <c r="T437" s="145"/>
      <c r="U437" s="145"/>
      <c r="V437" s="145"/>
      <c r="W437" s="145"/>
      <c r="X437" s="145"/>
      <c r="Y437" s="145"/>
      <c r="Z437" s="145"/>
      <c r="AA437" s="145"/>
      <c r="AB437" s="145"/>
      <c r="AC437" s="145"/>
      <c r="AD437" s="145"/>
      <c r="AE437" s="145"/>
      <c r="AF437" s="145"/>
      <c r="AG437" s="145"/>
      <c r="AH437" s="145"/>
      <c r="AI437" s="145"/>
      <c r="AJ437" s="145"/>
      <c r="AK437" s="145"/>
      <c r="AL437" s="145"/>
      <c r="AM437" s="145"/>
      <c r="AN437" s="145"/>
      <c r="AO437" s="145"/>
      <c r="AP437" s="145"/>
      <c r="AQ437" s="145"/>
      <c r="AR437" s="145"/>
      <c r="AS437" s="145"/>
      <c r="AT437" s="124"/>
      <c r="AU437" s="124"/>
      <c r="AV437" s="124"/>
      <c r="AW437" s="124"/>
      <c r="AX437" s="124"/>
      <c r="AY437" s="124"/>
      <c r="AZ437" s="124"/>
      <c r="BA437" s="124"/>
      <c r="BB437" s="88"/>
      <c r="BC437" s="88"/>
      <c r="BD437" s="88"/>
      <c r="BE437" s="88"/>
      <c r="BF437" s="88"/>
      <c r="BG437" s="88"/>
      <c r="BH437" s="88"/>
      <c r="BI437" s="88"/>
      <c r="BJ437" s="88"/>
      <c r="BK437" s="88"/>
      <c r="BL437" s="88"/>
      <c r="BM437" s="88"/>
      <c r="BN437" s="88"/>
      <c r="BO437" s="88"/>
      <c r="BP437" s="88"/>
      <c r="BQ437" s="88"/>
      <c r="BR437" s="88"/>
      <c r="BS437" s="88"/>
    </row>
    <row r="438">
      <c r="J438" s="73"/>
      <c r="K438" s="74"/>
      <c r="L438" s="74"/>
      <c r="M438" s="74"/>
      <c r="N438" s="74"/>
      <c r="R438" s="144"/>
      <c r="S438" s="75"/>
      <c r="T438" s="145"/>
      <c r="U438" s="145"/>
      <c r="V438" s="145"/>
      <c r="W438" s="145"/>
      <c r="X438" s="145"/>
      <c r="Y438" s="145"/>
      <c r="Z438" s="145"/>
      <c r="AA438" s="145"/>
      <c r="AB438" s="145"/>
      <c r="AC438" s="145"/>
      <c r="AD438" s="145"/>
      <c r="AE438" s="145"/>
      <c r="AF438" s="145"/>
      <c r="AG438" s="145"/>
      <c r="AH438" s="145"/>
      <c r="AI438" s="145"/>
      <c r="AJ438" s="145"/>
      <c r="AK438" s="145"/>
      <c r="AL438" s="145"/>
      <c r="AM438" s="145"/>
      <c r="AN438" s="145"/>
      <c r="AO438" s="145"/>
      <c r="AP438" s="145"/>
      <c r="AQ438" s="145"/>
      <c r="AR438" s="145"/>
      <c r="AS438" s="145"/>
      <c r="AT438" s="124"/>
      <c r="AU438" s="124"/>
      <c r="AV438" s="124"/>
      <c r="AW438" s="124"/>
      <c r="AX438" s="124"/>
      <c r="AY438" s="124"/>
      <c r="AZ438" s="124"/>
      <c r="BA438" s="124"/>
      <c r="BB438" s="88"/>
      <c r="BC438" s="88"/>
      <c r="BD438" s="88"/>
      <c r="BE438" s="88"/>
      <c r="BF438" s="88"/>
      <c r="BG438" s="88"/>
      <c r="BH438" s="88"/>
      <c r="BI438" s="88"/>
      <c r="BJ438" s="88"/>
      <c r="BK438" s="88"/>
      <c r="BL438" s="88"/>
      <c r="BM438" s="88"/>
      <c r="BN438" s="88"/>
      <c r="BO438" s="88"/>
      <c r="BP438" s="88"/>
      <c r="BQ438" s="88"/>
      <c r="BR438" s="88"/>
      <c r="BS438" s="88"/>
    </row>
    <row r="439">
      <c r="J439" s="73"/>
      <c r="K439" s="74"/>
      <c r="L439" s="74"/>
      <c r="M439" s="74"/>
      <c r="N439" s="74"/>
      <c r="S439" s="75"/>
      <c r="T439" s="145"/>
      <c r="U439" s="145"/>
      <c r="V439" s="145"/>
      <c r="W439" s="145"/>
      <c r="X439" s="145"/>
      <c r="Y439" s="145"/>
      <c r="Z439" s="145"/>
      <c r="AA439" s="145"/>
      <c r="AB439" s="145"/>
      <c r="AC439" s="145"/>
      <c r="AD439" s="145"/>
      <c r="AE439" s="145"/>
      <c r="AF439" s="145"/>
      <c r="AG439" s="145"/>
      <c r="AH439" s="145"/>
      <c r="AI439" s="145"/>
      <c r="AJ439" s="145"/>
      <c r="AK439" s="145"/>
      <c r="AL439" s="145"/>
      <c r="AM439" s="145"/>
      <c r="AN439" s="145"/>
      <c r="AO439" s="145"/>
      <c r="AP439" s="145"/>
      <c r="AQ439" s="145"/>
      <c r="AR439" s="145"/>
      <c r="AS439" s="145"/>
      <c r="AT439" s="124"/>
      <c r="AU439" s="124"/>
      <c r="AV439" s="124"/>
      <c r="AW439" s="124"/>
      <c r="AX439" s="124"/>
      <c r="AY439" s="124"/>
      <c r="AZ439" s="124"/>
      <c r="BA439" s="124"/>
      <c r="BB439" s="88"/>
      <c r="BC439" s="88"/>
      <c r="BD439" s="88"/>
      <c r="BE439" s="88"/>
      <c r="BF439" s="88"/>
      <c r="BG439" s="88"/>
      <c r="BH439" s="88"/>
      <c r="BI439" s="88"/>
      <c r="BJ439" s="88"/>
      <c r="BK439" s="88"/>
      <c r="BL439" s="88"/>
      <c r="BM439" s="88"/>
      <c r="BN439" s="88"/>
      <c r="BO439" s="88"/>
      <c r="BP439" s="88"/>
      <c r="BQ439" s="88"/>
      <c r="BR439" s="88"/>
      <c r="BS439" s="88"/>
    </row>
    <row r="440">
      <c r="J440" s="73"/>
      <c r="K440" s="74"/>
      <c r="L440" s="74"/>
      <c r="M440" s="74"/>
      <c r="N440" s="74"/>
      <c r="S440" s="75"/>
      <c r="T440" s="145"/>
      <c r="U440" s="145"/>
      <c r="V440" s="145"/>
      <c r="W440" s="145"/>
      <c r="X440" s="145"/>
      <c r="Y440" s="145"/>
      <c r="Z440" s="145"/>
      <c r="AA440" s="145"/>
      <c r="AB440" s="145"/>
      <c r="AC440" s="145"/>
      <c r="AD440" s="145"/>
      <c r="AE440" s="145"/>
      <c r="AF440" s="145"/>
      <c r="AG440" s="145"/>
      <c r="AH440" s="145"/>
      <c r="AI440" s="145"/>
      <c r="AJ440" s="145"/>
      <c r="AK440" s="145"/>
      <c r="AL440" s="145"/>
      <c r="AM440" s="145"/>
      <c r="AN440" s="145"/>
      <c r="AO440" s="145"/>
      <c r="AP440" s="145"/>
      <c r="AQ440" s="145"/>
      <c r="AR440" s="145"/>
      <c r="AS440" s="145"/>
      <c r="AT440" s="124"/>
      <c r="AU440" s="124"/>
      <c r="AV440" s="124"/>
      <c r="AW440" s="124"/>
      <c r="AX440" s="124"/>
      <c r="AY440" s="124"/>
      <c r="AZ440" s="124"/>
      <c r="BA440" s="124"/>
      <c r="BB440" s="88"/>
      <c r="BC440" s="88"/>
      <c r="BD440" s="88"/>
      <c r="BE440" s="88"/>
      <c r="BF440" s="88"/>
      <c r="BG440" s="88"/>
      <c r="BH440" s="88"/>
      <c r="BI440" s="88"/>
      <c r="BJ440" s="88"/>
      <c r="BK440" s="88"/>
      <c r="BL440" s="88"/>
      <c r="BM440" s="88"/>
      <c r="BN440" s="88"/>
      <c r="BO440" s="88"/>
      <c r="BP440" s="88"/>
      <c r="BQ440" s="88"/>
      <c r="BR440" s="88"/>
      <c r="BS440" s="88"/>
    </row>
    <row r="441">
      <c r="J441" s="73"/>
      <c r="K441" s="74"/>
      <c r="L441" s="74"/>
      <c r="M441" s="74"/>
      <c r="N441" s="74"/>
      <c r="S441" s="75"/>
      <c r="T441" s="145"/>
      <c r="U441" s="145"/>
      <c r="V441" s="145"/>
      <c r="W441" s="145"/>
      <c r="X441" s="145"/>
      <c r="Y441" s="145"/>
      <c r="Z441" s="145"/>
      <c r="AA441" s="145"/>
      <c r="AB441" s="145"/>
      <c r="AC441" s="145"/>
      <c r="AD441" s="145"/>
      <c r="AE441" s="145"/>
      <c r="AF441" s="145"/>
      <c r="AG441" s="145"/>
      <c r="AH441" s="145"/>
      <c r="AI441" s="145"/>
      <c r="AJ441" s="145"/>
      <c r="AK441" s="145"/>
      <c r="AL441" s="145"/>
      <c r="AM441" s="145"/>
      <c r="AN441" s="145"/>
      <c r="AO441" s="145"/>
      <c r="AP441" s="145"/>
      <c r="AQ441" s="145"/>
      <c r="AR441" s="145"/>
      <c r="AS441" s="145"/>
      <c r="AT441" s="124"/>
      <c r="AU441" s="124"/>
      <c r="AV441" s="124"/>
      <c r="AW441" s="124"/>
      <c r="AX441" s="124"/>
      <c r="AY441" s="124"/>
      <c r="AZ441" s="124"/>
      <c r="BA441" s="124"/>
      <c r="BB441" s="88"/>
      <c r="BC441" s="88"/>
      <c r="BD441" s="88"/>
      <c r="BE441" s="88"/>
      <c r="BF441" s="88"/>
      <c r="BG441" s="88"/>
      <c r="BH441" s="88"/>
      <c r="BI441" s="88"/>
      <c r="BJ441" s="88"/>
      <c r="BK441" s="88"/>
      <c r="BL441" s="88"/>
      <c r="BM441" s="88"/>
      <c r="BN441" s="88"/>
      <c r="BO441" s="88"/>
      <c r="BP441" s="88"/>
      <c r="BQ441" s="88"/>
      <c r="BR441" s="88"/>
      <c r="BS441" s="88"/>
    </row>
    <row r="442">
      <c r="J442" s="73"/>
      <c r="K442" s="74"/>
      <c r="L442" s="74"/>
      <c r="M442" s="74"/>
      <c r="N442" s="74"/>
      <c r="S442" s="75"/>
      <c r="T442" s="145"/>
      <c r="U442" s="145"/>
      <c r="V442" s="145"/>
      <c r="W442" s="145"/>
      <c r="X442" s="145"/>
      <c r="Y442" s="145"/>
      <c r="Z442" s="145"/>
      <c r="AA442" s="145"/>
      <c r="AB442" s="145"/>
      <c r="AC442" s="145"/>
      <c r="AD442" s="145"/>
      <c r="AE442" s="145"/>
      <c r="AF442" s="145"/>
      <c r="AG442" s="145"/>
      <c r="AH442" s="145"/>
      <c r="AI442" s="145"/>
      <c r="AJ442" s="145"/>
      <c r="AK442" s="145"/>
      <c r="AL442" s="145"/>
      <c r="AM442" s="145"/>
      <c r="AN442" s="145"/>
      <c r="AO442" s="145"/>
      <c r="AP442" s="145"/>
      <c r="AQ442" s="145"/>
      <c r="AR442" s="145"/>
      <c r="AS442" s="145"/>
      <c r="AT442" s="124"/>
      <c r="AU442" s="124"/>
      <c r="AV442" s="124"/>
      <c r="AW442" s="124"/>
      <c r="AX442" s="124"/>
      <c r="AY442" s="124"/>
      <c r="AZ442" s="124"/>
      <c r="BA442" s="124"/>
      <c r="BB442" s="88"/>
      <c r="BC442" s="88"/>
      <c r="BD442" s="88"/>
      <c r="BE442" s="88"/>
      <c r="BF442" s="88"/>
      <c r="BG442" s="88"/>
      <c r="BH442" s="88"/>
      <c r="BI442" s="88"/>
      <c r="BJ442" s="88"/>
      <c r="BK442" s="88"/>
      <c r="BL442" s="88"/>
      <c r="BM442" s="88"/>
      <c r="BN442" s="88"/>
      <c r="BO442" s="88"/>
      <c r="BP442" s="88"/>
      <c r="BQ442" s="88"/>
      <c r="BR442" s="88"/>
      <c r="BS442" s="88"/>
    </row>
    <row r="443">
      <c r="J443" s="73"/>
      <c r="K443" s="74"/>
      <c r="L443" s="74"/>
      <c r="M443" s="74"/>
      <c r="N443" s="74"/>
      <c r="S443" s="75"/>
      <c r="T443" s="145"/>
      <c r="U443" s="145"/>
      <c r="V443" s="145"/>
      <c r="W443" s="145"/>
      <c r="X443" s="145"/>
      <c r="Y443" s="145"/>
      <c r="Z443" s="145"/>
      <c r="AA443" s="145"/>
      <c r="AB443" s="145"/>
      <c r="AC443" s="145"/>
      <c r="AD443" s="145"/>
      <c r="AE443" s="145"/>
      <c r="AF443" s="145"/>
      <c r="AG443" s="145"/>
      <c r="AH443" s="145"/>
      <c r="AI443" s="145"/>
      <c r="AJ443" s="145"/>
      <c r="AK443" s="145"/>
      <c r="AL443" s="145"/>
      <c r="AM443" s="145"/>
      <c r="AN443" s="145"/>
      <c r="AO443" s="145"/>
      <c r="AP443" s="145"/>
      <c r="AQ443" s="145"/>
      <c r="AR443" s="145"/>
      <c r="AS443" s="145"/>
      <c r="AT443" s="124"/>
      <c r="AU443" s="124"/>
      <c r="AV443" s="124"/>
      <c r="AW443" s="124"/>
      <c r="AX443" s="124"/>
      <c r="AY443" s="124"/>
      <c r="AZ443" s="124"/>
      <c r="BA443" s="124"/>
      <c r="BB443" s="88"/>
      <c r="BC443" s="88"/>
      <c r="BD443" s="88"/>
      <c r="BE443" s="88"/>
      <c r="BF443" s="88"/>
      <c r="BG443" s="88"/>
      <c r="BH443" s="88"/>
      <c r="BI443" s="88"/>
      <c r="BJ443" s="88"/>
      <c r="BK443" s="88"/>
      <c r="BL443" s="88"/>
      <c r="BM443" s="88"/>
      <c r="BN443" s="88"/>
      <c r="BO443" s="88"/>
      <c r="BP443" s="88"/>
      <c r="BQ443" s="88"/>
      <c r="BR443" s="88"/>
      <c r="BS443" s="88"/>
    </row>
    <row r="444">
      <c r="J444" s="73"/>
      <c r="K444" s="74"/>
      <c r="L444" s="74"/>
      <c r="M444" s="74"/>
      <c r="N444" s="74"/>
      <c r="S444" s="75"/>
      <c r="T444" s="145"/>
      <c r="U444" s="145"/>
      <c r="V444" s="145"/>
      <c r="W444" s="145"/>
      <c r="X444" s="145"/>
      <c r="Y444" s="145"/>
      <c r="Z444" s="145"/>
      <c r="AA444" s="145"/>
      <c r="AB444" s="145"/>
      <c r="AC444" s="145"/>
      <c r="AD444" s="145"/>
      <c r="AE444" s="145"/>
      <c r="AF444" s="145"/>
      <c r="AG444" s="145"/>
      <c r="AH444" s="145"/>
      <c r="AI444" s="145"/>
      <c r="AJ444" s="145"/>
      <c r="AK444" s="145"/>
      <c r="AL444" s="145"/>
      <c r="AM444" s="145"/>
      <c r="AN444" s="145"/>
      <c r="AO444" s="145"/>
      <c r="AP444" s="145"/>
      <c r="AQ444" s="145"/>
      <c r="AR444" s="145"/>
      <c r="AS444" s="145"/>
      <c r="AT444" s="124"/>
      <c r="AU444" s="124"/>
      <c r="AV444" s="124"/>
      <c r="AW444" s="124"/>
      <c r="AX444" s="124"/>
      <c r="AY444" s="124"/>
      <c r="AZ444" s="124"/>
      <c r="BA444" s="124"/>
      <c r="BB444" s="88"/>
      <c r="BC444" s="88"/>
      <c r="BD444" s="88"/>
      <c r="BE444" s="88"/>
      <c r="BF444" s="88"/>
      <c r="BG444" s="88"/>
      <c r="BH444" s="88"/>
      <c r="BI444" s="88"/>
      <c r="BJ444" s="88"/>
      <c r="BK444" s="88"/>
      <c r="BL444" s="88"/>
      <c r="BM444" s="88"/>
      <c r="BN444" s="88"/>
      <c r="BO444" s="88"/>
      <c r="BP444" s="88"/>
      <c r="BQ444" s="88"/>
      <c r="BR444" s="88"/>
      <c r="BS444" s="88"/>
    </row>
    <row r="445">
      <c r="J445" s="73"/>
      <c r="K445" s="74"/>
      <c r="L445" s="74"/>
      <c r="M445" s="74"/>
      <c r="N445" s="74"/>
      <c r="S445" s="75"/>
      <c r="T445" s="145"/>
      <c r="U445" s="145"/>
      <c r="V445" s="145"/>
      <c r="W445" s="145"/>
      <c r="X445" s="145"/>
      <c r="Y445" s="145"/>
      <c r="Z445" s="145"/>
      <c r="AA445" s="145"/>
      <c r="AB445" s="145"/>
      <c r="AC445" s="145"/>
      <c r="AD445" s="145"/>
      <c r="AE445" s="145"/>
      <c r="AF445" s="145"/>
      <c r="AG445" s="145"/>
      <c r="AH445" s="145"/>
      <c r="AI445" s="145"/>
      <c r="AJ445" s="145"/>
      <c r="AK445" s="145"/>
      <c r="AL445" s="145"/>
      <c r="AM445" s="145"/>
      <c r="AN445" s="145"/>
      <c r="AO445" s="145"/>
      <c r="AP445" s="145"/>
      <c r="AQ445" s="145"/>
      <c r="AR445" s="145"/>
      <c r="AS445" s="145"/>
      <c r="AT445" s="124"/>
      <c r="AU445" s="124"/>
      <c r="AV445" s="124"/>
      <c r="AW445" s="124"/>
      <c r="AX445" s="124"/>
      <c r="AY445" s="124"/>
      <c r="AZ445" s="124"/>
      <c r="BA445" s="124"/>
      <c r="BB445" s="88"/>
      <c r="BC445" s="88"/>
      <c r="BD445" s="88"/>
      <c r="BE445" s="88"/>
      <c r="BF445" s="88"/>
      <c r="BG445" s="88"/>
      <c r="BH445" s="88"/>
      <c r="BI445" s="88"/>
      <c r="BJ445" s="88"/>
      <c r="BK445" s="88"/>
      <c r="BL445" s="88"/>
      <c r="BM445" s="88"/>
      <c r="BN445" s="88"/>
      <c r="BO445" s="88"/>
      <c r="BP445" s="88"/>
      <c r="BQ445" s="88"/>
      <c r="BR445" s="88"/>
      <c r="BS445" s="88"/>
    </row>
    <row r="446">
      <c r="J446" s="73"/>
      <c r="K446" s="74"/>
      <c r="L446" s="74"/>
      <c r="M446" s="74"/>
      <c r="N446" s="74"/>
      <c r="S446" s="75"/>
      <c r="T446" s="145"/>
      <c r="U446" s="145"/>
      <c r="V446" s="145"/>
      <c r="W446" s="145"/>
      <c r="X446" s="145"/>
      <c r="Y446" s="145"/>
      <c r="Z446" s="145"/>
      <c r="AA446" s="145"/>
      <c r="AB446" s="145"/>
      <c r="AC446" s="145"/>
      <c r="AD446" s="145"/>
      <c r="AE446" s="145"/>
      <c r="AF446" s="145"/>
      <c r="AG446" s="145"/>
      <c r="AH446" s="145"/>
      <c r="AI446" s="145"/>
      <c r="AJ446" s="145"/>
      <c r="AK446" s="145"/>
      <c r="AL446" s="145"/>
      <c r="AM446" s="145"/>
      <c r="AN446" s="145"/>
      <c r="AO446" s="145"/>
      <c r="AP446" s="145"/>
      <c r="AQ446" s="145"/>
      <c r="AR446" s="145"/>
      <c r="AS446" s="145"/>
      <c r="AT446" s="124"/>
      <c r="AU446" s="124"/>
      <c r="AV446" s="124"/>
      <c r="AW446" s="124"/>
      <c r="AX446" s="124"/>
      <c r="AY446" s="124"/>
      <c r="AZ446" s="124"/>
      <c r="BA446" s="124"/>
      <c r="BB446" s="88"/>
      <c r="BC446" s="88"/>
      <c r="BD446" s="88"/>
      <c r="BE446" s="88"/>
      <c r="BF446" s="88"/>
      <c r="BG446" s="88"/>
      <c r="BH446" s="88"/>
      <c r="BI446" s="88"/>
      <c r="BJ446" s="88"/>
      <c r="BK446" s="88"/>
      <c r="BL446" s="88"/>
      <c r="BM446" s="88"/>
      <c r="BN446" s="88"/>
      <c r="BO446" s="88"/>
      <c r="BP446" s="88"/>
      <c r="BQ446" s="88"/>
      <c r="BR446" s="88"/>
      <c r="BS446" s="88"/>
    </row>
    <row r="447">
      <c r="J447" s="73"/>
      <c r="K447" s="74"/>
      <c r="L447" s="74"/>
      <c r="M447" s="74"/>
      <c r="N447" s="74"/>
      <c r="S447" s="75"/>
      <c r="T447" s="145"/>
      <c r="U447" s="145"/>
      <c r="V447" s="145"/>
      <c r="W447" s="145"/>
      <c r="X447" s="145"/>
      <c r="Y447" s="145"/>
      <c r="Z447" s="145"/>
      <c r="AA447" s="145"/>
      <c r="AB447" s="145"/>
      <c r="AC447" s="145"/>
      <c r="AD447" s="145"/>
      <c r="AE447" s="145"/>
      <c r="AF447" s="145"/>
      <c r="AG447" s="145"/>
      <c r="AH447" s="145"/>
      <c r="AI447" s="145"/>
      <c r="AJ447" s="145"/>
      <c r="AK447" s="145"/>
      <c r="AL447" s="145"/>
      <c r="AM447" s="145"/>
      <c r="AN447" s="145"/>
      <c r="AO447" s="145"/>
      <c r="AP447" s="145"/>
      <c r="AQ447" s="145"/>
      <c r="AR447" s="145"/>
      <c r="AS447" s="145"/>
      <c r="AT447" s="124"/>
      <c r="AU447" s="124"/>
      <c r="AV447" s="124"/>
      <c r="AW447" s="124"/>
      <c r="AX447" s="124"/>
      <c r="AY447" s="124"/>
      <c r="AZ447" s="124"/>
      <c r="BA447" s="124"/>
      <c r="BB447" s="88"/>
      <c r="BC447" s="88"/>
      <c r="BD447" s="88"/>
      <c r="BE447" s="88"/>
      <c r="BF447" s="88"/>
      <c r="BG447" s="88"/>
      <c r="BH447" s="88"/>
      <c r="BI447" s="88"/>
      <c r="BJ447" s="88"/>
      <c r="BK447" s="88"/>
      <c r="BL447" s="88"/>
      <c r="BM447" s="88"/>
      <c r="BN447" s="88"/>
      <c r="BO447" s="88"/>
      <c r="BP447" s="88"/>
      <c r="BQ447" s="88"/>
      <c r="BR447" s="88"/>
      <c r="BS447" s="88"/>
    </row>
    <row r="448">
      <c r="J448" s="73"/>
      <c r="K448" s="74"/>
      <c r="L448" s="74"/>
      <c r="M448" s="74"/>
      <c r="N448" s="74"/>
      <c r="S448" s="75"/>
      <c r="T448" s="145"/>
      <c r="U448" s="145"/>
      <c r="V448" s="145"/>
      <c r="W448" s="145"/>
      <c r="X448" s="145"/>
      <c r="Y448" s="145"/>
      <c r="Z448" s="145"/>
      <c r="AA448" s="145"/>
      <c r="AB448" s="145"/>
      <c r="AC448" s="145"/>
      <c r="AD448" s="145"/>
      <c r="AE448" s="145"/>
      <c r="AF448" s="145"/>
      <c r="AG448" s="145"/>
      <c r="AH448" s="145"/>
      <c r="AI448" s="145"/>
      <c r="AJ448" s="145"/>
      <c r="AK448" s="145"/>
      <c r="AL448" s="145"/>
      <c r="AM448" s="145"/>
      <c r="AN448" s="145"/>
      <c r="AO448" s="145"/>
      <c r="AP448" s="145"/>
      <c r="AQ448" s="145"/>
      <c r="AR448" s="145"/>
      <c r="AS448" s="145"/>
      <c r="AT448" s="124"/>
      <c r="AU448" s="124"/>
      <c r="AV448" s="124"/>
      <c r="AW448" s="124"/>
      <c r="AX448" s="124"/>
      <c r="AY448" s="124"/>
      <c r="AZ448" s="124"/>
      <c r="BA448" s="124"/>
      <c r="BB448" s="88"/>
      <c r="BC448" s="88"/>
      <c r="BD448" s="88"/>
      <c r="BE448" s="88"/>
      <c r="BF448" s="88"/>
      <c r="BG448" s="88"/>
      <c r="BH448" s="88"/>
      <c r="BI448" s="88"/>
      <c r="BJ448" s="88"/>
      <c r="BK448" s="88"/>
      <c r="BL448" s="88"/>
      <c r="BM448" s="88"/>
      <c r="BN448" s="88"/>
      <c r="BO448" s="88"/>
      <c r="BP448" s="88"/>
      <c r="BQ448" s="88"/>
      <c r="BR448" s="88"/>
      <c r="BS448" s="88"/>
    </row>
    <row r="449">
      <c r="J449" s="73"/>
      <c r="K449" s="74"/>
      <c r="L449" s="74"/>
      <c r="M449" s="74"/>
      <c r="N449" s="74"/>
      <c r="S449" s="75"/>
      <c r="T449" s="145"/>
      <c r="U449" s="145"/>
      <c r="V449" s="145"/>
      <c r="W449" s="145"/>
      <c r="X449" s="145"/>
      <c r="Y449" s="145"/>
      <c r="Z449" s="145"/>
      <c r="AA449" s="145"/>
      <c r="AB449" s="145"/>
      <c r="AC449" s="145"/>
      <c r="AD449" s="145"/>
      <c r="AE449" s="145"/>
      <c r="AF449" s="145"/>
      <c r="AG449" s="145"/>
      <c r="AH449" s="145"/>
      <c r="AI449" s="145"/>
      <c r="AJ449" s="145"/>
      <c r="AK449" s="145"/>
      <c r="AL449" s="145"/>
      <c r="AM449" s="145"/>
      <c r="AN449" s="145"/>
      <c r="AO449" s="145"/>
      <c r="AP449" s="145"/>
      <c r="AQ449" s="145"/>
      <c r="AR449" s="145"/>
      <c r="AS449" s="145"/>
      <c r="AT449" s="124"/>
      <c r="AU449" s="124"/>
      <c r="AV449" s="124"/>
      <c r="AW449" s="124"/>
      <c r="AX449" s="124"/>
      <c r="AY449" s="124"/>
      <c r="AZ449" s="124"/>
      <c r="BA449" s="124"/>
      <c r="BB449" s="88"/>
      <c r="BC449" s="88"/>
      <c r="BD449" s="88"/>
      <c r="BE449" s="88"/>
      <c r="BF449" s="88"/>
      <c r="BG449" s="88"/>
      <c r="BH449" s="88"/>
      <c r="BI449" s="88"/>
      <c r="BJ449" s="88"/>
      <c r="BK449" s="88"/>
      <c r="BL449" s="88"/>
      <c r="BM449" s="88"/>
      <c r="BN449" s="88"/>
      <c r="BO449" s="88"/>
      <c r="BP449" s="88"/>
      <c r="BQ449" s="88"/>
      <c r="BR449" s="88"/>
      <c r="BS449" s="88"/>
    </row>
    <row r="450">
      <c r="J450" s="73"/>
      <c r="K450" s="74"/>
      <c r="L450" s="74"/>
      <c r="M450" s="74"/>
      <c r="N450" s="74"/>
      <c r="S450" s="75"/>
      <c r="T450" s="145"/>
      <c r="U450" s="145"/>
      <c r="V450" s="145"/>
      <c r="W450" s="145"/>
      <c r="X450" s="145"/>
      <c r="Y450" s="145"/>
      <c r="Z450" s="145"/>
      <c r="AA450" s="145"/>
      <c r="AB450" s="145"/>
      <c r="AC450" s="145"/>
      <c r="AD450" s="145"/>
      <c r="AE450" s="145"/>
      <c r="AF450" s="145"/>
      <c r="AG450" s="145"/>
      <c r="AH450" s="145"/>
      <c r="AI450" s="145"/>
      <c r="AJ450" s="145"/>
      <c r="AK450" s="145"/>
      <c r="AL450" s="145"/>
      <c r="AM450" s="145"/>
      <c r="AN450" s="145"/>
      <c r="AO450" s="145"/>
      <c r="AP450" s="145"/>
      <c r="AQ450" s="145"/>
      <c r="AR450" s="145"/>
      <c r="AS450" s="145"/>
      <c r="AT450" s="124"/>
      <c r="AU450" s="124"/>
      <c r="AV450" s="124"/>
      <c r="AW450" s="124"/>
      <c r="AX450" s="124"/>
      <c r="AY450" s="124"/>
      <c r="AZ450" s="124"/>
      <c r="BA450" s="124"/>
      <c r="BB450" s="88"/>
      <c r="BC450" s="88"/>
      <c r="BD450" s="88"/>
      <c r="BE450" s="88"/>
      <c r="BF450" s="88"/>
      <c r="BG450" s="88"/>
      <c r="BH450" s="88"/>
      <c r="BI450" s="88"/>
      <c r="BJ450" s="88"/>
      <c r="BK450" s="88"/>
      <c r="BL450" s="88"/>
      <c r="BM450" s="88"/>
      <c r="BN450" s="88"/>
      <c r="BO450" s="88"/>
      <c r="BP450" s="88"/>
      <c r="BQ450" s="88"/>
      <c r="BR450" s="88"/>
      <c r="BS450" s="88"/>
    </row>
    <row r="451">
      <c r="J451" s="73"/>
      <c r="K451" s="74"/>
      <c r="L451" s="74"/>
      <c r="M451" s="74"/>
      <c r="N451" s="74"/>
      <c r="S451" s="75"/>
      <c r="T451" s="145"/>
      <c r="U451" s="145"/>
      <c r="V451" s="145"/>
      <c r="W451" s="145"/>
      <c r="X451" s="145"/>
      <c r="Y451" s="145"/>
      <c r="Z451" s="145"/>
      <c r="AA451" s="145"/>
      <c r="AB451" s="145"/>
      <c r="AC451" s="145"/>
      <c r="AD451" s="145"/>
      <c r="AE451" s="145"/>
      <c r="AF451" s="145"/>
      <c r="AG451" s="145"/>
      <c r="AH451" s="145"/>
      <c r="AI451" s="145"/>
      <c r="AJ451" s="145"/>
      <c r="AK451" s="145"/>
      <c r="AL451" s="145"/>
      <c r="AM451" s="145"/>
      <c r="AN451" s="145"/>
      <c r="AO451" s="145"/>
      <c r="AP451" s="145"/>
      <c r="AQ451" s="145"/>
      <c r="AR451" s="145"/>
      <c r="AS451" s="145"/>
      <c r="AT451" s="124"/>
      <c r="AU451" s="124"/>
      <c r="AV451" s="124"/>
      <c r="AW451" s="124"/>
      <c r="AX451" s="124"/>
      <c r="AY451" s="124"/>
      <c r="AZ451" s="124"/>
      <c r="BA451" s="124"/>
      <c r="BB451" s="88"/>
      <c r="BC451" s="88"/>
      <c r="BD451" s="88"/>
      <c r="BE451" s="88"/>
      <c r="BF451" s="88"/>
      <c r="BG451" s="88"/>
      <c r="BH451" s="88"/>
      <c r="BI451" s="88"/>
      <c r="BJ451" s="88"/>
      <c r="BK451" s="88"/>
      <c r="BL451" s="88"/>
      <c r="BM451" s="88"/>
      <c r="BN451" s="88"/>
      <c r="BO451" s="88"/>
      <c r="BP451" s="88"/>
      <c r="BQ451" s="88"/>
      <c r="BR451" s="88"/>
      <c r="BS451" s="88"/>
    </row>
    <row r="452">
      <c r="J452" s="73"/>
      <c r="K452" s="74"/>
      <c r="L452" s="74"/>
      <c r="M452" s="74"/>
      <c r="N452" s="74"/>
      <c r="S452" s="75"/>
      <c r="T452" s="145"/>
      <c r="U452" s="145"/>
      <c r="V452" s="145"/>
      <c r="W452" s="145"/>
      <c r="X452" s="145"/>
      <c r="Y452" s="145"/>
      <c r="Z452" s="145"/>
      <c r="AA452" s="145"/>
      <c r="AB452" s="145"/>
      <c r="AC452" s="145"/>
      <c r="AD452" s="145"/>
      <c r="AE452" s="145"/>
      <c r="AF452" s="145"/>
      <c r="AG452" s="145"/>
      <c r="AH452" s="145"/>
      <c r="AI452" s="145"/>
      <c r="AJ452" s="145"/>
      <c r="AK452" s="145"/>
      <c r="AL452" s="145"/>
      <c r="AM452" s="145"/>
      <c r="AN452" s="145"/>
      <c r="AO452" s="145"/>
      <c r="AP452" s="145"/>
      <c r="AQ452" s="145"/>
      <c r="AR452" s="145"/>
      <c r="AS452" s="145"/>
      <c r="AT452" s="124"/>
      <c r="AU452" s="124"/>
      <c r="AV452" s="124"/>
      <c r="AW452" s="124"/>
      <c r="AX452" s="124"/>
      <c r="AY452" s="124"/>
      <c r="AZ452" s="124"/>
      <c r="BA452" s="124"/>
      <c r="BB452" s="88"/>
      <c r="BC452" s="88"/>
      <c r="BD452" s="88"/>
      <c r="BE452" s="88"/>
      <c r="BF452" s="88"/>
      <c r="BG452" s="88"/>
      <c r="BH452" s="88"/>
      <c r="BI452" s="88"/>
      <c r="BJ452" s="88"/>
      <c r="BK452" s="88"/>
      <c r="BL452" s="88"/>
      <c r="BM452" s="88"/>
      <c r="BN452" s="88"/>
      <c r="BO452" s="88"/>
      <c r="BP452" s="88"/>
      <c r="BQ452" s="88"/>
      <c r="BR452" s="88"/>
      <c r="BS452" s="88"/>
    </row>
    <row r="453">
      <c r="J453" s="73"/>
      <c r="K453" s="74"/>
      <c r="L453" s="74"/>
      <c r="M453" s="74"/>
      <c r="N453" s="74"/>
      <c r="S453" s="75"/>
      <c r="T453" s="145"/>
      <c r="U453" s="145"/>
      <c r="V453" s="145"/>
      <c r="W453" s="145"/>
      <c r="X453" s="145"/>
      <c r="Y453" s="145"/>
      <c r="Z453" s="145"/>
      <c r="AA453" s="145"/>
      <c r="AB453" s="145"/>
      <c r="AC453" s="145"/>
      <c r="AD453" s="145"/>
      <c r="AE453" s="145"/>
      <c r="AF453" s="145"/>
      <c r="AG453" s="145"/>
      <c r="AH453" s="145"/>
      <c r="AI453" s="145"/>
      <c r="AJ453" s="145"/>
      <c r="AK453" s="145"/>
      <c r="AL453" s="145"/>
      <c r="AM453" s="145"/>
      <c r="AN453" s="145"/>
      <c r="AO453" s="145"/>
      <c r="AP453" s="145"/>
      <c r="AQ453" s="145"/>
      <c r="AR453" s="145"/>
      <c r="AS453" s="145"/>
      <c r="AT453" s="124"/>
      <c r="AU453" s="124"/>
      <c r="AV453" s="124"/>
      <c r="AW453" s="124"/>
      <c r="AX453" s="124"/>
      <c r="AY453" s="124"/>
      <c r="AZ453" s="124"/>
      <c r="BA453" s="124"/>
      <c r="BB453" s="88"/>
      <c r="BC453" s="88"/>
      <c r="BD453" s="88"/>
      <c r="BE453" s="88"/>
      <c r="BF453" s="88"/>
      <c r="BG453" s="88"/>
      <c r="BH453" s="88"/>
      <c r="BI453" s="88"/>
      <c r="BJ453" s="88"/>
      <c r="BK453" s="88"/>
      <c r="BL453" s="88"/>
      <c r="BM453" s="88"/>
      <c r="BN453" s="88"/>
      <c r="BO453" s="88"/>
      <c r="BP453" s="88"/>
      <c r="BQ453" s="88"/>
      <c r="BR453" s="88"/>
      <c r="BS453" s="88"/>
    </row>
    <row r="454">
      <c r="J454" s="73"/>
      <c r="K454" s="74"/>
      <c r="L454" s="74"/>
      <c r="M454" s="74"/>
      <c r="N454" s="74"/>
      <c r="S454" s="75"/>
      <c r="T454" s="145"/>
      <c r="U454" s="145"/>
      <c r="V454" s="145"/>
      <c r="W454" s="145"/>
      <c r="X454" s="145"/>
      <c r="Y454" s="145"/>
      <c r="Z454" s="145"/>
      <c r="AA454" s="145"/>
      <c r="AB454" s="145"/>
      <c r="AC454" s="145"/>
      <c r="AD454" s="145"/>
      <c r="AE454" s="145"/>
      <c r="AF454" s="145"/>
      <c r="AG454" s="145"/>
      <c r="AH454" s="145"/>
      <c r="AI454" s="145"/>
      <c r="AJ454" s="145"/>
      <c r="AK454" s="145"/>
      <c r="AL454" s="145"/>
      <c r="AM454" s="145"/>
      <c r="AN454" s="145"/>
      <c r="AO454" s="145"/>
      <c r="AP454" s="145"/>
      <c r="AQ454" s="145"/>
      <c r="AR454" s="145"/>
      <c r="AS454" s="145"/>
      <c r="AT454" s="124"/>
      <c r="AU454" s="124"/>
      <c r="AV454" s="124"/>
      <c r="AW454" s="124"/>
      <c r="AX454" s="124"/>
      <c r="AY454" s="124"/>
      <c r="AZ454" s="124"/>
      <c r="BA454" s="124"/>
      <c r="BB454" s="88"/>
      <c r="BC454" s="88"/>
      <c r="BD454" s="88"/>
      <c r="BE454" s="88"/>
      <c r="BF454" s="88"/>
      <c r="BG454" s="88"/>
      <c r="BH454" s="88"/>
      <c r="BI454" s="88"/>
      <c r="BJ454" s="88"/>
      <c r="BK454" s="88"/>
      <c r="BL454" s="88"/>
      <c r="BM454" s="88"/>
      <c r="BN454" s="88"/>
      <c r="BO454" s="88"/>
      <c r="BP454" s="88"/>
      <c r="BQ454" s="88"/>
      <c r="BR454" s="88"/>
      <c r="BS454" s="88"/>
    </row>
    <row r="455">
      <c r="J455" s="73"/>
      <c r="K455" s="74"/>
      <c r="L455" s="74"/>
      <c r="M455" s="74"/>
      <c r="N455" s="74"/>
      <c r="S455" s="75"/>
      <c r="T455" s="145"/>
      <c r="U455" s="145"/>
      <c r="V455" s="145"/>
      <c r="W455" s="145"/>
      <c r="X455" s="145"/>
      <c r="Y455" s="145"/>
      <c r="Z455" s="145"/>
      <c r="AA455" s="145"/>
      <c r="AB455" s="145"/>
      <c r="AC455" s="145"/>
      <c r="AD455" s="145"/>
      <c r="AE455" s="145"/>
      <c r="AF455" s="145"/>
      <c r="AG455" s="145"/>
      <c r="AH455" s="145"/>
      <c r="AI455" s="145"/>
      <c r="AJ455" s="145"/>
      <c r="AK455" s="145"/>
      <c r="AL455" s="145"/>
      <c r="AM455" s="145"/>
      <c r="AN455" s="145"/>
      <c r="AO455" s="145"/>
      <c r="AP455" s="145"/>
      <c r="AQ455" s="145"/>
      <c r="AR455" s="145"/>
      <c r="AS455" s="145"/>
      <c r="AT455" s="124"/>
      <c r="AU455" s="124"/>
      <c r="AV455" s="124"/>
      <c r="AW455" s="124"/>
      <c r="AX455" s="124"/>
      <c r="AY455" s="124"/>
      <c r="AZ455" s="124"/>
      <c r="BA455" s="124"/>
      <c r="BB455" s="88"/>
      <c r="BC455" s="88"/>
      <c r="BD455" s="88"/>
      <c r="BE455" s="88"/>
      <c r="BF455" s="88"/>
      <c r="BG455" s="88"/>
      <c r="BH455" s="88"/>
      <c r="BI455" s="88"/>
      <c r="BJ455" s="88"/>
      <c r="BK455" s="88"/>
      <c r="BL455" s="88"/>
      <c r="BM455" s="88"/>
      <c r="BN455" s="88"/>
      <c r="BO455" s="88"/>
      <c r="BP455" s="88"/>
      <c r="BQ455" s="88"/>
      <c r="BR455" s="88"/>
      <c r="BS455" s="88"/>
    </row>
    <row r="456">
      <c r="J456" s="73"/>
      <c r="K456" s="74"/>
      <c r="L456" s="74"/>
      <c r="M456" s="74"/>
      <c r="N456" s="74"/>
      <c r="S456" s="75"/>
      <c r="T456" s="145"/>
      <c r="U456" s="145"/>
      <c r="V456" s="145"/>
      <c r="W456" s="145"/>
      <c r="X456" s="145"/>
      <c r="Y456" s="145"/>
      <c r="Z456" s="145"/>
      <c r="AA456" s="145"/>
      <c r="AB456" s="145"/>
      <c r="AC456" s="145"/>
      <c r="AD456" s="145"/>
      <c r="AE456" s="145"/>
      <c r="AF456" s="145"/>
      <c r="AG456" s="145"/>
      <c r="AH456" s="145"/>
      <c r="AI456" s="145"/>
      <c r="AJ456" s="145"/>
      <c r="AK456" s="145"/>
      <c r="AL456" s="145"/>
      <c r="AM456" s="145"/>
      <c r="AN456" s="145"/>
      <c r="AO456" s="145"/>
      <c r="AP456" s="145"/>
      <c r="AQ456" s="145"/>
      <c r="AR456" s="145"/>
      <c r="AS456" s="145"/>
      <c r="AT456" s="124"/>
      <c r="AU456" s="124"/>
      <c r="AV456" s="124"/>
      <c r="AW456" s="124"/>
      <c r="AX456" s="124"/>
      <c r="AY456" s="124"/>
      <c r="AZ456" s="124"/>
      <c r="BA456" s="124"/>
      <c r="BB456" s="88"/>
      <c r="BC456" s="88"/>
      <c r="BD456" s="88"/>
      <c r="BE456" s="88"/>
      <c r="BF456" s="88"/>
      <c r="BG456" s="88"/>
      <c r="BH456" s="88"/>
      <c r="BI456" s="88"/>
      <c r="BJ456" s="88"/>
      <c r="BK456" s="88"/>
      <c r="BL456" s="88"/>
      <c r="BM456" s="88"/>
      <c r="BN456" s="88"/>
      <c r="BO456" s="88"/>
      <c r="BP456" s="88"/>
      <c r="BQ456" s="88"/>
      <c r="BR456" s="88"/>
      <c r="BS456" s="88"/>
    </row>
    <row r="457">
      <c r="J457" s="73"/>
      <c r="K457" s="74"/>
      <c r="L457" s="74"/>
      <c r="M457" s="74"/>
      <c r="N457" s="74"/>
      <c r="S457" s="75"/>
      <c r="T457" s="145"/>
      <c r="U457" s="145"/>
      <c r="V457" s="145"/>
      <c r="W457" s="145"/>
      <c r="X457" s="145"/>
      <c r="Y457" s="145"/>
      <c r="Z457" s="145"/>
      <c r="AA457" s="145"/>
      <c r="AB457" s="145"/>
      <c r="AC457" s="145"/>
      <c r="AD457" s="145"/>
      <c r="AE457" s="145"/>
      <c r="AF457" s="145"/>
      <c r="AG457" s="145"/>
      <c r="AH457" s="145"/>
      <c r="AI457" s="145"/>
      <c r="AJ457" s="145"/>
      <c r="AK457" s="145"/>
      <c r="AL457" s="145"/>
      <c r="AM457" s="145"/>
      <c r="AN457" s="145"/>
      <c r="AO457" s="145"/>
      <c r="AP457" s="145"/>
      <c r="AQ457" s="145"/>
      <c r="AR457" s="145"/>
      <c r="AS457" s="145"/>
      <c r="AT457" s="124"/>
      <c r="AU457" s="124"/>
      <c r="AV457" s="124"/>
      <c r="AW457" s="124"/>
      <c r="AX457" s="124"/>
      <c r="AY457" s="124"/>
      <c r="AZ457" s="124"/>
      <c r="BA457" s="124"/>
      <c r="BB457" s="88"/>
      <c r="BC457" s="88"/>
      <c r="BD457" s="88"/>
      <c r="BE457" s="88"/>
      <c r="BF457" s="88"/>
      <c r="BG457" s="88"/>
      <c r="BH457" s="88"/>
      <c r="BI457" s="88"/>
      <c r="BJ457" s="88"/>
      <c r="BK457" s="88"/>
      <c r="BL457" s="88"/>
      <c r="BM457" s="88"/>
      <c r="BN457" s="88"/>
      <c r="BO457" s="88"/>
      <c r="BP457" s="88"/>
      <c r="BQ457" s="88"/>
      <c r="BR457" s="88"/>
      <c r="BS457" s="88"/>
    </row>
    <row r="458">
      <c r="J458" s="73"/>
      <c r="K458" s="74"/>
      <c r="L458" s="74"/>
      <c r="M458" s="74"/>
      <c r="N458" s="74"/>
      <c r="S458" s="75"/>
      <c r="T458" s="145"/>
      <c r="U458" s="145"/>
      <c r="V458" s="145"/>
      <c r="W458" s="145"/>
      <c r="X458" s="145"/>
      <c r="Y458" s="145"/>
      <c r="Z458" s="145"/>
      <c r="AA458" s="145"/>
      <c r="AB458" s="145"/>
      <c r="AC458" s="145"/>
      <c r="AD458" s="145"/>
      <c r="AE458" s="145"/>
      <c r="AF458" s="145"/>
      <c r="AG458" s="145"/>
      <c r="AH458" s="145"/>
      <c r="AI458" s="145"/>
      <c r="AJ458" s="145"/>
      <c r="AK458" s="145"/>
      <c r="AL458" s="145"/>
      <c r="AM458" s="145"/>
      <c r="AN458" s="145"/>
      <c r="AO458" s="145"/>
      <c r="AP458" s="145"/>
      <c r="AQ458" s="145"/>
      <c r="AR458" s="145"/>
      <c r="AS458" s="145"/>
      <c r="AT458" s="124"/>
      <c r="AU458" s="124"/>
      <c r="AV458" s="124"/>
      <c r="AW458" s="124"/>
      <c r="AX458" s="124"/>
      <c r="AY458" s="124"/>
      <c r="AZ458" s="124"/>
      <c r="BA458" s="124"/>
      <c r="BB458" s="88"/>
      <c r="BC458" s="88"/>
      <c r="BD458" s="88"/>
      <c r="BE458" s="88"/>
      <c r="BF458" s="88"/>
      <c r="BG458" s="88"/>
      <c r="BH458" s="88"/>
      <c r="BI458" s="88"/>
      <c r="BJ458" s="88"/>
      <c r="BK458" s="88"/>
      <c r="BL458" s="88"/>
      <c r="BM458" s="88"/>
      <c r="BN458" s="88"/>
      <c r="BO458" s="88"/>
      <c r="BP458" s="88"/>
      <c r="BQ458" s="88"/>
      <c r="BR458" s="88"/>
      <c r="BS458" s="88"/>
    </row>
    <row r="459">
      <c r="J459" s="73"/>
      <c r="K459" s="74"/>
      <c r="L459" s="74"/>
      <c r="M459" s="74"/>
      <c r="N459" s="74"/>
      <c r="S459" s="75"/>
      <c r="T459" s="145"/>
      <c r="U459" s="145"/>
      <c r="V459" s="145"/>
      <c r="W459" s="145"/>
      <c r="X459" s="145"/>
      <c r="Y459" s="145"/>
      <c r="Z459" s="145"/>
      <c r="AA459" s="145"/>
      <c r="AB459" s="145"/>
      <c r="AC459" s="145"/>
      <c r="AD459" s="145"/>
      <c r="AE459" s="145"/>
      <c r="AF459" s="145"/>
      <c r="AG459" s="145"/>
      <c r="AH459" s="145"/>
      <c r="AI459" s="145"/>
      <c r="AJ459" s="145"/>
      <c r="AK459" s="145"/>
      <c r="AL459" s="145"/>
      <c r="AM459" s="145"/>
      <c r="AN459" s="145"/>
      <c r="AO459" s="145"/>
      <c r="AP459" s="145"/>
      <c r="AQ459" s="145"/>
      <c r="AR459" s="145"/>
      <c r="AS459" s="145"/>
      <c r="AT459" s="124"/>
      <c r="AU459" s="124"/>
      <c r="AV459" s="124"/>
      <c r="AW459" s="124"/>
      <c r="AX459" s="124"/>
      <c r="AY459" s="124"/>
      <c r="AZ459" s="124"/>
      <c r="BA459" s="124"/>
      <c r="BB459" s="88"/>
      <c r="BC459" s="88"/>
      <c r="BD459" s="88"/>
      <c r="BE459" s="88"/>
      <c r="BF459" s="88"/>
      <c r="BG459" s="88"/>
      <c r="BH459" s="88"/>
      <c r="BI459" s="88"/>
      <c r="BJ459" s="88"/>
      <c r="BK459" s="88"/>
      <c r="BL459" s="88"/>
      <c r="BM459" s="88"/>
      <c r="BN459" s="88"/>
      <c r="BO459" s="88"/>
      <c r="BP459" s="88"/>
      <c r="BQ459" s="88"/>
      <c r="BR459" s="88"/>
      <c r="BS459" s="88"/>
    </row>
    <row r="460">
      <c r="J460" s="73"/>
      <c r="K460" s="74"/>
      <c r="L460" s="74"/>
      <c r="M460" s="74"/>
      <c r="N460" s="74"/>
      <c r="S460" s="75"/>
      <c r="T460" s="145"/>
      <c r="U460" s="145"/>
      <c r="V460" s="145"/>
      <c r="W460" s="145"/>
      <c r="X460" s="145"/>
      <c r="Y460" s="145"/>
      <c r="Z460" s="145"/>
      <c r="AA460" s="145"/>
      <c r="AB460" s="145"/>
      <c r="AC460" s="145"/>
      <c r="AD460" s="145"/>
      <c r="AE460" s="145"/>
      <c r="AF460" s="145"/>
      <c r="AG460" s="145"/>
      <c r="AH460" s="145"/>
      <c r="AI460" s="145"/>
      <c r="AJ460" s="145"/>
      <c r="AK460" s="145"/>
      <c r="AL460" s="145"/>
      <c r="AM460" s="145"/>
      <c r="AN460" s="145"/>
      <c r="AO460" s="145"/>
      <c r="AP460" s="145"/>
      <c r="AQ460" s="145"/>
      <c r="AR460" s="145"/>
      <c r="AS460" s="145"/>
      <c r="AT460" s="124"/>
      <c r="AU460" s="124"/>
      <c r="AV460" s="124"/>
      <c r="AW460" s="124"/>
      <c r="AX460" s="124"/>
      <c r="AY460" s="124"/>
      <c r="AZ460" s="124"/>
      <c r="BA460" s="124"/>
      <c r="BB460" s="88"/>
      <c r="BC460" s="88"/>
      <c r="BD460" s="88"/>
      <c r="BE460" s="88"/>
      <c r="BF460" s="88"/>
      <c r="BG460" s="88"/>
      <c r="BH460" s="88"/>
      <c r="BI460" s="88"/>
      <c r="BJ460" s="88"/>
      <c r="BK460" s="88"/>
      <c r="BL460" s="88"/>
      <c r="BM460" s="88"/>
      <c r="BN460" s="88"/>
      <c r="BO460" s="88"/>
      <c r="BP460" s="88"/>
      <c r="BQ460" s="88"/>
      <c r="BR460" s="88"/>
      <c r="BS460" s="88"/>
    </row>
    <row r="461">
      <c r="J461" s="73"/>
      <c r="K461" s="74"/>
      <c r="L461" s="74"/>
      <c r="M461" s="74"/>
      <c r="N461" s="74"/>
      <c r="S461" s="75"/>
      <c r="T461" s="145"/>
      <c r="U461" s="145"/>
      <c r="V461" s="145"/>
      <c r="W461" s="145"/>
      <c r="X461" s="145"/>
      <c r="Y461" s="145"/>
      <c r="Z461" s="145"/>
      <c r="AA461" s="145"/>
      <c r="AB461" s="145"/>
      <c r="AC461" s="145"/>
      <c r="AD461" s="145"/>
      <c r="AE461" s="145"/>
      <c r="AF461" s="145"/>
      <c r="AG461" s="145"/>
      <c r="AH461" s="145"/>
      <c r="AI461" s="145"/>
      <c r="AJ461" s="145"/>
      <c r="AK461" s="145"/>
      <c r="AL461" s="145"/>
      <c r="AM461" s="145"/>
      <c r="AN461" s="145"/>
      <c r="AO461" s="145"/>
      <c r="AP461" s="145"/>
      <c r="AQ461" s="145"/>
      <c r="AR461" s="145"/>
      <c r="AS461" s="145"/>
      <c r="AT461" s="124"/>
      <c r="AU461" s="124"/>
      <c r="AV461" s="124"/>
      <c r="AW461" s="124"/>
      <c r="AX461" s="124"/>
      <c r="AY461" s="124"/>
      <c r="AZ461" s="124"/>
      <c r="BA461" s="124"/>
      <c r="BB461" s="88"/>
      <c r="BC461" s="88"/>
      <c r="BD461" s="88"/>
      <c r="BE461" s="88"/>
      <c r="BF461" s="88"/>
      <c r="BG461" s="88"/>
      <c r="BH461" s="88"/>
      <c r="BI461" s="88"/>
      <c r="BJ461" s="88"/>
      <c r="BK461" s="88"/>
      <c r="BL461" s="88"/>
      <c r="BM461" s="88"/>
      <c r="BN461" s="88"/>
      <c r="BO461" s="88"/>
      <c r="BP461" s="88"/>
      <c r="BQ461" s="88"/>
      <c r="BR461" s="88"/>
      <c r="BS461" s="88"/>
    </row>
    <row r="462">
      <c r="J462" s="73"/>
      <c r="K462" s="74"/>
      <c r="L462" s="74"/>
      <c r="M462" s="74"/>
      <c r="N462" s="74"/>
      <c r="S462" s="75"/>
      <c r="T462" s="145"/>
      <c r="U462" s="145"/>
      <c r="V462" s="145"/>
      <c r="W462" s="145"/>
      <c r="X462" s="145"/>
      <c r="Y462" s="145"/>
      <c r="Z462" s="145"/>
      <c r="AA462" s="145"/>
      <c r="AB462" s="145"/>
      <c r="AC462" s="145"/>
      <c r="AD462" s="145"/>
      <c r="AE462" s="145"/>
      <c r="AF462" s="145"/>
      <c r="AG462" s="145"/>
      <c r="AH462" s="145"/>
      <c r="AI462" s="145"/>
      <c r="AJ462" s="145"/>
      <c r="AK462" s="145"/>
      <c r="AL462" s="145"/>
      <c r="AM462" s="145"/>
      <c r="AN462" s="145"/>
      <c r="AO462" s="145"/>
      <c r="AP462" s="145"/>
      <c r="AQ462" s="145"/>
      <c r="AR462" s="145"/>
      <c r="AS462" s="145"/>
      <c r="AT462" s="124"/>
      <c r="AU462" s="124"/>
      <c r="AV462" s="124"/>
      <c r="AW462" s="124"/>
      <c r="AX462" s="124"/>
      <c r="AY462" s="124"/>
      <c r="AZ462" s="124"/>
      <c r="BA462" s="124"/>
      <c r="BB462" s="88"/>
      <c r="BC462" s="88"/>
      <c r="BD462" s="88"/>
      <c r="BE462" s="88"/>
      <c r="BF462" s="88"/>
      <c r="BG462" s="88"/>
      <c r="BH462" s="88"/>
      <c r="BI462" s="88"/>
      <c r="BJ462" s="88"/>
      <c r="BK462" s="88"/>
      <c r="BL462" s="88"/>
      <c r="BM462" s="88"/>
      <c r="BN462" s="88"/>
      <c r="BO462" s="88"/>
      <c r="BP462" s="88"/>
      <c r="BQ462" s="88"/>
      <c r="BR462" s="88"/>
      <c r="BS462" s="88"/>
    </row>
    <row r="463">
      <c r="J463" s="73"/>
      <c r="K463" s="74"/>
      <c r="L463" s="74"/>
      <c r="M463" s="74"/>
      <c r="N463" s="74"/>
      <c r="S463" s="75"/>
      <c r="T463" s="145"/>
      <c r="U463" s="145"/>
      <c r="V463" s="145"/>
      <c r="W463" s="145"/>
      <c r="X463" s="145"/>
      <c r="Y463" s="145"/>
      <c r="Z463" s="145"/>
      <c r="AA463" s="145"/>
      <c r="AB463" s="145"/>
      <c r="AC463" s="145"/>
      <c r="AD463" s="145"/>
      <c r="AE463" s="145"/>
      <c r="AF463" s="145"/>
      <c r="AG463" s="145"/>
      <c r="AH463" s="145"/>
      <c r="AI463" s="145"/>
      <c r="AJ463" s="145"/>
      <c r="AK463" s="145"/>
      <c r="AL463" s="145"/>
      <c r="AM463" s="145"/>
      <c r="AN463" s="145"/>
      <c r="AO463" s="145"/>
      <c r="AP463" s="145"/>
      <c r="AQ463" s="145"/>
      <c r="AR463" s="145"/>
      <c r="AS463" s="145"/>
      <c r="AT463" s="124"/>
      <c r="AU463" s="124"/>
      <c r="AV463" s="124"/>
      <c r="AW463" s="124"/>
      <c r="AX463" s="124"/>
      <c r="AY463" s="124"/>
      <c r="AZ463" s="124"/>
      <c r="BA463" s="124"/>
      <c r="BB463" s="88"/>
      <c r="BC463" s="88"/>
      <c r="BD463" s="88"/>
      <c r="BE463" s="88"/>
      <c r="BF463" s="88"/>
      <c r="BG463" s="88"/>
      <c r="BH463" s="88"/>
      <c r="BI463" s="88"/>
      <c r="BJ463" s="88"/>
      <c r="BK463" s="88"/>
      <c r="BL463" s="88"/>
      <c r="BM463" s="88"/>
      <c r="BN463" s="88"/>
      <c r="BO463" s="88"/>
      <c r="BP463" s="88"/>
      <c r="BQ463" s="88"/>
      <c r="BR463" s="88"/>
      <c r="BS463" s="88"/>
    </row>
    <row r="464">
      <c r="J464" s="73"/>
      <c r="K464" s="74"/>
      <c r="L464" s="74"/>
      <c r="M464" s="74"/>
      <c r="N464" s="74"/>
      <c r="S464" s="75"/>
      <c r="T464" s="145"/>
      <c r="U464" s="145"/>
      <c r="V464" s="145"/>
      <c r="W464" s="145"/>
      <c r="X464" s="145"/>
      <c r="Y464" s="145"/>
      <c r="Z464" s="145"/>
      <c r="AA464" s="145"/>
      <c r="AB464" s="145"/>
      <c r="AC464" s="145"/>
      <c r="AD464" s="145"/>
      <c r="AE464" s="145"/>
      <c r="AF464" s="145"/>
      <c r="AG464" s="145"/>
      <c r="AH464" s="145"/>
      <c r="AI464" s="145"/>
      <c r="AJ464" s="145"/>
      <c r="AK464" s="145"/>
      <c r="AL464" s="145"/>
      <c r="AM464" s="145"/>
      <c r="AN464" s="145"/>
      <c r="AO464" s="145"/>
      <c r="AP464" s="145"/>
      <c r="AQ464" s="145"/>
      <c r="AR464" s="145"/>
      <c r="AS464" s="145"/>
      <c r="AT464" s="124"/>
      <c r="AU464" s="124"/>
      <c r="AV464" s="124"/>
      <c r="AW464" s="124"/>
      <c r="AX464" s="124"/>
      <c r="AY464" s="124"/>
      <c r="AZ464" s="124"/>
      <c r="BA464" s="124"/>
      <c r="BB464" s="88"/>
      <c r="BC464" s="88"/>
      <c r="BD464" s="88"/>
      <c r="BE464" s="88"/>
      <c r="BF464" s="88"/>
      <c r="BG464" s="88"/>
      <c r="BH464" s="88"/>
      <c r="BI464" s="88"/>
      <c r="BJ464" s="88"/>
      <c r="BK464" s="88"/>
      <c r="BL464" s="88"/>
      <c r="BM464" s="88"/>
      <c r="BN464" s="88"/>
      <c r="BO464" s="88"/>
      <c r="BP464" s="88"/>
      <c r="BQ464" s="88"/>
      <c r="BR464" s="88"/>
      <c r="BS464" s="88"/>
    </row>
    <row r="465">
      <c r="J465" s="73"/>
      <c r="K465" s="74"/>
      <c r="L465" s="74"/>
      <c r="M465" s="74"/>
      <c r="N465" s="74"/>
      <c r="S465" s="75"/>
      <c r="T465" s="145"/>
      <c r="U465" s="145"/>
      <c r="V465" s="145"/>
      <c r="W465" s="145"/>
      <c r="X465" s="145"/>
      <c r="Y465" s="145"/>
      <c r="Z465" s="145"/>
      <c r="AA465" s="145"/>
      <c r="AB465" s="145"/>
      <c r="AC465" s="145"/>
      <c r="AD465" s="145"/>
      <c r="AE465" s="145"/>
      <c r="AF465" s="145"/>
      <c r="AG465" s="145"/>
      <c r="AH465" s="145"/>
      <c r="AI465" s="145"/>
      <c r="AJ465" s="145"/>
      <c r="AK465" s="145"/>
      <c r="AL465" s="145"/>
      <c r="AM465" s="145"/>
      <c r="AN465" s="145"/>
      <c r="AO465" s="145"/>
      <c r="AP465" s="145"/>
      <c r="AQ465" s="145"/>
      <c r="AR465" s="145"/>
      <c r="AS465" s="145"/>
      <c r="AT465" s="124"/>
      <c r="AU465" s="124"/>
      <c r="AV465" s="124"/>
      <c r="AW465" s="124"/>
      <c r="AX465" s="124"/>
      <c r="AY465" s="124"/>
      <c r="AZ465" s="124"/>
      <c r="BA465" s="124"/>
      <c r="BB465" s="88"/>
      <c r="BC465" s="88"/>
      <c r="BD465" s="88"/>
      <c r="BE465" s="88"/>
      <c r="BF465" s="88"/>
      <c r="BG465" s="88"/>
      <c r="BH465" s="88"/>
      <c r="BI465" s="88"/>
      <c r="BJ465" s="88"/>
      <c r="BK465" s="88"/>
      <c r="BL465" s="88"/>
      <c r="BM465" s="88"/>
      <c r="BN465" s="88"/>
      <c r="BO465" s="88"/>
      <c r="BP465" s="88"/>
      <c r="BQ465" s="88"/>
      <c r="BR465" s="88"/>
      <c r="BS465" s="88"/>
    </row>
    <row r="466">
      <c r="J466" s="73"/>
      <c r="K466" s="74"/>
      <c r="L466" s="74"/>
      <c r="M466" s="74"/>
      <c r="N466" s="74"/>
      <c r="S466" s="75"/>
      <c r="T466" s="145"/>
      <c r="U466" s="145"/>
      <c r="V466" s="145"/>
      <c r="W466" s="145"/>
      <c r="X466" s="145"/>
      <c r="Y466" s="145"/>
      <c r="Z466" s="145"/>
      <c r="AA466" s="145"/>
      <c r="AB466" s="145"/>
      <c r="AC466" s="145"/>
      <c r="AD466" s="145"/>
      <c r="AE466" s="145"/>
      <c r="AF466" s="145"/>
      <c r="AG466" s="145"/>
      <c r="AH466" s="145"/>
      <c r="AI466" s="145"/>
      <c r="AJ466" s="145"/>
      <c r="AK466" s="145"/>
      <c r="AL466" s="145"/>
      <c r="AM466" s="145"/>
      <c r="AN466" s="145"/>
      <c r="AO466" s="145"/>
      <c r="AP466" s="145"/>
      <c r="AQ466" s="145"/>
      <c r="AR466" s="145"/>
      <c r="AS466" s="145"/>
      <c r="AT466" s="124"/>
      <c r="AU466" s="124"/>
      <c r="AV466" s="124"/>
      <c r="AW466" s="124"/>
      <c r="AX466" s="124"/>
      <c r="AY466" s="124"/>
      <c r="AZ466" s="124"/>
      <c r="BA466" s="124"/>
      <c r="BB466" s="88"/>
      <c r="BC466" s="88"/>
      <c r="BD466" s="88"/>
      <c r="BE466" s="88"/>
      <c r="BF466" s="88"/>
      <c r="BG466" s="88"/>
      <c r="BH466" s="88"/>
      <c r="BI466" s="88"/>
      <c r="BJ466" s="88"/>
      <c r="BK466" s="88"/>
      <c r="BL466" s="88"/>
      <c r="BM466" s="88"/>
      <c r="BN466" s="88"/>
      <c r="BO466" s="88"/>
      <c r="BP466" s="88"/>
      <c r="BQ466" s="88"/>
      <c r="BR466" s="88"/>
      <c r="BS466" s="88"/>
    </row>
    <row r="467">
      <c r="J467" s="73"/>
      <c r="K467" s="74"/>
      <c r="L467" s="74"/>
      <c r="M467" s="74"/>
      <c r="N467" s="74"/>
      <c r="S467" s="75"/>
      <c r="T467" s="145"/>
      <c r="U467" s="145"/>
      <c r="V467" s="145"/>
      <c r="W467" s="145"/>
      <c r="X467" s="145"/>
      <c r="Y467" s="145"/>
      <c r="Z467" s="145"/>
      <c r="AA467" s="145"/>
      <c r="AB467" s="145"/>
      <c r="AC467" s="145"/>
      <c r="AD467" s="145"/>
      <c r="AE467" s="145"/>
      <c r="AF467" s="145"/>
      <c r="AG467" s="145"/>
      <c r="AH467" s="145"/>
      <c r="AI467" s="145"/>
      <c r="AJ467" s="145"/>
      <c r="AK467" s="145"/>
      <c r="AL467" s="145"/>
      <c r="AM467" s="145"/>
      <c r="AN467" s="145"/>
      <c r="AO467" s="145"/>
      <c r="AP467" s="145"/>
      <c r="AQ467" s="145"/>
      <c r="AR467" s="145"/>
      <c r="AS467" s="145"/>
      <c r="AT467" s="124"/>
      <c r="AU467" s="124"/>
      <c r="AV467" s="124"/>
      <c r="AW467" s="124"/>
      <c r="AX467" s="124"/>
      <c r="AY467" s="124"/>
      <c r="AZ467" s="124"/>
      <c r="BA467" s="124"/>
      <c r="BB467" s="88"/>
      <c r="BC467" s="88"/>
      <c r="BD467" s="88"/>
      <c r="BE467" s="88"/>
      <c r="BF467" s="88"/>
      <c r="BG467" s="88"/>
      <c r="BH467" s="88"/>
      <c r="BI467" s="88"/>
      <c r="BJ467" s="88"/>
      <c r="BK467" s="88"/>
      <c r="BL467" s="88"/>
      <c r="BM467" s="88"/>
      <c r="BN467" s="88"/>
      <c r="BO467" s="88"/>
      <c r="BP467" s="88"/>
      <c r="BQ467" s="88"/>
      <c r="BR467" s="88"/>
      <c r="BS467" s="88"/>
    </row>
    <row r="468">
      <c r="J468" s="73"/>
      <c r="K468" s="74"/>
      <c r="L468" s="74"/>
      <c r="M468" s="74"/>
      <c r="N468" s="74"/>
      <c r="S468" s="75"/>
      <c r="T468" s="145"/>
      <c r="U468" s="145"/>
      <c r="V468" s="145"/>
      <c r="W468" s="145"/>
      <c r="X468" s="145"/>
      <c r="Y468" s="145"/>
      <c r="Z468" s="145"/>
      <c r="AA468" s="145"/>
      <c r="AB468" s="145"/>
      <c r="AC468" s="145"/>
      <c r="AD468" s="145"/>
      <c r="AE468" s="145"/>
      <c r="AF468" s="145"/>
      <c r="AG468" s="145"/>
      <c r="AH468" s="145"/>
      <c r="AI468" s="145"/>
      <c r="AJ468" s="145"/>
      <c r="AK468" s="145"/>
      <c r="AL468" s="145"/>
      <c r="AM468" s="145"/>
      <c r="AN468" s="145"/>
      <c r="AO468" s="145"/>
      <c r="AP468" s="145"/>
      <c r="AQ468" s="145"/>
      <c r="AR468" s="145"/>
      <c r="AS468" s="145"/>
      <c r="AT468" s="124"/>
      <c r="AU468" s="124"/>
      <c r="AV468" s="124"/>
      <c r="AW468" s="124"/>
      <c r="AX468" s="124"/>
      <c r="AY468" s="124"/>
      <c r="AZ468" s="124"/>
      <c r="BA468" s="124"/>
      <c r="BB468" s="88"/>
      <c r="BC468" s="88"/>
      <c r="BD468" s="88"/>
      <c r="BE468" s="88"/>
      <c r="BF468" s="88"/>
      <c r="BG468" s="88"/>
      <c r="BH468" s="88"/>
      <c r="BI468" s="88"/>
      <c r="BJ468" s="88"/>
      <c r="BK468" s="88"/>
      <c r="BL468" s="88"/>
      <c r="BM468" s="88"/>
      <c r="BN468" s="88"/>
      <c r="BO468" s="88"/>
      <c r="BP468" s="88"/>
      <c r="BQ468" s="88"/>
      <c r="BR468" s="88"/>
      <c r="BS468" s="88"/>
    </row>
    <row r="469">
      <c r="J469" s="73"/>
      <c r="K469" s="74"/>
      <c r="L469" s="74"/>
      <c r="M469" s="74"/>
      <c r="N469" s="74"/>
      <c r="S469" s="75"/>
      <c r="T469" s="145"/>
      <c r="U469" s="145"/>
      <c r="V469" s="145"/>
      <c r="W469" s="145"/>
      <c r="X469" s="145"/>
      <c r="Y469" s="145"/>
      <c r="Z469" s="145"/>
      <c r="AA469" s="145"/>
      <c r="AB469" s="145"/>
      <c r="AC469" s="145"/>
      <c r="AD469" s="145"/>
      <c r="AE469" s="145"/>
      <c r="AF469" s="145"/>
      <c r="AG469" s="145"/>
      <c r="AH469" s="145"/>
      <c r="AI469" s="145"/>
      <c r="AJ469" s="145"/>
      <c r="AK469" s="145"/>
      <c r="AL469" s="145"/>
      <c r="AM469" s="145"/>
      <c r="AN469" s="145"/>
      <c r="AO469" s="145"/>
      <c r="AP469" s="145"/>
      <c r="AQ469" s="145"/>
      <c r="AR469" s="145"/>
      <c r="AS469" s="145"/>
      <c r="AT469" s="124"/>
      <c r="AU469" s="124"/>
      <c r="AV469" s="124"/>
      <c r="AW469" s="124"/>
      <c r="AX469" s="124"/>
      <c r="AY469" s="124"/>
      <c r="AZ469" s="124"/>
      <c r="BA469" s="124"/>
      <c r="BB469" s="88"/>
      <c r="BC469" s="88"/>
      <c r="BD469" s="88"/>
      <c r="BE469" s="88"/>
      <c r="BF469" s="88"/>
      <c r="BG469" s="88"/>
      <c r="BH469" s="88"/>
      <c r="BI469" s="88"/>
      <c r="BJ469" s="88"/>
      <c r="BK469" s="88"/>
      <c r="BL469" s="88"/>
      <c r="BM469" s="88"/>
      <c r="BN469" s="88"/>
      <c r="BO469" s="88"/>
      <c r="BP469" s="88"/>
      <c r="BQ469" s="88"/>
      <c r="BR469" s="88"/>
      <c r="BS469" s="88"/>
    </row>
    <row r="470">
      <c r="J470" s="73"/>
      <c r="K470" s="74"/>
      <c r="L470" s="74"/>
      <c r="M470" s="74"/>
      <c r="N470" s="74"/>
      <c r="S470" s="75"/>
      <c r="T470" s="145"/>
      <c r="U470" s="145"/>
      <c r="V470" s="145"/>
      <c r="W470" s="145"/>
      <c r="X470" s="145"/>
      <c r="Y470" s="145"/>
      <c r="Z470" s="145"/>
      <c r="AA470" s="145"/>
      <c r="AB470" s="145"/>
      <c r="AC470" s="145"/>
      <c r="AD470" s="145"/>
      <c r="AE470" s="145"/>
      <c r="AF470" s="145"/>
      <c r="AG470" s="145"/>
      <c r="AH470" s="145"/>
      <c r="AI470" s="145"/>
      <c r="AJ470" s="145"/>
      <c r="AK470" s="145"/>
      <c r="AL470" s="145"/>
      <c r="AM470" s="145"/>
      <c r="AN470" s="145"/>
      <c r="AO470" s="145"/>
      <c r="AP470" s="145"/>
      <c r="AQ470" s="145"/>
      <c r="AR470" s="145"/>
      <c r="AS470" s="145"/>
      <c r="AT470" s="124"/>
      <c r="AU470" s="124"/>
      <c r="AV470" s="124"/>
      <c r="AW470" s="124"/>
      <c r="AX470" s="124"/>
      <c r="AY470" s="124"/>
      <c r="AZ470" s="124"/>
      <c r="BA470" s="124"/>
      <c r="BB470" s="88"/>
      <c r="BC470" s="88"/>
      <c r="BD470" s="88"/>
      <c r="BE470" s="88"/>
      <c r="BF470" s="88"/>
      <c r="BG470" s="88"/>
      <c r="BH470" s="88"/>
      <c r="BI470" s="88"/>
      <c r="BJ470" s="88"/>
      <c r="BK470" s="88"/>
      <c r="BL470" s="88"/>
      <c r="BM470" s="88"/>
      <c r="BN470" s="88"/>
      <c r="BO470" s="88"/>
      <c r="BP470" s="88"/>
      <c r="BQ470" s="88"/>
      <c r="BR470" s="88"/>
      <c r="BS470" s="88"/>
    </row>
    <row r="471">
      <c r="J471" s="73"/>
      <c r="K471" s="74"/>
      <c r="L471" s="74"/>
      <c r="M471" s="74"/>
      <c r="N471" s="74"/>
      <c r="S471" s="75"/>
      <c r="T471" s="145"/>
      <c r="U471" s="145"/>
      <c r="V471" s="145"/>
      <c r="W471" s="145"/>
      <c r="X471" s="145"/>
      <c r="Y471" s="145"/>
      <c r="Z471" s="145"/>
      <c r="AA471" s="145"/>
      <c r="AB471" s="145"/>
      <c r="AC471" s="145"/>
      <c r="AD471" s="145"/>
      <c r="AE471" s="145"/>
      <c r="AF471" s="145"/>
      <c r="AG471" s="145"/>
      <c r="AH471" s="145"/>
      <c r="AI471" s="145"/>
      <c r="AJ471" s="145"/>
      <c r="AK471" s="145"/>
      <c r="AL471" s="145"/>
      <c r="AM471" s="145"/>
      <c r="AN471" s="145"/>
      <c r="AO471" s="145"/>
      <c r="AP471" s="145"/>
      <c r="AQ471" s="145"/>
      <c r="AR471" s="145"/>
      <c r="AS471" s="145"/>
      <c r="AT471" s="124"/>
      <c r="AU471" s="124"/>
      <c r="AV471" s="124"/>
      <c r="AW471" s="124"/>
      <c r="AX471" s="124"/>
      <c r="AY471" s="124"/>
      <c r="AZ471" s="124"/>
      <c r="BA471" s="124"/>
      <c r="BB471" s="88"/>
      <c r="BC471" s="88"/>
      <c r="BD471" s="88"/>
      <c r="BE471" s="88"/>
      <c r="BF471" s="88"/>
      <c r="BG471" s="88"/>
      <c r="BH471" s="88"/>
      <c r="BI471" s="88"/>
      <c r="BJ471" s="88"/>
      <c r="BK471" s="88"/>
      <c r="BL471" s="88"/>
      <c r="BM471" s="88"/>
      <c r="BN471" s="88"/>
      <c r="BO471" s="88"/>
      <c r="BP471" s="88"/>
      <c r="BQ471" s="88"/>
      <c r="BR471" s="88"/>
      <c r="BS471" s="88"/>
    </row>
    <row r="472">
      <c r="J472" s="73"/>
      <c r="K472" s="74"/>
      <c r="L472" s="74"/>
      <c r="M472" s="74"/>
      <c r="N472" s="74"/>
      <c r="S472" s="75"/>
      <c r="T472" s="145"/>
      <c r="U472" s="145"/>
      <c r="V472" s="145"/>
      <c r="W472" s="145"/>
      <c r="X472" s="145"/>
      <c r="Y472" s="145"/>
      <c r="Z472" s="145"/>
      <c r="AA472" s="145"/>
      <c r="AB472" s="145"/>
      <c r="AC472" s="145"/>
      <c r="AD472" s="145"/>
      <c r="AE472" s="145"/>
      <c r="AF472" s="145"/>
      <c r="AG472" s="145"/>
      <c r="AH472" s="145"/>
      <c r="AI472" s="145"/>
      <c r="AJ472" s="145"/>
      <c r="AK472" s="145"/>
      <c r="AL472" s="145"/>
      <c r="AM472" s="145"/>
      <c r="AN472" s="145"/>
      <c r="AO472" s="145"/>
      <c r="AP472" s="145"/>
      <c r="AQ472" s="145"/>
      <c r="AR472" s="145"/>
      <c r="AS472" s="145"/>
      <c r="AT472" s="124"/>
      <c r="AU472" s="124"/>
      <c r="AV472" s="124"/>
      <c r="AW472" s="124"/>
      <c r="AX472" s="124"/>
      <c r="AY472" s="124"/>
      <c r="AZ472" s="124"/>
      <c r="BA472" s="124"/>
      <c r="BB472" s="88"/>
      <c r="BC472" s="88"/>
      <c r="BD472" s="88"/>
      <c r="BE472" s="88"/>
      <c r="BF472" s="88"/>
      <c r="BG472" s="88"/>
      <c r="BH472" s="88"/>
      <c r="BI472" s="88"/>
      <c r="BJ472" s="88"/>
      <c r="BK472" s="88"/>
      <c r="BL472" s="88"/>
      <c r="BM472" s="88"/>
      <c r="BN472" s="88"/>
      <c r="BO472" s="88"/>
      <c r="BP472" s="88"/>
      <c r="BQ472" s="88"/>
      <c r="BR472" s="88"/>
      <c r="BS472" s="88"/>
    </row>
    <row r="473">
      <c r="J473" s="73"/>
      <c r="K473" s="74"/>
      <c r="L473" s="74"/>
      <c r="M473" s="74"/>
      <c r="N473" s="74"/>
      <c r="S473" s="75"/>
      <c r="T473" s="145"/>
      <c r="U473" s="145"/>
      <c r="V473" s="145"/>
      <c r="W473" s="145"/>
      <c r="X473" s="145"/>
      <c r="Y473" s="145"/>
      <c r="Z473" s="145"/>
      <c r="AA473" s="145"/>
      <c r="AB473" s="145"/>
      <c r="AC473" s="145"/>
      <c r="AD473" s="145"/>
      <c r="AE473" s="145"/>
      <c r="AF473" s="145"/>
      <c r="AG473" s="145"/>
      <c r="AH473" s="145"/>
      <c r="AI473" s="145"/>
      <c r="AJ473" s="145"/>
      <c r="AK473" s="145"/>
      <c r="AL473" s="145"/>
      <c r="AM473" s="145"/>
      <c r="AN473" s="145"/>
      <c r="AO473" s="145"/>
      <c r="AP473" s="145"/>
      <c r="AQ473" s="145"/>
      <c r="AR473" s="145"/>
      <c r="AS473" s="145"/>
      <c r="AT473" s="124"/>
      <c r="AU473" s="124"/>
      <c r="AV473" s="124"/>
      <c r="AW473" s="124"/>
      <c r="AX473" s="124"/>
      <c r="AY473" s="124"/>
      <c r="AZ473" s="124"/>
      <c r="BA473" s="124"/>
      <c r="BB473" s="88"/>
      <c r="BC473" s="88"/>
      <c r="BD473" s="88"/>
      <c r="BE473" s="88"/>
      <c r="BF473" s="88"/>
      <c r="BG473" s="88"/>
      <c r="BH473" s="88"/>
      <c r="BI473" s="88"/>
      <c r="BJ473" s="88"/>
      <c r="BK473" s="88"/>
      <c r="BL473" s="88"/>
      <c r="BM473" s="88"/>
      <c r="BN473" s="88"/>
      <c r="BO473" s="88"/>
      <c r="BP473" s="88"/>
      <c r="BQ473" s="88"/>
      <c r="BR473" s="88"/>
      <c r="BS473" s="88"/>
    </row>
    <row r="474">
      <c r="J474" s="73"/>
      <c r="K474" s="74"/>
      <c r="L474" s="74"/>
      <c r="M474" s="74"/>
      <c r="N474" s="74"/>
      <c r="S474" s="75"/>
      <c r="T474" s="145"/>
      <c r="U474" s="145"/>
      <c r="V474" s="145"/>
      <c r="W474" s="145"/>
      <c r="X474" s="145"/>
      <c r="Y474" s="145"/>
      <c r="Z474" s="145"/>
      <c r="AA474" s="145"/>
      <c r="AB474" s="145"/>
      <c r="AC474" s="145"/>
      <c r="AD474" s="145"/>
      <c r="AE474" s="145"/>
      <c r="AF474" s="145"/>
      <c r="AG474" s="145"/>
      <c r="AH474" s="145"/>
      <c r="AI474" s="145"/>
      <c r="AJ474" s="145"/>
      <c r="AK474" s="145"/>
      <c r="AL474" s="145"/>
      <c r="AM474" s="145"/>
      <c r="AN474" s="145"/>
      <c r="AO474" s="145"/>
      <c r="AP474" s="145"/>
      <c r="AQ474" s="145"/>
      <c r="AR474" s="145"/>
      <c r="AS474" s="145"/>
      <c r="AT474" s="124"/>
      <c r="AU474" s="124"/>
      <c r="AV474" s="124"/>
      <c r="AW474" s="124"/>
      <c r="AX474" s="124"/>
      <c r="AY474" s="124"/>
      <c r="AZ474" s="124"/>
      <c r="BA474" s="124"/>
      <c r="BB474" s="88"/>
      <c r="BC474" s="88"/>
      <c r="BD474" s="88"/>
      <c r="BE474" s="88"/>
      <c r="BF474" s="88"/>
      <c r="BG474" s="88"/>
      <c r="BH474" s="88"/>
      <c r="BI474" s="88"/>
      <c r="BJ474" s="88"/>
      <c r="BK474" s="88"/>
      <c r="BL474" s="88"/>
      <c r="BM474" s="88"/>
      <c r="BN474" s="88"/>
      <c r="BO474" s="88"/>
      <c r="BP474" s="88"/>
      <c r="BQ474" s="88"/>
      <c r="BR474" s="88"/>
      <c r="BS474" s="88"/>
    </row>
    <row r="475">
      <c r="J475" s="73"/>
      <c r="K475" s="74"/>
      <c r="L475" s="74"/>
      <c r="M475" s="74"/>
      <c r="N475" s="74"/>
      <c r="S475" s="75"/>
      <c r="T475" s="145"/>
      <c r="U475" s="145"/>
      <c r="V475" s="145"/>
      <c r="W475" s="145"/>
      <c r="X475" s="145"/>
      <c r="Y475" s="145"/>
      <c r="Z475" s="145"/>
      <c r="AA475" s="145"/>
      <c r="AB475" s="145"/>
      <c r="AC475" s="145"/>
      <c r="AD475" s="145"/>
      <c r="AE475" s="145"/>
      <c r="AF475" s="145"/>
      <c r="AG475" s="145"/>
      <c r="AH475" s="145"/>
      <c r="AI475" s="145"/>
      <c r="AJ475" s="145"/>
      <c r="AK475" s="145"/>
      <c r="AL475" s="145"/>
      <c r="AM475" s="145"/>
      <c r="AN475" s="145"/>
      <c r="AO475" s="145"/>
      <c r="AP475" s="145"/>
      <c r="AQ475" s="145"/>
      <c r="AR475" s="145"/>
      <c r="AS475" s="145"/>
      <c r="AT475" s="124"/>
      <c r="AU475" s="124"/>
      <c r="AV475" s="124"/>
      <c r="AW475" s="124"/>
      <c r="AX475" s="124"/>
      <c r="AY475" s="124"/>
      <c r="AZ475" s="124"/>
      <c r="BA475" s="124"/>
      <c r="BB475" s="88"/>
      <c r="BC475" s="88"/>
      <c r="BD475" s="88"/>
      <c r="BE475" s="88"/>
      <c r="BF475" s="88"/>
      <c r="BG475" s="88"/>
      <c r="BH475" s="88"/>
      <c r="BI475" s="88"/>
      <c r="BJ475" s="88"/>
      <c r="BK475" s="88"/>
      <c r="BL475" s="88"/>
      <c r="BM475" s="88"/>
      <c r="BN475" s="88"/>
      <c r="BO475" s="88"/>
      <c r="BP475" s="88"/>
      <c r="BQ475" s="88"/>
      <c r="BR475" s="88"/>
      <c r="BS475" s="88"/>
    </row>
    <row r="476">
      <c r="J476" s="73"/>
      <c r="K476" s="74"/>
      <c r="L476" s="74"/>
      <c r="M476" s="74"/>
      <c r="N476" s="74"/>
      <c r="S476" s="75"/>
      <c r="T476" s="145"/>
      <c r="U476" s="145"/>
      <c r="V476" s="145"/>
      <c r="W476" s="145"/>
      <c r="X476" s="145"/>
      <c r="Y476" s="145"/>
      <c r="Z476" s="145"/>
      <c r="AA476" s="145"/>
      <c r="AB476" s="145"/>
      <c r="AC476" s="145"/>
      <c r="AD476" s="145"/>
      <c r="AE476" s="145"/>
      <c r="AF476" s="145"/>
      <c r="AG476" s="145"/>
      <c r="AH476" s="145"/>
      <c r="AI476" s="145"/>
      <c r="AJ476" s="145"/>
      <c r="AK476" s="145"/>
      <c r="AL476" s="145"/>
      <c r="AM476" s="145"/>
      <c r="AN476" s="145"/>
      <c r="AO476" s="145"/>
      <c r="AP476" s="145"/>
      <c r="AQ476" s="145"/>
      <c r="AR476" s="145"/>
      <c r="AS476" s="145"/>
      <c r="AT476" s="124"/>
      <c r="AU476" s="124"/>
      <c r="AV476" s="124"/>
      <c r="AW476" s="124"/>
      <c r="AX476" s="124"/>
      <c r="AY476" s="124"/>
      <c r="AZ476" s="124"/>
      <c r="BA476" s="124"/>
      <c r="BB476" s="88"/>
      <c r="BC476" s="88"/>
      <c r="BD476" s="88"/>
      <c r="BE476" s="88"/>
      <c r="BF476" s="88"/>
      <c r="BG476" s="88"/>
      <c r="BH476" s="88"/>
      <c r="BI476" s="88"/>
      <c r="BJ476" s="88"/>
      <c r="BK476" s="88"/>
      <c r="BL476" s="88"/>
      <c r="BM476" s="88"/>
      <c r="BN476" s="88"/>
      <c r="BO476" s="88"/>
      <c r="BP476" s="88"/>
      <c r="BQ476" s="88"/>
      <c r="BR476" s="88"/>
      <c r="BS476" s="88"/>
    </row>
    <row r="477">
      <c r="J477" s="73"/>
      <c r="K477" s="74"/>
      <c r="L477" s="74"/>
      <c r="M477" s="74"/>
      <c r="N477" s="74"/>
      <c r="S477" s="75"/>
      <c r="T477" s="145"/>
      <c r="U477" s="145"/>
      <c r="V477" s="145"/>
      <c r="W477" s="145"/>
      <c r="X477" s="145"/>
      <c r="Y477" s="145"/>
      <c r="Z477" s="145"/>
      <c r="AA477" s="145"/>
      <c r="AB477" s="145"/>
      <c r="AC477" s="145"/>
      <c r="AD477" s="145"/>
      <c r="AE477" s="145"/>
      <c r="AF477" s="145"/>
      <c r="AG477" s="145"/>
      <c r="AH477" s="145"/>
      <c r="AI477" s="145"/>
      <c r="AJ477" s="145"/>
      <c r="AK477" s="145"/>
      <c r="AL477" s="145"/>
      <c r="AM477" s="145"/>
      <c r="AN477" s="145"/>
      <c r="AO477" s="145"/>
      <c r="AP477" s="145"/>
      <c r="AQ477" s="145"/>
      <c r="AR477" s="145"/>
      <c r="AS477" s="145"/>
      <c r="AT477" s="124"/>
      <c r="AU477" s="124"/>
      <c r="AV477" s="124"/>
      <c r="AW477" s="124"/>
      <c r="AX477" s="124"/>
      <c r="AY477" s="124"/>
      <c r="AZ477" s="124"/>
      <c r="BA477" s="124"/>
      <c r="BB477" s="88"/>
      <c r="BC477" s="88"/>
      <c r="BD477" s="88"/>
      <c r="BE477" s="88"/>
      <c r="BF477" s="88"/>
      <c r="BG477" s="88"/>
      <c r="BH477" s="88"/>
      <c r="BI477" s="88"/>
      <c r="BJ477" s="88"/>
      <c r="BK477" s="88"/>
      <c r="BL477" s="88"/>
      <c r="BM477" s="88"/>
      <c r="BN477" s="88"/>
      <c r="BO477" s="88"/>
      <c r="BP477" s="88"/>
      <c r="BQ477" s="88"/>
      <c r="BR477" s="88"/>
      <c r="BS477" s="88"/>
    </row>
    <row r="478">
      <c r="J478" s="73"/>
      <c r="K478" s="74"/>
      <c r="L478" s="74"/>
      <c r="M478" s="74"/>
      <c r="N478" s="74"/>
      <c r="S478" s="75"/>
      <c r="T478" s="145"/>
      <c r="U478" s="145"/>
      <c r="V478" s="145"/>
      <c r="W478" s="145"/>
      <c r="X478" s="145"/>
      <c r="Y478" s="145"/>
      <c r="Z478" s="145"/>
      <c r="AA478" s="145"/>
      <c r="AB478" s="145"/>
      <c r="AC478" s="145"/>
      <c r="AD478" s="145"/>
      <c r="AE478" s="145"/>
      <c r="AF478" s="145"/>
      <c r="AG478" s="145"/>
      <c r="AH478" s="145"/>
      <c r="AI478" s="145"/>
      <c r="AJ478" s="145"/>
      <c r="AK478" s="145"/>
      <c r="AL478" s="145"/>
      <c r="AM478" s="145"/>
      <c r="AN478" s="145"/>
      <c r="AO478" s="145"/>
      <c r="AP478" s="145"/>
      <c r="AQ478" s="145"/>
      <c r="AR478" s="145"/>
      <c r="AS478" s="145"/>
      <c r="AT478" s="124"/>
      <c r="AU478" s="124"/>
      <c r="AV478" s="124"/>
      <c r="AW478" s="124"/>
      <c r="AX478" s="124"/>
      <c r="AY478" s="124"/>
      <c r="AZ478" s="124"/>
      <c r="BA478" s="124"/>
      <c r="BB478" s="88"/>
      <c r="BC478" s="88"/>
      <c r="BD478" s="88"/>
      <c r="BE478" s="88"/>
      <c r="BF478" s="88"/>
      <c r="BG478" s="88"/>
      <c r="BH478" s="88"/>
      <c r="BI478" s="88"/>
      <c r="BJ478" s="88"/>
      <c r="BK478" s="88"/>
      <c r="BL478" s="88"/>
      <c r="BM478" s="88"/>
      <c r="BN478" s="88"/>
      <c r="BO478" s="88"/>
      <c r="BP478" s="88"/>
      <c r="BQ478" s="88"/>
      <c r="BR478" s="88"/>
      <c r="BS478" s="88"/>
    </row>
    <row r="479">
      <c r="J479" s="73"/>
      <c r="K479" s="74"/>
      <c r="L479" s="74"/>
      <c r="M479" s="74"/>
      <c r="N479" s="74"/>
      <c r="S479" s="75"/>
      <c r="T479" s="145"/>
      <c r="U479" s="145"/>
      <c r="V479" s="145"/>
      <c r="W479" s="145"/>
      <c r="X479" s="145"/>
      <c r="Y479" s="145"/>
      <c r="Z479" s="145"/>
      <c r="AA479" s="145"/>
      <c r="AB479" s="145"/>
      <c r="AC479" s="145"/>
      <c r="AD479" s="145"/>
      <c r="AE479" s="145"/>
      <c r="AF479" s="145"/>
      <c r="AG479" s="145"/>
      <c r="AH479" s="145"/>
      <c r="AI479" s="145"/>
      <c r="AJ479" s="145"/>
      <c r="AK479" s="145"/>
      <c r="AL479" s="145"/>
      <c r="AM479" s="145"/>
      <c r="AN479" s="145"/>
      <c r="AO479" s="145"/>
      <c r="AP479" s="145"/>
      <c r="AQ479" s="145"/>
      <c r="AR479" s="145"/>
      <c r="AS479" s="145"/>
      <c r="AT479" s="124"/>
      <c r="AU479" s="124"/>
      <c r="AV479" s="124"/>
      <c r="AW479" s="124"/>
      <c r="AX479" s="124"/>
      <c r="AY479" s="124"/>
      <c r="AZ479" s="124"/>
      <c r="BA479" s="124"/>
      <c r="BB479" s="88"/>
      <c r="BC479" s="88"/>
      <c r="BD479" s="88"/>
      <c r="BE479" s="88"/>
      <c r="BF479" s="88"/>
      <c r="BG479" s="88"/>
      <c r="BH479" s="88"/>
      <c r="BI479" s="88"/>
      <c r="BJ479" s="88"/>
      <c r="BK479" s="88"/>
      <c r="BL479" s="88"/>
      <c r="BM479" s="88"/>
      <c r="BN479" s="88"/>
      <c r="BO479" s="88"/>
      <c r="BP479" s="88"/>
      <c r="BQ479" s="88"/>
      <c r="BR479" s="88"/>
      <c r="BS479" s="88"/>
    </row>
    <row r="480">
      <c r="J480" s="73"/>
      <c r="K480" s="74"/>
      <c r="L480" s="74"/>
      <c r="M480" s="74"/>
      <c r="N480" s="74"/>
      <c r="S480" s="75"/>
      <c r="T480" s="145"/>
      <c r="U480" s="145"/>
      <c r="V480" s="145"/>
      <c r="W480" s="145"/>
      <c r="X480" s="145"/>
      <c r="Y480" s="145"/>
      <c r="Z480" s="145"/>
      <c r="AA480" s="145"/>
      <c r="AB480" s="145"/>
      <c r="AC480" s="145"/>
      <c r="AD480" s="145"/>
      <c r="AE480" s="145"/>
      <c r="AF480" s="145"/>
      <c r="AG480" s="145"/>
      <c r="AH480" s="145"/>
      <c r="AI480" s="145"/>
      <c r="AJ480" s="145"/>
      <c r="AK480" s="145"/>
      <c r="AL480" s="145"/>
      <c r="AM480" s="145"/>
      <c r="AN480" s="145"/>
      <c r="AO480" s="145"/>
      <c r="AP480" s="145"/>
      <c r="AQ480" s="145"/>
      <c r="AR480" s="145"/>
      <c r="AS480" s="145"/>
      <c r="AT480" s="124"/>
      <c r="AU480" s="124"/>
      <c r="AV480" s="124"/>
      <c r="AW480" s="124"/>
      <c r="AX480" s="124"/>
      <c r="AY480" s="124"/>
      <c r="AZ480" s="124"/>
      <c r="BA480" s="124"/>
      <c r="BB480" s="88"/>
      <c r="BC480" s="88"/>
      <c r="BD480" s="88"/>
      <c r="BE480" s="88"/>
      <c r="BF480" s="88"/>
      <c r="BG480" s="88"/>
      <c r="BH480" s="88"/>
      <c r="BI480" s="88"/>
      <c r="BJ480" s="88"/>
      <c r="BK480" s="88"/>
      <c r="BL480" s="88"/>
      <c r="BM480" s="88"/>
      <c r="BN480" s="88"/>
      <c r="BO480" s="88"/>
      <c r="BP480" s="88"/>
      <c r="BQ480" s="88"/>
      <c r="BR480" s="88"/>
      <c r="BS480" s="88"/>
    </row>
    <row r="481">
      <c r="J481" s="73"/>
      <c r="K481" s="74"/>
      <c r="L481" s="74"/>
      <c r="M481" s="74"/>
      <c r="N481" s="74"/>
      <c r="S481" s="75"/>
      <c r="T481" s="145"/>
      <c r="U481" s="145"/>
      <c r="V481" s="145"/>
      <c r="W481" s="145"/>
      <c r="X481" s="145"/>
      <c r="Y481" s="145"/>
      <c r="Z481" s="145"/>
      <c r="AA481" s="145"/>
      <c r="AB481" s="145"/>
      <c r="AC481" s="145"/>
      <c r="AD481" s="145"/>
      <c r="AE481" s="145"/>
      <c r="AF481" s="145"/>
      <c r="AG481" s="145"/>
      <c r="AH481" s="145"/>
      <c r="AI481" s="145"/>
      <c r="AJ481" s="145"/>
      <c r="AK481" s="145"/>
      <c r="AL481" s="145"/>
      <c r="AM481" s="145"/>
      <c r="AN481" s="145"/>
      <c r="AO481" s="145"/>
      <c r="AP481" s="145"/>
      <c r="AQ481" s="145"/>
      <c r="AR481" s="145"/>
      <c r="AS481" s="145"/>
      <c r="AT481" s="124"/>
      <c r="AU481" s="124"/>
      <c r="AV481" s="124"/>
      <c r="AW481" s="124"/>
      <c r="AX481" s="124"/>
      <c r="AY481" s="124"/>
      <c r="AZ481" s="124"/>
      <c r="BA481" s="124"/>
      <c r="BB481" s="88"/>
      <c r="BC481" s="88"/>
      <c r="BD481" s="88"/>
      <c r="BE481" s="88"/>
      <c r="BF481" s="88"/>
      <c r="BG481" s="88"/>
      <c r="BH481" s="88"/>
      <c r="BI481" s="88"/>
      <c r="BJ481" s="88"/>
      <c r="BK481" s="88"/>
      <c r="BL481" s="88"/>
      <c r="BM481" s="88"/>
      <c r="BN481" s="88"/>
      <c r="BO481" s="88"/>
      <c r="BP481" s="88"/>
      <c r="BQ481" s="88"/>
      <c r="BR481" s="88"/>
      <c r="BS481" s="88"/>
    </row>
    <row r="482">
      <c r="J482" s="73"/>
      <c r="K482" s="74"/>
      <c r="L482" s="74"/>
      <c r="M482" s="74"/>
      <c r="N482" s="74"/>
      <c r="S482" s="75"/>
      <c r="T482" s="145"/>
      <c r="U482" s="145"/>
      <c r="V482" s="145"/>
      <c r="W482" s="145"/>
      <c r="X482" s="145"/>
      <c r="Y482" s="145"/>
      <c r="Z482" s="145"/>
      <c r="AA482" s="145"/>
      <c r="AB482" s="145"/>
      <c r="AC482" s="145"/>
      <c r="AD482" s="145"/>
      <c r="AE482" s="145"/>
      <c r="AF482" s="145"/>
      <c r="AG482" s="145"/>
      <c r="AH482" s="145"/>
      <c r="AI482" s="145"/>
      <c r="AJ482" s="145"/>
      <c r="AK482" s="145"/>
      <c r="AL482" s="145"/>
      <c r="AM482" s="145"/>
      <c r="AN482" s="145"/>
      <c r="AO482" s="145"/>
      <c r="AP482" s="145"/>
      <c r="AQ482" s="145"/>
      <c r="AR482" s="145"/>
      <c r="AS482" s="145"/>
      <c r="AT482" s="124"/>
      <c r="AU482" s="124"/>
      <c r="AV482" s="124"/>
      <c r="AW482" s="124"/>
      <c r="AX482" s="124"/>
      <c r="AY482" s="124"/>
      <c r="AZ482" s="124"/>
      <c r="BA482" s="124"/>
      <c r="BB482" s="88"/>
      <c r="BC482" s="88"/>
      <c r="BD482" s="88"/>
      <c r="BE482" s="88"/>
      <c r="BF482" s="88"/>
      <c r="BG482" s="88"/>
      <c r="BH482" s="88"/>
      <c r="BI482" s="88"/>
      <c r="BJ482" s="88"/>
      <c r="BK482" s="88"/>
      <c r="BL482" s="88"/>
      <c r="BM482" s="88"/>
      <c r="BN482" s="88"/>
      <c r="BO482" s="88"/>
      <c r="BP482" s="88"/>
      <c r="BQ482" s="88"/>
      <c r="BR482" s="88"/>
      <c r="BS482" s="88"/>
    </row>
    <row r="483">
      <c r="J483" s="73"/>
      <c r="K483" s="74"/>
      <c r="L483" s="74"/>
      <c r="M483" s="74"/>
      <c r="N483" s="74"/>
      <c r="S483" s="75"/>
      <c r="T483" s="145"/>
      <c r="U483" s="145"/>
      <c r="V483" s="145"/>
      <c r="W483" s="145"/>
      <c r="X483" s="145"/>
      <c r="Y483" s="145"/>
      <c r="Z483" s="145"/>
      <c r="AA483" s="145"/>
      <c r="AB483" s="145"/>
      <c r="AC483" s="145"/>
      <c r="AD483" s="145"/>
      <c r="AE483" s="145"/>
      <c r="AF483" s="145"/>
      <c r="AG483" s="145"/>
      <c r="AH483" s="145"/>
      <c r="AI483" s="145"/>
      <c r="AJ483" s="145"/>
      <c r="AK483" s="145"/>
      <c r="AL483" s="145"/>
      <c r="AM483" s="145"/>
      <c r="AN483" s="145"/>
      <c r="AO483" s="145"/>
      <c r="AP483" s="145"/>
      <c r="AQ483" s="145"/>
      <c r="AR483" s="145"/>
      <c r="AS483" s="145"/>
      <c r="AT483" s="124"/>
      <c r="AU483" s="124"/>
      <c r="AV483" s="124"/>
      <c r="AW483" s="124"/>
      <c r="AX483" s="124"/>
      <c r="AY483" s="124"/>
      <c r="AZ483" s="124"/>
      <c r="BA483" s="124"/>
      <c r="BB483" s="88"/>
      <c r="BC483" s="88"/>
      <c r="BD483" s="88"/>
      <c r="BE483" s="88"/>
      <c r="BF483" s="88"/>
      <c r="BG483" s="88"/>
      <c r="BH483" s="88"/>
      <c r="BI483" s="88"/>
      <c r="BJ483" s="88"/>
      <c r="BK483" s="88"/>
      <c r="BL483" s="88"/>
      <c r="BM483" s="88"/>
      <c r="BN483" s="88"/>
      <c r="BO483" s="88"/>
      <c r="BP483" s="88"/>
      <c r="BQ483" s="88"/>
      <c r="BR483" s="88"/>
      <c r="BS483" s="88"/>
    </row>
    <row r="484">
      <c r="J484" s="73"/>
      <c r="K484" s="74"/>
      <c r="L484" s="74"/>
      <c r="M484" s="74"/>
      <c r="N484" s="74"/>
      <c r="S484" s="75"/>
      <c r="T484" s="145"/>
      <c r="U484" s="145"/>
      <c r="V484" s="145"/>
      <c r="W484" s="145"/>
      <c r="X484" s="145"/>
      <c r="Y484" s="145"/>
      <c r="Z484" s="145"/>
      <c r="AA484" s="145"/>
      <c r="AB484" s="145"/>
      <c r="AC484" s="145"/>
      <c r="AD484" s="145"/>
      <c r="AE484" s="145"/>
      <c r="AF484" s="145"/>
      <c r="AG484" s="145"/>
      <c r="AH484" s="145"/>
      <c r="AI484" s="145"/>
      <c r="AJ484" s="145"/>
      <c r="AK484" s="145"/>
      <c r="AL484" s="145"/>
      <c r="AM484" s="145"/>
      <c r="AN484" s="145"/>
      <c r="AO484" s="145"/>
      <c r="AP484" s="145"/>
      <c r="AQ484" s="145"/>
      <c r="AR484" s="145"/>
      <c r="AS484" s="145"/>
      <c r="AT484" s="124"/>
      <c r="AU484" s="124"/>
      <c r="AV484" s="124"/>
      <c r="AW484" s="124"/>
      <c r="AX484" s="124"/>
      <c r="AY484" s="124"/>
      <c r="AZ484" s="124"/>
      <c r="BA484" s="124"/>
      <c r="BB484" s="88"/>
      <c r="BC484" s="88"/>
      <c r="BD484" s="88"/>
      <c r="BE484" s="88"/>
      <c r="BF484" s="88"/>
      <c r="BG484" s="88"/>
      <c r="BH484" s="88"/>
      <c r="BI484" s="88"/>
      <c r="BJ484" s="88"/>
      <c r="BK484" s="88"/>
      <c r="BL484" s="88"/>
      <c r="BM484" s="88"/>
      <c r="BN484" s="88"/>
      <c r="BO484" s="88"/>
      <c r="BP484" s="88"/>
      <c r="BQ484" s="88"/>
      <c r="BR484" s="88"/>
      <c r="BS484" s="88"/>
    </row>
    <row r="485">
      <c r="J485" s="73"/>
      <c r="K485" s="74"/>
      <c r="L485" s="74"/>
      <c r="M485" s="74"/>
      <c r="N485" s="74"/>
      <c r="S485" s="75"/>
      <c r="T485" s="145"/>
      <c r="U485" s="145"/>
      <c r="V485" s="145"/>
      <c r="W485" s="145"/>
      <c r="X485" s="145"/>
      <c r="Y485" s="145"/>
      <c r="Z485" s="145"/>
      <c r="AA485" s="145"/>
      <c r="AB485" s="145"/>
      <c r="AC485" s="145"/>
      <c r="AD485" s="145"/>
      <c r="AE485" s="145"/>
      <c r="AF485" s="145"/>
      <c r="AG485" s="145"/>
      <c r="AH485" s="145"/>
      <c r="AI485" s="145"/>
      <c r="AJ485" s="145"/>
      <c r="AK485" s="145"/>
      <c r="AL485" s="145"/>
      <c r="AM485" s="145"/>
      <c r="AN485" s="145"/>
      <c r="AO485" s="145"/>
      <c r="AP485" s="145"/>
      <c r="AQ485" s="145"/>
      <c r="AR485" s="145"/>
      <c r="AS485" s="145"/>
      <c r="AT485" s="124"/>
      <c r="AU485" s="124"/>
      <c r="AV485" s="124"/>
      <c r="AW485" s="124"/>
      <c r="AX485" s="124"/>
      <c r="AY485" s="124"/>
      <c r="AZ485" s="124"/>
      <c r="BA485" s="124"/>
      <c r="BB485" s="88"/>
      <c r="BC485" s="88"/>
      <c r="BD485" s="88"/>
      <c r="BE485" s="88"/>
      <c r="BF485" s="88"/>
      <c r="BG485" s="88"/>
      <c r="BH485" s="88"/>
      <c r="BI485" s="88"/>
      <c r="BJ485" s="88"/>
      <c r="BK485" s="88"/>
      <c r="BL485" s="88"/>
      <c r="BM485" s="88"/>
      <c r="BN485" s="88"/>
      <c r="BO485" s="88"/>
      <c r="BP485" s="88"/>
      <c r="BQ485" s="88"/>
      <c r="BR485" s="88"/>
      <c r="BS485" s="88"/>
    </row>
    <row r="486">
      <c r="J486" s="73"/>
      <c r="K486" s="74"/>
      <c r="L486" s="74"/>
      <c r="M486" s="74"/>
      <c r="N486" s="74"/>
      <c r="S486" s="75"/>
      <c r="T486" s="145"/>
      <c r="U486" s="145"/>
      <c r="V486" s="145"/>
      <c r="W486" s="145"/>
      <c r="X486" s="145"/>
      <c r="Y486" s="145"/>
      <c r="Z486" s="145"/>
      <c r="AA486" s="145"/>
      <c r="AB486" s="145"/>
      <c r="AC486" s="145"/>
      <c r="AD486" s="145"/>
      <c r="AE486" s="145"/>
      <c r="AF486" s="145"/>
      <c r="AG486" s="145"/>
      <c r="AH486" s="145"/>
      <c r="AI486" s="145"/>
      <c r="AJ486" s="145"/>
      <c r="AK486" s="145"/>
      <c r="AL486" s="145"/>
      <c r="AM486" s="145"/>
      <c r="AN486" s="145"/>
      <c r="AO486" s="145"/>
      <c r="AP486" s="145"/>
      <c r="AQ486" s="145"/>
      <c r="AR486" s="145"/>
      <c r="AS486" s="145"/>
      <c r="AT486" s="124"/>
      <c r="AU486" s="124"/>
      <c r="AV486" s="124"/>
      <c r="AW486" s="124"/>
      <c r="AX486" s="124"/>
      <c r="AY486" s="124"/>
      <c r="AZ486" s="124"/>
      <c r="BA486" s="124"/>
      <c r="BB486" s="88"/>
      <c r="BC486" s="88"/>
      <c r="BD486" s="88"/>
      <c r="BE486" s="88"/>
      <c r="BF486" s="88"/>
      <c r="BG486" s="88"/>
      <c r="BH486" s="88"/>
      <c r="BI486" s="88"/>
      <c r="BJ486" s="88"/>
      <c r="BK486" s="88"/>
      <c r="BL486" s="88"/>
      <c r="BM486" s="88"/>
      <c r="BN486" s="88"/>
      <c r="BO486" s="88"/>
      <c r="BP486" s="88"/>
      <c r="BQ486" s="88"/>
      <c r="BR486" s="88"/>
      <c r="BS486" s="88"/>
    </row>
    <row r="487">
      <c r="J487" s="73"/>
      <c r="K487" s="74"/>
      <c r="L487" s="74"/>
      <c r="M487" s="74"/>
      <c r="N487" s="74"/>
      <c r="S487" s="75"/>
      <c r="T487" s="145"/>
      <c r="U487" s="145"/>
      <c r="V487" s="145"/>
      <c r="W487" s="145"/>
      <c r="X487" s="145"/>
      <c r="Y487" s="145"/>
      <c r="Z487" s="145"/>
      <c r="AA487" s="145"/>
      <c r="AB487" s="145"/>
      <c r="AC487" s="145"/>
      <c r="AD487" s="145"/>
      <c r="AE487" s="145"/>
      <c r="AF487" s="145"/>
      <c r="AG487" s="145"/>
      <c r="AH487" s="145"/>
      <c r="AI487" s="145"/>
      <c r="AJ487" s="145"/>
      <c r="AK487" s="145"/>
      <c r="AL487" s="145"/>
      <c r="AM487" s="145"/>
      <c r="AN487" s="145"/>
      <c r="AO487" s="145"/>
      <c r="AP487" s="145"/>
      <c r="AQ487" s="145"/>
      <c r="AR487" s="145"/>
      <c r="AS487" s="145"/>
      <c r="AT487" s="124"/>
      <c r="AU487" s="124"/>
      <c r="AV487" s="124"/>
      <c r="AW487" s="124"/>
      <c r="AX487" s="124"/>
      <c r="AY487" s="124"/>
      <c r="AZ487" s="124"/>
      <c r="BA487" s="124"/>
      <c r="BB487" s="88"/>
      <c r="BC487" s="88"/>
      <c r="BD487" s="88"/>
      <c r="BE487" s="88"/>
      <c r="BF487" s="88"/>
      <c r="BG487" s="88"/>
      <c r="BH487" s="88"/>
      <c r="BI487" s="88"/>
      <c r="BJ487" s="88"/>
      <c r="BK487" s="88"/>
      <c r="BL487" s="88"/>
      <c r="BM487" s="88"/>
      <c r="BN487" s="88"/>
      <c r="BO487" s="88"/>
      <c r="BP487" s="88"/>
      <c r="BQ487" s="88"/>
      <c r="BR487" s="88"/>
      <c r="BS487" s="88"/>
    </row>
    <row r="488">
      <c r="J488" s="73"/>
      <c r="K488" s="74"/>
      <c r="L488" s="74"/>
      <c r="M488" s="74"/>
      <c r="N488" s="74"/>
      <c r="S488" s="75"/>
      <c r="T488" s="145"/>
      <c r="U488" s="145"/>
      <c r="V488" s="145"/>
      <c r="W488" s="145"/>
      <c r="X488" s="145"/>
      <c r="Y488" s="145"/>
      <c r="Z488" s="145"/>
      <c r="AA488" s="145"/>
      <c r="AB488" s="145"/>
      <c r="AC488" s="145"/>
      <c r="AD488" s="145"/>
      <c r="AE488" s="145"/>
      <c r="AF488" s="145"/>
      <c r="AG488" s="145"/>
      <c r="AH488" s="145"/>
      <c r="AI488" s="145"/>
      <c r="AJ488" s="145"/>
      <c r="AK488" s="145"/>
      <c r="AL488" s="145"/>
      <c r="AM488" s="145"/>
      <c r="AN488" s="145"/>
      <c r="AO488" s="145"/>
      <c r="AP488" s="145"/>
      <c r="AQ488" s="145"/>
      <c r="AR488" s="145"/>
      <c r="AS488" s="145"/>
      <c r="AT488" s="124"/>
      <c r="AU488" s="124"/>
      <c r="AV488" s="124"/>
      <c r="AW488" s="124"/>
      <c r="AX488" s="124"/>
      <c r="AY488" s="124"/>
      <c r="AZ488" s="124"/>
      <c r="BA488" s="124"/>
      <c r="BB488" s="88"/>
      <c r="BC488" s="88"/>
      <c r="BD488" s="88"/>
      <c r="BE488" s="88"/>
      <c r="BF488" s="88"/>
      <c r="BG488" s="88"/>
      <c r="BH488" s="88"/>
      <c r="BI488" s="88"/>
      <c r="BJ488" s="88"/>
      <c r="BK488" s="88"/>
      <c r="BL488" s="88"/>
      <c r="BM488" s="88"/>
      <c r="BN488" s="88"/>
      <c r="BO488" s="88"/>
      <c r="BP488" s="88"/>
      <c r="BQ488" s="88"/>
      <c r="BR488" s="88"/>
      <c r="BS488" s="88"/>
    </row>
    <row r="489">
      <c r="J489" s="73"/>
      <c r="K489" s="74"/>
      <c r="L489" s="74"/>
      <c r="M489" s="74"/>
      <c r="N489" s="74"/>
      <c r="S489" s="75"/>
      <c r="T489" s="145"/>
      <c r="U489" s="145"/>
      <c r="V489" s="145"/>
      <c r="W489" s="145"/>
      <c r="X489" s="145"/>
      <c r="Y489" s="145"/>
      <c r="Z489" s="145"/>
      <c r="AA489" s="145"/>
      <c r="AB489" s="145"/>
      <c r="AC489" s="145"/>
      <c r="AD489" s="145"/>
      <c r="AE489" s="145"/>
      <c r="AF489" s="145"/>
      <c r="AG489" s="145"/>
      <c r="AH489" s="145"/>
      <c r="AI489" s="145"/>
      <c r="AJ489" s="145"/>
      <c r="AK489" s="145"/>
      <c r="AL489" s="145"/>
      <c r="AM489" s="145"/>
      <c r="AN489" s="145"/>
      <c r="AO489" s="145"/>
      <c r="AP489" s="145"/>
      <c r="AQ489" s="145"/>
      <c r="AR489" s="145"/>
      <c r="AS489" s="145"/>
      <c r="AT489" s="124"/>
      <c r="AU489" s="124"/>
      <c r="AV489" s="124"/>
      <c r="AW489" s="124"/>
      <c r="AX489" s="124"/>
      <c r="AY489" s="124"/>
      <c r="AZ489" s="124"/>
      <c r="BA489" s="124"/>
      <c r="BB489" s="88"/>
      <c r="BC489" s="88"/>
      <c r="BD489" s="88"/>
      <c r="BE489" s="88"/>
      <c r="BF489" s="88"/>
      <c r="BG489" s="88"/>
      <c r="BH489" s="88"/>
      <c r="BI489" s="88"/>
      <c r="BJ489" s="88"/>
      <c r="BK489" s="88"/>
      <c r="BL489" s="88"/>
      <c r="BM489" s="88"/>
      <c r="BN489" s="88"/>
      <c r="BO489" s="88"/>
      <c r="BP489" s="88"/>
      <c r="BQ489" s="88"/>
      <c r="BR489" s="88"/>
      <c r="BS489" s="88"/>
    </row>
    <row r="490">
      <c r="J490" s="73"/>
      <c r="K490" s="74"/>
      <c r="L490" s="74"/>
      <c r="M490" s="74"/>
      <c r="N490" s="74"/>
      <c r="S490" s="75"/>
      <c r="T490" s="145"/>
      <c r="U490" s="145"/>
      <c r="V490" s="145"/>
      <c r="W490" s="145"/>
      <c r="X490" s="145"/>
      <c r="Y490" s="145"/>
      <c r="Z490" s="145"/>
      <c r="AA490" s="145"/>
      <c r="AB490" s="145"/>
      <c r="AC490" s="145"/>
      <c r="AD490" s="145"/>
      <c r="AE490" s="145"/>
      <c r="AF490" s="145"/>
      <c r="AG490" s="145"/>
      <c r="AH490" s="145"/>
      <c r="AI490" s="145"/>
      <c r="AJ490" s="145"/>
      <c r="AK490" s="145"/>
      <c r="AL490" s="145"/>
      <c r="AM490" s="145"/>
      <c r="AN490" s="145"/>
      <c r="AO490" s="145"/>
      <c r="AP490" s="145"/>
      <c r="AQ490" s="145"/>
      <c r="AR490" s="145"/>
      <c r="AS490" s="145"/>
      <c r="AT490" s="124"/>
      <c r="AU490" s="124"/>
      <c r="AV490" s="124"/>
      <c r="AW490" s="124"/>
      <c r="AX490" s="124"/>
      <c r="AY490" s="124"/>
      <c r="AZ490" s="124"/>
      <c r="BA490" s="124"/>
      <c r="BB490" s="88"/>
      <c r="BC490" s="88"/>
      <c r="BD490" s="88"/>
      <c r="BE490" s="88"/>
      <c r="BF490" s="88"/>
      <c r="BG490" s="88"/>
      <c r="BH490" s="88"/>
      <c r="BI490" s="88"/>
      <c r="BJ490" s="88"/>
      <c r="BK490" s="88"/>
      <c r="BL490" s="88"/>
      <c r="BM490" s="88"/>
      <c r="BN490" s="88"/>
      <c r="BO490" s="88"/>
      <c r="BP490" s="88"/>
      <c r="BQ490" s="88"/>
      <c r="BR490" s="88"/>
      <c r="BS490" s="88"/>
    </row>
    <row r="491">
      <c r="J491" s="73"/>
      <c r="K491" s="74"/>
      <c r="L491" s="74"/>
      <c r="M491" s="74"/>
      <c r="N491" s="74"/>
      <c r="S491" s="75"/>
      <c r="T491" s="145"/>
      <c r="U491" s="145"/>
      <c r="V491" s="145"/>
      <c r="W491" s="145"/>
      <c r="X491" s="145"/>
      <c r="Y491" s="145"/>
      <c r="Z491" s="145"/>
      <c r="AA491" s="145"/>
      <c r="AB491" s="145"/>
      <c r="AC491" s="145"/>
      <c r="AD491" s="145"/>
      <c r="AE491" s="145"/>
      <c r="AF491" s="145"/>
      <c r="AG491" s="145"/>
      <c r="AH491" s="145"/>
      <c r="AI491" s="145"/>
      <c r="AJ491" s="145"/>
      <c r="AK491" s="145"/>
      <c r="AL491" s="145"/>
      <c r="AM491" s="145"/>
      <c r="AN491" s="145"/>
      <c r="AO491" s="145"/>
      <c r="AP491" s="145"/>
      <c r="AQ491" s="145"/>
      <c r="AR491" s="145"/>
      <c r="AS491" s="145"/>
      <c r="AT491" s="124"/>
      <c r="AU491" s="124"/>
      <c r="AV491" s="124"/>
      <c r="AW491" s="124"/>
      <c r="AX491" s="124"/>
      <c r="AY491" s="124"/>
      <c r="AZ491" s="124"/>
      <c r="BA491" s="124"/>
      <c r="BB491" s="88"/>
      <c r="BC491" s="88"/>
      <c r="BD491" s="88"/>
      <c r="BE491" s="88"/>
      <c r="BF491" s="88"/>
      <c r="BG491" s="88"/>
      <c r="BH491" s="88"/>
      <c r="BI491" s="88"/>
      <c r="BJ491" s="88"/>
      <c r="BK491" s="88"/>
      <c r="BL491" s="88"/>
      <c r="BM491" s="88"/>
      <c r="BN491" s="88"/>
      <c r="BO491" s="88"/>
      <c r="BP491" s="88"/>
      <c r="BQ491" s="88"/>
      <c r="BR491" s="88"/>
      <c r="BS491" s="88"/>
    </row>
    <row r="492">
      <c r="J492" s="73"/>
      <c r="K492" s="74"/>
      <c r="L492" s="74"/>
      <c r="M492" s="74"/>
      <c r="N492" s="74"/>
      <c r="S492" s="75"/>
      <c r="T492" s="145"/>
      <c r="U492" s="145"/>
      <c r="V492" s="145"/>
      <c r="W492" s="145"/>
      <c r="X492" s="145"/>
      <c r="Y492" s="145"/>
      <c r="Z492" s="145"/>
      <c r="AA492" s="145"/>
      <c r="AB492" s="145"/>
      <c r="AC492" s="145"/>
      <c r="AD492" s="145"/>
      <c r="AE492" s="145"/>
      <c r="AF492" s="145"/>
      <c r="AG492" s="145"/>
      <c r="AH492" s="145"/>
      <c r="AI492" s="145"/>
      <c r="AJ492" s="145"/>
      <c r="AK492" s="145"/>
      <c r="AL492" s="145"/>
      <c r="AM492" s="145"/>
      <c r="AN492" s="145"/>
      <c r="AO492" s="145"/>
      <c r="AP492" s="145"/>
      <c r="AQ492" s="145"/>
      <c r="AR492" s="145"/>
      <c r="AS492" s="145"/>
      <c r="AT492" s="124"/>
      <c r="AU492" s="124"/>
      <c r="AV492" s="124"/>
      <c r="AW492" s="124"/>
      <c r="AX492" s="124"/>
      <c r="AY492" s="124"/>
      <c r="AZ492" s="124"/>
      <c r="BA492" s="124"/>
      <c r="BB492" s="88"/>
      <c r="BC492" s="88"/>
      <c r="BD492" s="88"/>
      <c r="BE492" s="88"/>
      <c r="BF492" s="88"/>
      <c r="BG492" s="88"/>
      <c r="BH492" s="88"/>
      <c r="BI492" s="88"/>
      <c r="BJ492" s="88"/>
      <c r="BK492" s="88"/>
      <c r="BL492" s="88"/>
      <c r="BM492" s="88"/>
      <c r="BN492" s="88"/>
      <c r="BO492" s="88"/>
      <c r="BP492" s="88"/>
      <c r="BQ492" s="88"/>
      <c r="BR492" s="88"/>
      <c r="BS492" s="88"/>
    </row>
    <row r="493">
      <c r="J493" s="73"/>
      <c r="K493" s="74"/>
      <c r="L493" s="74"/>
      <c r="M493" s="74"/>
      <c r="N493" s="74"/>
      <c r="S493" s="75"/>
      <c r="T493" s="145"/>
      <c r="U493" s="145"/>
      <c r="V493" s="145"/>
      <c r="W493" s="145"/>
      <c r="X493" s="145"/>
      <c r="Y493" s="145"/>
      <c r="Z493" s="145"/>
      <c r="AA493" s="145"/>
      <c r="AB493" s="145"/>
      <c r="AC493" s="145"/>
      <c r="AD493" s="145"/>
      <c r="AE493" s="145"/>
      <c r="AF493" s="145"/>
      <c r="AG493" s="145"/>
      <c r="AH493" s="145"/>
      <c r="AI493" s="145"/>
      <c r="AJ493" s="145"/>
      <c r="AK493" s="145"/>
      <c r="AL493" s="145"/>
      <c r="AM493" s="145"/>
      <c r="AN493" s="145"/>
      <c r="AO493" s="145"/>
      <c r="AP493" s="145"/>
      <c r="AQ493" s="145"/>
      <c r="AR493" s="145"/>
      <c r="AS493" s="145"/>
      <c r="AT493" s="124"/>
      <c r="AU493" s="124"/>
      <c r="AV493" s="124"/>
      <c r="AW493" s="124"/>
      <c r="AX493" s="124"/>
      <c r="AY493" s="124"/>
      <c r="AZ493" s="124"/>
      <c r="BA493" s="124"/>
      <c r="BB493" s="88"/>
      <c r="BC493" s="88"/>
      <c r="BD493" s="88"/>
      <c r="BE493" s="88"/>
      <c r="BF493" s="88"/>
      <c r="BG493" s="88"/>
      <c r="BH493" s="88"/>
      <c r="BI493" s="88"/>
      <c r="BJ493" s="88"/>
      <c r="BK493" s="88"/>
      <c r="BL493" s="88"/>
      <c r="BM493" s="88"/>
      <c r="BN493" s="88"/>
      <c r="BO493" s="88"/>
      <c r="BP493" s="88"/>
      <c r="BQ493" s="88"/>
      <c r="BR493" s="88"/>
      <c r="BS493" s="88"/>
    </row>
    <row r="494">
      <c r="J494" s="73"/>
      <c r="K494" s="74"/>
      <c r="L494" s="74"/>
      <c r="M494" s="74"/>
      <c r="N494" s="74"/>
      <c r="S494" s="75"/>
      <c r="T494" s="145"/>
      <c r="U494" s="145"/>
      <c r="V494" s="145"/>
      <c r="W494" s="145"/>
      <c r="X494" s="145"/>
      <c r="Y494" s="145"/>
      <c r="Z494" s="145"/>
      <c r="AA494" s="145"/>
      <c r="AB494" s="145"/>
      <c r="AC494" s="145"/>
      <c r="AD494" s="145"/>
      <c r="AE494" s="145"/>
      <c r="AF494" s="145"/>
      <c r="AG494" s="145"/>
      <c r="AH494" s="145"/>
      <c r="AI494" s="145"/>
      <c r="AJ494" s="145"/>
      <c r="AK494" s="145"/>
      <c r="AL494" s="145"/>
      <c r="AM494" s="145"/>
      <c r="AN494" s="145"/>
      <c r="AO494" s="145"/>
      <c r="AP494" s="145"/>
      <c r="AQ494" s="145"/>
      <c r="AR494" s="145"/>
      <c r="AS494" s="145"/>
      <c r="AT494" s="124"/>
      <c r="AU494" s="124"/>
      <c r="AV494" s="124"/>
      <c r="AW494" s="124"/>
      <c r="AX494" s="124"/>
      <c r="AY494" s="124"/>
      <c r="AZ494" s="124"/>
      <c r="BA494" s="124"/>
      <c r="BB494" s="88"/>
      <c r="BC494" s="88"/>
      <c r="BD494" s="88"/>
      <c r="BE494" s="88"/>
      <c r="BF494" s="88"/>
      <c r="BG494" s="88"/>
      <c r="BH494" s="88"/>
      <c r="BI494" s="88"/>
      <c r="BJ494" s="88"/>
      <c r="BK494" s="88"/>
      <c r="BL494" s="88"/>
      <c r="BM494" s="88"/>
      <c r="BN494" s="88"/>
      <c r="BO494" s="88"/>
      <c r="BP494" s="88"/>
      <c r="BQ494" s="88"/>
      <c r="BR494" s="88"/>
      <c r="BS494" s="88"/>
    </row>
    <row r="495">
      <c r="J495" s="73"/>
      <c r="K495" s="74"/>
      <c r="L495" s="74"/>
      <c r="M495" s="74"/>
      <c r="N495" s="74"/>
      <c r="S495" s="75"/>
      <c r="T495" s="145"/>
      <c r="U495" s="145"/>
      <c r="V495" s="145"/>
      <c r="W495" s="145"/>
      <c r="X495" s="145"/>
      <c r="Y495" s="145"/>
      <c r="Z495" s="145"/>
      <c r="AA495" s="145"/>
      <c r="AB495" s="145"/>
      <c r="AC495" s="145"/>
      <c r="AD495" s="145"/>
      <c r="AE495" s="145"/>
      <c r="AF495" s="145"/>
      <c r="AG495" s="145"/>
      <c r="AH495" s="145"/>
      <c r="AI495" s="145"/>
      <c r="AJ495" s="145"/>
      <c r="AK495" s="145"/>
      <c r="AL495" s="145"/>
      <c r="AM495" s="145"/>
      <c r="AN495" s="145"/>
      <c r="AO495" s="145"/>
      <c r="AP495" s="145"/>
      <c r="AQ495" s="145"/>
      <c r="AR495" s="145"/>
      <c r="AS495" s="145"/>
      <c r="AT495" s="124"/>
      <c r="AU495" s="124"/>
      <c r="AV495" s="124"/>
      <c r="AW495" s="124"/>
      <c r="AX495" s="124"/>
      <c r="AY495" s="124"/>
      <c r="AZ495" s="124"/>
      <c r="BA495" s="124"/>
      <c r="BB495" s="88"/>
      <c r="BC495" s="88"/>
      <c r="BD495" s="88"/>
      <c r="BE495" s="88"/>
      <c r="BF495" s="88"/>
      <c r="BG495" s="88"/>
      <c r="BH495" s="88"/>
      <c r="BI495" s="88"/>
      <c r="BJ495" s="88"/>
      <c r="BK495" s="88"/>
      <c r="BL495" s="88"/>
      <c r="BM495" s="88"/>
      <c r="BN495" s="88"/>
      <c r="BO495" s="88"/>
      <c r="BP495" s="88"/>
      <c r="BQ495" s="88"/>
      <c r="BR495" s="88"/>
      <c r="BS495" s="88"/>
    </row>
    <row r="496">
      <c r="J496" s="73"/>
      <c r="K496" s="74"/>
      <c r="L496" s="74"/>
      <c r="M496" s="74"/>
      <c r="N496" s="74"/>
      <c r="S496" s="75"/>
      <c r="T496" s="145"/>
      <c r="U496" s="145"/>
      <c r="V496" s="145"/>
      <c r="W496" s="145"/>
      <c r="X496" s="145"/>
      <c r="Y496" s="145"/>
      <c r="Z496" s="145"/>
      <c r="AA496" s="145"/>
      <c r="AB496" s="145"/>
      <c r="AC496" s="145"/>
      <c r="AD496" s="145"/>
      <c r="AE496" s="145"/>
      <c r="AF496" s="145"/>
      <c r="AG496" s="145"/>
      <c r="AH496" s="145"/>
      <c r="AI496" s="145"/>
      <c r="AJ496" s="145"/>
      <c r="AK496" s="145"/>
      <c r="AL496" s="145"/>
      <c r="AM496" s="145"/>
      <c r="AN496" s="145"/>
      <c r="AO496" s="145"/>
      <c r="AP496" s="145"/>
      <c r="AQ496" s="145"/>
      <c r="AR496" s="145"/>
      <c r="AS496" s="145"/>
      <c r="AT496" s="124"/>
      <c r="AU496" s="124"/>
      <c r="AV496" s="124"/>
      <c r="AW496" s="124"/>
      <c r="AX496" s="124"/>
      <c r="AY496" s="124"/>
      <c r="AZ496" s="124"/>
      <c r="BA496" s="124"/>
      <c r="BB496" s="88"/>
      <c r="BC496" s="88"/>
      <c r="BD496" s="88"/>
      <c r="BE496" s="88"/>
      <c r="BF496" s="88"/>
      <c r="BG496" s="88"/>
      <c r="BH496" s="88"/>
      <c r="BI496" s="88"/>
      <c r="BJ496" s="88"/>
      <c r="BK496" s="88"/>
      <c r="BL496" s="88"/>
      <c r="BM496" s="88"/>
      <c r="BN496" s="88"/>
      <c r="BO496" s="88"/>
      <c r="BP496" s="88"/>
      <c r="BQ496" s="88"/>
      <c r="BR496" s="88"/>
      <c r="BS496" s="88"/>
    </row>
    <row r="497">
      <c r="J497" s="73"/>
      <c r="K497" s="74"/>
      <c r="L497" s="74"/>
      <c r="M497" s="74"/>
      <c r="N497" s="74"/>
      <c r="S497" s="75"/>
      <c r="T497" s="145"/>
      <c r="U497" s="145"/>
      <c r="V497" s="145"/>
      <c r="W497" s="145"/>
      <c r="X497" s="145"/>
      <c r="Y497" s="145"/>
      <c r="Z497" s="145"/>
      <c r="AA497" s="145"/>
      <c r="AB497" s="145"/>
      <c r="AC497" s="145"/>
      <c r="AD497" s="145"/>
      <c r="AE497" s="145"/>
      <c r="AF497" s="145"/>
      <c r="AG497" s="145"/>
      <c r="AH497" s="145"/>
      <c r="AI497" s="145"/>
      <c r="AJ497" s="145"/>
      <c r="AK497" s="145"/>
      <c r="AL497" s="145"/>
      <c r="AM497" s="145"/>
      <c r="AN497" s="145"/>
      <c r="AO497" s="145"/>
      <c r="AP497" s="145"/>
      <c r="AQ497" s="145"/>
      <c r="AR497" s="145"/>
      <c r="AS497" s="145"/>
      <c r="AT497" s="124"/>
      <c r="AU497" s="124"/>
      <c r="AV497" s="124"/>
      <c r="AW497" s="124"/>
      <c r="AX497" s="124"/>
      <c r="AY497" s="124"/>
      <c r="AZ497" s="124"/>
      <c r="BA497" s="124"/>
      <c r="BB497" s="88"/>
      <c r="BC497" s="88"/>
      <c r="BD497" s="88"/>
      <c r="BE497" s="88"/>
      <c r="BF497" s="88"/>
      <c r="BG497" s="88"/>
      <c r="BH497" s="88"/>
      <c r="BI497" s="88"/>
      <c r="BJ497" s="88"/>
      <c r="BK497" s="88"/>
      <c r="BL497" s="88"/>
      <c r="BM497" s="88"/>
      <c r="BN497" s="88"/>
      <c r="BO497" s="88"/>
      <c r="BP497" s="88"/>
      <c r="BQ497" s="88"/>
      <c r="BR497" s="88"/>
      <c r="BS497" s="88"/>
    </row>
    <row r="498">
      <c r="J498" s="73"/>
      <c r="K498" s="74"/>
      <c r="L498" s="74"/>
      <c r="M498" s="74"/>
      <c r="N498" s="74"/>
      <c r="S498" s="75"/>
      <c r="T498" s="145"/>
      <c r="U498" s="145"/>
      <c r="V498" s="145"/>
      <c r="W498" s="145"/>
      <c r="X498" s="145"/>
      <c r="Y498" s="145"/>
      <c r="Z498" s="145"/>
      <c r="AA498" s="145"/>
      <c r="AB498" s="145"/>
      <c r="AC498" s="145"/>
      <c r="AD498" s="145"/>
      <c r="AE498" s="145"/>
      <c r="AF498" s="145"/>
      <c r="AG498" s="145"/>
      <c r="AH498" s="145"/>
      <c r="AI498" s="145"/>
      <c r="AJ498" s="145"/>
      <c r="AK498" s="145"/>
      <c r="AL498" s="145"/>
      <c r="AM498" s="145"/>
      <c r="AN498" s="145"/>
      <c r="AO498" s="145"/>
      <c r="AP498" s="145"/>
      <c r="AQ498" s="145"/>
      <c r="AR498" s="145"/>
      <c r="AS498" s="145"/>
      <c r="AT498" s="124"/>
      <c r="AU498" s="124"/>
      <c r="AV498" s="124"/>
      <c r="AW498" s="124"/>
      <c r="AX498" s="124"/>
      <c r="AY498" s="124"/>
      <c r="AZ498" s="124"/>
      <c r="BA498" s="124"/>
      <c r="BB498" s="88"/>
      <c r="BC498" s="88"/>
      <c r="BD498" s="88"/>
      <c r="BE498" s="88"/>
      <c r="BF498" s="88"/>
      <c r="BG498" s="88"/>
      <c r="BH498" s="88"/>
      <c r="BI498" s="88"/>
      <c r="BJ498" s="88"/>
      <c r="BK498" s="88"/>
      <c r="BL498" s="88"/>
      <c r="BM498" s="88"/>
      <c r="BN498" s="88"/>
      <c r="BO498" s="88"/>
      <c r="BP498" s="88"/>
      <c r="BQ498" s="88"/>
      <c r="BR498" s="88"/>
      <c r="BS498" s="88"/>
    </row>
    <row r="499">
      <c r="J499" s="73"/>
      <c r="K499" s="74"/>
      <c r="L499" s="74"/>
      <c r="M499" s="74"/>
      <c r="N499" s="74"/>
      <c r="S499" s="75"/>
      <c r="T499" s="145"/>
      <c r="U499" s="145"/>
      <c r="V499" s="145"/>
      <c r="W499" s="145"/>
      <c r="X499" s="145"/>
      <c r="Y499" s="145"/>
      <c r="Z499" s="145"/>
      <c r="AA499" s="145"/>
      <c r="AB499" s="145"/>
      <c r="AC499" s="145"/>
      <c r="AD499" s="145"/>
      <c r="AE499" s="145"/>
      <c r="AF499" s="145"/>
      <c r="AG499" s="145"/>
      <c r="AH499" s="145"/>
      <c r="AI499" s="145"/>
      <c r="AJ499" s="145"/>
      <c r="AK499" s="145"/>
      <c r="AL499" s="145"/>
      <c r="AM499" s="145"/>
      <c r="AN499" s="145"/>
      <c r="AO499" s="145"/>
      <c r="AP499" s="145"/>
      <c r="AQ499" s="145"/>
      <c r="AR499" s="145"/>
      <c r="AS499" s="145"/>
      <c r="AT499" s="124"/>
      <c r="AU499" s="124"/>
      <c r="AV499" s="124"/>
      <c r="AW499" s="124"/>
      <c r="AX499" s="124"/>
      <c r="AY499" s="124"/>
      <c r="AZ499" s="124"/>
      <c r="BA499" s="124"/>
      <c r="BB499" s="88"/>
      <c r="BC499" s="88"/>
      <c r="BD499" s="88"/>
      <c r="BE499" s="88"/>
      <c r="BF499" s="88"/>
      <c r="BG499" s="88"/>
      <c r="BH499" s="88"/>
      <c r="BI499" s="88"/>
      <c r="BJ499" s="88"/>
      <c r="BK499" s="88"/>
      <c r="BL499" s="88"/>
      <c r="BM499" s="88"/>
      <c r="BN499" s="88"/>
      <c r="BO499" s="88"/>
      <c r="BP499" s="88"/>
      <c r="BQ499" s="88"/>
      <c r="BR499" s="88"/>
      <c r="BS499" s="88"/>
    </row>
    <row r="500">
      <c r="J500" s="73"/>
      <c r="K500" s="74"/>
      <c r="L500" s="74"/>
      <c r="M500" s="74"/>
      <c r="N500" s="74"/>
      <c r="S500" s="75"/>
      <c r="T500" s="145"/>
      <c r="U500" s="145"/>
      <c r="V500" s="145"/>
      <c r="W500" s="145"/>
      <c r="X500" s="145"/>
      <c r="Y500" s="145"/>
      <c r="Z500" s="145"/>
      <c r="AA500" s="145"/>
      <c r="AB500" s="145"/>
      <c r="AC500" s="145"/>
      <c r="AD500" s="145"/>
      <c r="AE500" s="145"/>
      <c r="AF500" s="145"/>
      <c r="AG500" s="145"/>
      <c r="AH500" s="145"/>
      <c r="AI500" s="145"/>
      <c r="AJ500" s="145"/>
      <c r="AK500" s="145"/>
      <c r="AL500" s="145"/>
      <c r="AM500" s="145"/>
      <c r="AN500" s="145"/>
      <c r="AO500" s="145"/>
      <c r="AP500" s="145"/>
      <c r="AQ500" s="145"/>
      <c r="AR500" s="145"/>
      <c r="AS500" s="145"/>
      <c r="AT500" s="124"/>
      <c r="AU500" s="124"/>
      <c r="AV500" s="124"/>
      <c r="AW500" s="124"/>
      <c r="AX500" s="124"/>
      <c r="AY500" s="124"/>
      <c r="AZ500" s="124"/>
      <c r="BA500" s="124"/>
      <c r="BB500" s="88"/>
      <c r="BC500" s="88"/>
      <c r="BD500" s="88"/>
      <c r="BE500" s="88"/>
      <c r="BF500" s="88"/>
      <c r="BG500" s="88"/>
      <c r="BH500" s="88"/>
      <c r="BI500" s="88"/>
      <c r="BJ500" s="88"/>
      <c r="BK500" s="88"/>
      <c r="BL500" s="88"/>
      <c r="BM500" s="88"/>
      <c r="BN500" s="88"/>
      <c r="BO500" s="88"/>
      <c r="BP500" s="88"/>
      <c r="BQ500" s="88"/>
      <c r="BR500" s="88"/>
      <c r="BS500" s="88"/>
    </row>
    <row r="501">
      <c r="J501" s="73"/>
      <c r="K501" s="74"/>
      <c r="L501" s="74"/>
      <c r="M501" s="74"/>
      <c r="N501" s="74"/>
      <c r="S501" s="75"/>
      <c r="T501" s="145"/>
      <c r="U501" s="145"/>
      <c r="V501" s="145"/>
      <c r="W501" s="145"/>
      <c r="X501" s="145"/>
      <c r="Y501" s="145"/>
      <c r="Z501" s="145"/>
      <c r="AA501" s="145"/>
      <c r="AB501" s="145"/>
      <c r="AC501" s="145"/>
      <c r="AD501" s="145"/>
      <c r="AE501" s="145"/>
      <c r="AF501" s="145"/>
      <c r="AG501" s="145"/>
      <c r="AH501" s="145"/>
      <c r="AI501" s="145"/>
      <c r="AJ501" s="145"/>
      <c r="AK501" s="145"/>
      <c r="AL501" s="145"/>
      <c r="AM501" s="145"/>
      <c r="AN501" s="145"/>
      <c r="AO501" s="145"/>
      <c r="AP501" s="145"/>
      <c r="AQ501" s="145"/>
      <c r="AR501" s="145"/>
      <c r="AS501" s="145"/>
      <c r="AT501" s="124"/>
      <c r="AU501" s="124"/>
      <c r="AV501" s="124"/>
      <c r="AW501" s="124"/>
      <c r="AX501" s="124"/>
      <c r="AY501" s="124"/>
      <c r="AZ501" s="124"/>
      <c r="BA501" s="124"/>
      <c r="BB501" s="88"/>
      <c r="BC501" s="88"/>
      <c r="BD501" s="88"/>
      <c r="BE501" s="88"/>
      <c r="BF501" s="88"/>
      <c r="BG501" s="88"/>
      <c r="BH501" s="88"/>
      <c r="BI501" s="88"/>
      <c r="BJ501" s="88"/>
      <c r="BK501" s="88"/>
      <c r="BL501" s="88"/>
      <c r="BM501" s="88"/>
      <c r="BN501" s="88"/>
      <c r="BO501" s="88"/>
      <c r="BP501" s="88"/>
      <c r="BQ501" s="88"/>
      <c r="BR501" s="88"/>
      <c r="BS501" s="88"/>
    </row>
    <row r="502">
      <c r="J502" s="73"/>
      <c r="K502" s="74"/>
      <c r="L502" s="74"/>
      <c r="M502" s="74"/>
      <c r="N502" s="74"/>
      <c r="S502" s="75"/>
      <c r="T502" s="145"/>
      <c r="U502" s="145"/>
      <c r="V502" s="145"/>
      <c r="W502" s="145"/>
      <c r="X502" s="145"/>
      <c r="Y502" s="145"/>
      <c r="Z502" s="145"/>
      <c r="AA502" s="145"/>
      <c r="AB502" s="145"/>
      <c r="AC502" s="145"/>
      <c r="AD502" s="145"/>
      <c r="AE502" s="145"/>
      <c r="AF502" s="145"/>
      <c r="AG502" s="145"/>
      <c r="AH502" s="145"/>
      <c r="AI502" s="145"/>
      <c r="AJ502" s="145"/>
      <c r="AK502" s="145"/>
      <c r="AL502" s="145"/>
      <c r="AM502" s="145"/>
      <c r="AN502" s="145"/>
      <c r="AO502" s="145"/>
      <c r="AP502" s="145"/>
      <c r="AQ502" s="145"/>
      <c r="AR502" s="145"/>
      <c r="AS502" s="145"/>
      <c r="AT502" s="124"/>
      <c r="AU502" s="124"/>
      <c r="AV502" s="124"/>
      <c r="AW502" s="124"/>
      <c r="AX502" s="124"/>
      <c r="AY502" s="124"/>
      <c r="AZ502" s="124"/>
      <c r="BA502" s="124"/>
      <c r="BB502" s="88"/>
      <c r="BC502" s="88"/>
      <c r="BD502" s="88"/>
      <c r="BE502" s="88"/>
      <c r="BF502" s="88"/>
      <c r="BG502" s="88"/>
      <c r="BH502" s="88"/>
      <c r="BI502" s="88"/>
      <c r="BJ502" s="88"/>
      <c r="BK502" s="88"/>
      <c r="BL502" s="88"/>
      <c r="BM502" s="88"/>
      <c r="BN502" s="88"/>
      <c r="BO502" s="88"/>
      <c r="BP502" s="88"/>
      <c r="BQ502" s="88"/>
      <c r="BR502" s="88"/>
      <c r="BS502" s="88"/>
    </row>
    <row r="503">
      <c r="J503" s="73"/>
      <c r="K503" s="74"/>
      <c r="L503" s="74"/>
      <c r="M503" s="74"/>
      <c r="N503" s="74"/>
      <c r="S503" s="75"/>
      <c r="T503" s="145"/>
      <c r="U503" s="145"/>
      <c r="V503" s="145"/>
      <c r="W503" s="145"/>
      <c r="X503" s="145"/>
      <c r="Y503" s="145"/>
      <c r="Z503" s="145"/>
      <c r="AA503" s="145"/>
      <c r="AB503" s="145"/>
      <c r="AC503" s="145"/>
      <c r="AD503" s="145"/>
      <c r="AE503" s="145"/>
      <c r="AF503" s="145"/>
      <c r="AG503" s="145"/>
      <c r="AH503" s="145"/>
      <c r="AI503" s="145"/>
      <c r="AJ503" s="145"/>
      <c r="AK503" s="145"/>
      <c r="AL503" s="145"/>
      <c r="AM503" s="145"/>
      <c r="AN503" s="145"/>
      <c r="AO503" s="145"/>
      <c r="AP503" s="145"/>
      <c r="AQ503" s="145"/>
      <c r="AR503" s="145"/>
      <c r="AS503" s="145"/>
      <c r="AT503" s="124"/>
      <c r="AU503" s="124"/>
      <c r="AV503" s="124"/>
      <c r="AW503" s="124"/>
      <c r="AX503" s="124"/>
      <c r="AY503" s="124"/>
      <c r="AZ503" s="124"/>
      <c r="BA503" s="124"/>
      <c r="BB503" s="88"/>
      <c r="BC503" s="88"/>
      <c r="BD503" s="88"/>
      <c r="BE503" s="88"/>
      <c r="BF503" s="88"/>
      <c r="BG503" s="88"/>
      <c r="BH503" s="88"/>
      <c r="BI503" s="88"/>
      <c r="BJ503" s="88"/>
      <c r="BK503" s="88"/>
      <c r="BL503" s="88"/>
      <c r="BM503" s="88"/>
      <c r="BN503" s="88"/>
      <c r="BO503" s="88"/>
      <c r="BP503" s="88"/>
      <c r="BQ503" s="88"/>
      <c r="BR503" s="88"/>
      <c r="BS503" s="88"/>
    </row>
    <row r="504">
      <c r="J504" s="73"/>
      <c r="K504" s="74"/>
      <c r="L504" s="74"/>
      <c r="M504" s="74"/>
      <c r="N504" s="74"/>
      <c r="S504" s="75"/>
      <c r="T504" s="145"/>
      <c r="U504" s="145"/>
      <c r="V504" s="145"/>
      <c r="W504" s="145"/>
      <c r="X504" s="145"/>
      <c r="Y504" s="145"/>
      <c r="Z504" s="145"/>
      <c r="AA504" s="145"/>
      <c r="AB504" s="145"/>
      <c r="AC504" s="145"/>
      <c r="AD504" s="145"/>
      <c r="AE504" s="145"/>
      <c r="AF504" s="145"/>
      <c r="AG504" s="145"/>
      <c r="AH504" s="145"/>
      <c r="AI504" s="145"/>
      <c r="AJ504" s="145"/>
      <c r="AK504" s="145"/>
      <c r="AL504" s="145"/>
      <c r="AM504" s="145"/>
      <c r="AN504" s="145"/>
      <c r="AO504" s="145"/>
      <c r="AP504" s="145"/>
      <c r="AQ504" s="145"/>
      <c r="AR504" s="145"/>
      <c r="AS504" s="145"/>
      <c r="AT504" s="124"/>
      <c r="AU504" s="124"/>
      <c r="AV504" s="124"/>
      <c r="AW504" s="124"/>
      <c r="AX504" s="124"/>
      <c r="AY504" s="124"/>
      <c r="AZ504" s="124"/>
      <c r="BA504" s="124"/>
      <c r="BB504" s="88"/>
      <c r="BC504" s="88"/>
      <c r="BD504" s="88"/>
      <c r="BE504" s="88"/>
      <c r="BF504" s="88"/>
      <c r="BG504" s="88"/>
      <c r="BH504" s="88"/>
      <c r="BI504" s="88"/>
      <c r="BJ504" s="88"/>
      <c r="BK504" s="88"/>
      <c r="BL504" s="88"/>
      <c r="BM504" s="88"/>
      <c r="BN504" s="88"/>
      <c r="BO504" s="88"/>
      <c r="BP504" s="88"/>
      <c r="BQ504" s="88"/>
      <c r="BR504" s="88"/>
      <c r="BS504" s="88"/>
    </row>
    <row r="505">
      <c r="J505" s="73"/>
      <c r="K505" s="74"/>
      <c r="L505" s="74"/>
      <c r="M505" s="74"/>
      <c r="N505" s="74"/>
      <c r="S505" s="75"/>
      <c r="T505" s="145"/>
      <c r="U505" s="145"/>
      <c r="V505" s="145"/>
      <c r="W505" s="145"/>
      <c r="X505" s="145"/>
      <c r="Y505" s="145"/>
      <c r="Z505" s="145"/>
      <c r="AA505" s="145"/>
      <c r="AB505" s="145"/>
      <c r="AC505" s="145"/>
      <c r="AD505" s="145"/>
      <c r="AE505" s="145"/>
      <c r="AF505" s="145"/>
      <c r="AG505" s="145"/>
      <c r="AH505" s="145"/>
      <c r="AI505" s="145"/>
      <c r="AJ505" s="145"/>
      <c r="AK505" s="145"/>
      <c r="AL505" s="145"/>
      <c r="AM505" s="145"/>
      <c r="AN505" s="145"/>
      <c r="AO505" s="145"/>
      <c r="AP505" s="145"/>
      <c r="AQ505" s="145"/>
      <c r="AR505" s="145"/>
      <c r="AS505" s="145"/>
      <c r="AT505" s="124"/>
      <c r="AU505" s="124"/>
      <c r="AV505" s="124"/>
      <c r="AW505" s="124"/>
      <c r="AX505" s="124"/>
      <c r="AY505" s="124"/>
      <c r="AZ505" s="124"/>
      <c r="BA505" s="124"/>
      <c r="BB505" s="88"/>
      <c r="BC505" s="88"/>
      <c r="BD505" s="88"/>
      <c r="BE505" s="88"/>
      <c r="BF505" s="88"/>
      <c r="BG505" s="88"/>
      <c r="BH505" s="88"/>
      <c r="BI505" s="88"/>
      <c r="BJ505" s="88"/>
      <c r="BK505" s="88"/>
      <c r="BL505" s="88"/>
      <c r="BM505" s="88"/>
      <c r="BN505" s="88"/>
      <c r="BO505" s="88"/>
      <c r="BP505" s="88"/>
      <c r="BQ505" s="88"/>
      <c r="BR505" s="88"/>
      <c r="BS505" s="88"/>
    </row>
    <row r="506">
      <c r="J506" s="73"/>
      <c r="K506" s="74"/>
      <c r="L506" s="74"/>
      <c r="M506" s="74"/>
      <c r="N506" s="74"/>
      <c r="S506" s="75"/>
      <c r="T506" s="145"/>
      <c r="U506" s="145"/>
      <c r="V506" s="145"/>
      <c r="W506" s="145"/>
      <c r="X506" s="145"/>
      <c r="Y506" s="145"/>
      <c r="Z506" s="145"/>
      <c r="AA506" s="145"/>
      <c r="AB506" s="145"/>
      <c r="AC506" s="145"/>
      <c r="AD506" s="145"/>
      <c r="AE506" s="145"/>
      <c r="AF506" s="145"/>
      <c r="AG506" s="145"/>
      <c r="AH506" s="145"/>
      <c r="AI506" s="145"/>
      <c r="AJ506" s="145"/>
      <c r="AK506" s="145"/>
      <c r="AL506" s="145"/>
      <c r="AM506" s="145"/>
      <c r="AN506" s="145"/>
      <c r="AO506" s="145"/>
      <c r="AP506" s="145"/>
      <c r="AQ506" s="145"/>
      <c r="AR506" s="145"/>
      <c r="AS506" s="145"/>
      <c r="AT506" s="124"/>
      <c r="AU506" s="124"/>
      <c r="AV506" s="124"/>
      <c r="AW506" s="124"/>
      <c r="AX506" s="124"/>
      <c r="AY506" s="124"/>
      <c r="AZ506" s="124"/>
      <c r="BA506" s="124"/>
      <c r="BB506" s="88"/>
      <c r="BC506" s="88"/>
      <c r="BD506" s="88"/>
      <c r="BE506" s="88"/>
      <c r="BF506" s="88"/>
      <c r="BG506" s="88"/>
      <c r="BH506" s="88"/>
      <c r="BI506" s="88"/>
      <c r="BJ506" s="88"/>
      <c r="BK506" s="88"/>
      <c r="BL506" s="88"/>
      <c r="BM506" s="88"/>
      <c r="BN506" s="88"/>
      <c r="BO506" s="88"/>
      <c r="BP506" s="88"/>
      <c r="BQ506" s="88"/>
      <c r="BR506" s="88"/>
      <c r="BS506" s="88"/>
    </row>
    <row r="507">
      <c r="J507" s="73"/>
      <c r="K507" s="74"/>
      <c r="L507" s="74"/>
      <c r="M507" s="74"/>
      <c r="N507" s="74"/>
      <c r="S507" s="75"/>
      <c r="T507" s="145"/>
      <c r="U507" s="145"/>
      <c r="V507" s="145"/>
      <c r="W507" s="145"/>
      <c r="X507" s="145"/>
      <c r="Y507" s="145"/>
      <c r="Z507" s="145"/>
      <c r="AA507" s="145"/>
      <c r="AB507" s="145"/>
      <c r="AC507" s="145"/>
      <c r="AD507" s="145"/>
      <c r="AE507" s="145"/>
      <c r="AF507" s="145"/>
      <c r="AG507" s="145"/>
      <c r="AH507" s="145"/>
      <c r="AI507" s="145"/>
      <c r="AJ507" s="145"/>
      <c r="AK507" s="145"/>
      <c r="AL507" s="145"/>
      <c r="AM507" s="145"/>
      <c r="AN507" s="145"/>
      <c r="AO507" s="145"/>
      <c r="AP507" s="145"/>
      <c r="AQ507" s="145"/>
      <c r="AR507" s="145"/>
      <c r="AS507" s="145"/>
      <c r="AT507" s="124"/>
      <c r="AU507" s="124"/>
      <c r="AV507" s="124"/>
      <c r="AW507" s="124"/>
      <c r="AX507" s="124"/>
      <c r="AY507" s="124"/>
      <c r="AZ507" s="124"/>
      <c r="BA507" s="124"/>
      <c r="BB507" s="88"/>
      <c r="BC507" s="88"/>
      <c r="BD507" s="88"/>
      <c r="BE507" s="88"/>
      <c r="BF507" s="88"/>
      <c r="BG507" s="88"/>
      <c r="BH507" s="88"/>
      <c r="BI507" s="88"/>
      <c r="BJ507" s="88"/>
      <c r="BK507" s="88"/>
      <c r="BL507" s="88"/>
      <c r="BM507" s="88"/>
      <c r="BN507" s="88"/>
      <c r="BO507" s="88"/>
      <c r="BP507" s="88"/>
      <c r="BQ507" s="88"/>
      <c r="BR507" s="88"/>
      <c r="BS507" s="88"/>
    </row>
    <row r="508">
      <c r="J508" s="73"/>
      <c r="K508" s="74"/>
      <c r="L508" s="74"/>
      <c r="M508" s="74"/>
      <c r="N508" s="74"/>
      <c r="S508" s="75"/>
      <c r="T508" s="145"/>
      <c r="U508" s="145"/>
      <c r="V508" s="145"/>
      <c r="W508" s="145"/>
      <c r="X508" s="145"/>
      <c r="Y508" s="145"/>
      <c r="Z508" s="145"/>
      <c r="AA508" s="145"/>
      <c r="AB508" s="145"/>
      <c r="AC508" s="145"/>
      <c r="AD508" s="145"/>
      <c r="AE508" s="145"/>
      <c r="AF508" s="145"/>
      <c r="AG508" s="145"/>
      <c r="AH508" s="145"/>
      <c r="AI508" s="145"/>
      <c r="AJ508" s="145"/>
      <c r="AK508" s="145"/>
      <c r="AL508" s="145"/>
      <c r="AM508" s="145"/>
      <c r="AN508" s="145"/>
      <c r="AO508" s="145"/>
      <c r="AP508" s="145"/>
      <c r="AQ508" s="145"/>
      <c r="AR508" s="145"/>
      <c r="AS508" s="145"/>
      <c r="AT508" s="124"/>
      <c r="AU508" s="124"/>
      <c r="AV508" s="124"/>
      <c r="AW508" s="124"/>
      <c r="AX508" s="124"/>
      <c r="AY508" s="124"/>
      <c r="AZ508" s="124"/>
      <c r="BA508" s="124"/>
      <c r="BB508" s="88"/>
      <c r="BC508" s="88"/>
      <c r="BD508" s="88"/>
      <c r="BE508" s="88"/>
      <c r="BF508" s="88"/>
      <c r="BG508" s="88"/>
      <c r="BH508" s="88"/>
      <c r="BI508" s="88"/>
      <c r="BJ508" s="88"/>
      <c r="BK508" s="88"/>
      <c r="BL508" s="88"/>
      <c r="BM508" s="88"/>
      <c r="BN508" s="88"/>
      <c r="BO508" s="88"/>
      <c r="BP508" s="88"/>
      <c r="BQ508" s="88"/>
      <c r="BR508" s="88"/>
      <c r="BS508" s="88"/>
    </row>
    <row r="509">
      <c r="J509" s="73"/>
      <c r="K509" s="74"/>
      <c r="L509" s="74"/>
      <c r="M509" s="74"/>
      <c r="N509" s="74"/>
      <c r="S509" s="75"/>
      <c r="T509" s="145"/>
      <c r="U509" s="145"/>
      <c r="V509" s="145"/>
      <c r="W509" s="145"/>
      <c r="X509" s="145"/>
      <c r="Y509" s="145"/>
      <c r="Z509" s="145"/>
      <c r="AA509" s="145"/>
      <c r="AB509" s="145"/>
      <c r="AC509" s="145"/>
      <c r="AD509" s="145"/>
      <c r="AE509" s="145"/>
      <c r="AF509" s="145"/>
      <c r="AG509" s="145"/>
      <c r="AH509" s="145"/>
      <c r="AI509" s="145"/>
      <c r="AJ509" s="145"/>
      <c r="AK509" s="145"/>
      <c r="AL509" s="145"/>
      <c r="AM509" s="145"/>
      <c r="AN509" s="145"/>
      <c r="AO509" s="145"/>
      <c r="AP509" s="145"/>
      <c r="AQ509" s="145"/>
      <c r="AR509" s="145"/>
      <c r="AS509" s="145"/>
      <c r="AT509" s="124"/>
      <c r="AU509" s="124"/>
      <c r="AV509" s="124"/>
      <c r="AW509" s="124"/>
      <c r="AX509" s="124"/>
      <c r="AY509" s="124"/>
      <c r="AZ509" s="124"/>
      <c r="BA509" s="124"/>
      <c r="BB509" s="88"/>
      <c r="BC509" s="88"/>
      <c r="BD509" s="88"/>
      <c r="BE509" s="88"/>
      <c r="BF509" s="88"/>
      <c r="BG509" s="88"/>
      <c r="BH509" s="88"/>
      <c r="BI509" s="88"/>
      <c r="BJ509" s="88"/>
      <c r="BK509" s="88"/>
      <c r="BL509" s="88"/>
      <c r="BM509" s="88"/>
      <c r="BN509" s="88"/>
      <c r="BO509" s="88"/>
      <c r="BP509" s="88"/>
      <c r="BQ509" s="88"/>
      <c r="BR509" s="88"/>
      <c r="BS509" s="88"/>
    </row>
    <row r="510">
      <c r="J510" s="73"/>
      <c r="K510" s="74"/>
      <c r="L510" s="74"/>
      <c r="M510" s="74"/>
      <c r="N510" s="74"/>
      <c r="S510" s="75"/>
      <c r="T510" s="145"/>
      <c r="U510" s="145"/>
      <c r="V510" s="145"/>
      <c r="W510" s="145"/>
      <c r="X510" s="145"/>
      <c r="Y510" s="145"/>
      <c r="Z510" s="145"/>
      <c r="AA510" s="145"/>
      <c r="AB510" s="145"/>
      <c r="AC510" s="145"/>
      <c r="AD510" s="145"/>
      <c r="AE510" s="145"/>
      <c r="AF510" s="145"/>
      <c r="AG510" s="145"/>
      <c r="AH510" s="145"/>
      <c r="AI510" s="145"/>
      <c r="AJ510" s="145"/>
      <c r="AK510" s="145"/>
      <c r="AL510" s="145"/>
      <c r="AM510" s="145"/>
      <c r="AN510" s="145"/>
      <c r="AO510" s="145"/>
      <c r="AP510" s="145"/>
      <c r="AQ510" s="145"/>
      <c r="AR510" s="145"/>
      <c r="AS510" s="145"/>
      <c r="AT510" s="124"/>
      <c r="AU510" s="124"/>
      <c r="AV510" s="124"/>
      <c r="AW510" s="124"/>
      <c r="AX510" s="124"/>
      <c r="AY510" s="124"/>
      <c r="AZ510" s="124"/>
      <c r="BA510" s="124"/>
      <c r="BB510" s="88"/>
      <c r="BC510" s="88"/>
      <c r="BD510" s="88"/>
      <c r="BE510" s="88"/>
      <c r="BF510" s="88"/>
      <c r="BG510" s="88"/>
      <c r="BH510" s="88"/>
      <c r="BI510" s="88"/>
      <c r="BJ510" s="88"/>
      <c r="BK510" s="88"/>
      <c r="BL510" s="88"/>
      <c r="BM510" s="88"/>
      <c r="BN510" s="88"/>
      <c r="BO510" s="88"/>
      <c r="BP510" s="88"/>
      <c r="BQ510" s="88"/>
      <c r="BR510" s="88"/>
      <c r="BS510" s="88"/>
    </row>
    <row r="511">
      <c r="J511" s="73"/>
      <c r="K511" s="74"/>
      <c r="L511" s="74"/>
      <c r="M511" s="74"/>
      <c r="N511" s="74"/>
      <c r="S511" s="75"/>
      <c r="T511" s="145"/>
      <c r="U511" s="145"/>
      <c r="V511" s="145"/>
      <c r="W511" s="145"/>
      <c r="X511" s="145"/>
      <c r="Y511" s="145"/>
      <c r="Z511" s="145"/>
      <c r="AA511" s="145"/>
      <c r="AB511" s="145"/>
      <c r="AC511" s="145"/>
      <c r="AD511" s="145"/>
      <c r="AE511" s="145"/>
      <c r="AF511" s="145"/>
      <c r="AG511" s="145"/>
      <c r="AH511" s="145"/>
      <c r="AI511" s="145"/>
      <c r="AJ511" s="145"/>
      <c r="AK511" s="145"/>
      <c r="AL511" s="145"/>
      <c r="AM511" s="145"/>
      <c r="AN511" s="145"/>
      <c r="AO511" s="145"/>
      <c r="AP511" s="145"/>
      <c r="AQ511" s="145"/>
      <c r="AR511" s="145"/>
      <c r="AS511" s="145"/>
      <c r="AT511" s="124"/>
      <c r="AU511" s="124"/>
      <c r="AV511" s="124"/>
      <c r="AW511" s="124"/>
      <c r="AX511" s="124"/>
      <c r="AY511" s="124"/>
      <c r="AZ511" s="124"/>
      <c r="BA511" s="124"/>
      <c r="BB511" s="88"/>
      <c r="BC511" s="88"/>
      <c r="BD511" s="88"/>
      <c r="BE511" s="88"/>
      <c r="BF511" s="88"/>
      <c r="BG511" s="88"/>
      <c r="BH511" s="88"/>
      <c r="BI511" s="88"/>
      <c r="BJ511" s="88"/>
      <c r="BK511" s="88"/>
      <c r="BL511" s="88"/>
      <c r="BM511" s="88"/>
      <c r="BN511" s="88"/>
      <c r="BO511" s="88"/>
      <c r="BP511" s="88"/>
      <c r="BQ511" s="88"/>
      <c r="BR511" s="88"/>
      <c r="BS511" s="88"/>
    </row>
    <row r="512">
      <c r="J512" s="73"/>
      <c r="K512" s="74"/>
      <c r="L512" s="74"/>
      <c r="M512" s="74"/>
      <c r="N512" s="74"/>
      <c r="S512" s="75"/>
      <c r="T512" s="145"/>
      <c r="U512" s="145"/>
      <c r="V512" s="145"/>
      <c r="W512" s="145"/>
      <c r="X512" s="145"/>
      <c r="Y512" s="145"/>
      <c r="Z512" s="145"/>
      <c r="AA512" s="145"/>
      <c r="AB512" s="145"/>
      <c r="AC512" s="145"/>
      <c r="AD512" s="145"/>
      <c r="AE512" s="145"/>
      <c r="AF512" s="145"/>
      <c r="AG512" s="145"/>
      <c r="AH512" s="145"/>
      <c r="AI512" s="145"/>
      <c r="AJ512" s="145"/>
      <c r="AK512" s="145"/>
      <c r="AL512" s="145"/>
      <c r="AM512" s="145"/>
      <c r="AN512" s="145"/>
      <c r="AO512" s="145"/>
      <c r="AP512" s="145"/>
      <c r="AQ512" s="145"/>
      <c r="AR512" s="145"/>
      <c r="AS512" s="145"/>
      <c r="AT512" s="124"/>
      <c r="AU512" s="124"/>
      <c r="AV512" s="124"/>
      <c r="AW512" s="124"/>
      <c r="AX512" s="124"/>
      <c r="AY512" s="124"/>
      <c r="AZ512" s="124"/>
      <c r="BA512" s="124"/>
      <c r="BB512" s="88"/>
      <c r="BC512" s="88"/>
      <c r="BD512" s="88"/>
      <c r="BE512" s="88"/>
      <c r="BF512" s="88"/>
      <c r="BG512" s="88"/>
      <c r="BH512" s="88"/>
      <c r="BI512" s="88"/>
      <c r="BJ512" s="88"/>
      <c r="BK512" s="88"/>
      <c r="BL512" s="88"/>
      <c r="BM512" s="88"/>
      <c r="BN512" s="88"/>
      <c r="BO512" s="88"/>
      <c r="BP512" s="88"/>
      <c r="BQ512" s="88"/>
      <c r="BR512" s="88"/>
      <c r="BS512" s="88"/>
    </row>
    <row r="513">
      <c r="J513" s="73"/>
      <c r="K513" s="74"/>
      <c r="L513" s="74"/>
      <c r="M513" s="74"/>
      <c r="N513" s="74"/>
      <c r="S513" s="75"/>
      <c r="T513" s="145"/>
      <c r="U513" s="145"/>
      <c r="V513" s="145"/>
      <c r="W513" s="145"/>
      <c r="X513" s="145"/>
      <c r="Y513" s="145"/>
      <c r="Z513" s="145"/>
      <c r="AA513" s="145"/>
      <c r="AB513" s="145"/>
      <c r="AC513" s="145"/>
      <c r="AD513" s="145"/>
      <c r="AE513" s="145"/>
      <c r="AF513" s="145"/>
      <c r="AG513" s="145"/>
      <c r="AH513" s="145"/>
      <c r="AI513" s="145"/>
      <c r="AJ513" s="145"/>
      <c r="AK513" s="145"/>
      <c r="AL513" s="145"/>
      <c r="AM513" s="145"/>
      <c r="AN513" s="145"/>
      <c r="AO513" s="145"/>
      <c r="AP513" s="145"/>
      <c r="AQ513" s="145"/>
      <c r="AR513" s="145"/>
      <c r="AS513" s="145"/>
      <c r="AT513" s="124"/>
      <c r="AU513" s="124"/>
      <c r="AV513" s="124"/>
      <c r="AW513" s="124"/>
      <c r="AX513" s="124"/>
      <c r="AY513" s="124"/>
      <c r="AZ513" s="124"/>
      <c r="BA513" s="124"/>
      <c r="BB513" s="88"/>
      <c r="BC513" s="88"/>
      <c r="BD513" s="88"/>
      <c r="BE513" s="88"/>
      <c r="BF513" s="88"/>
      <c r="BG513" s="88"/>
      <c r="BH513" s="88"/>
      <c r="BI513" s="88"/>
      <c r="BJ513" s="88"/>
      <c r="BK513" s="88"/>
      <c r="BL513" s="88"/>
      <c r="BM513" s="88"/>
      <c r="BN513" s="88"/>
      <c r="BO513" s="88"/>
      <c r="BP513" s="88"/>
      <c r="BQ513" s="88"/>
      <c r="BR513" s="88"/>
      <c r="BS513" s="88"/>
    </row>
    <row r="514">
      <c r="J514" s="73"/>
      <c r="K514" s="74"/>
      <c r="L514" s="74"/>
      <c r="M514" s="74"/>
      <c r="N514" s="74"/>
      <c r="S514" s="75"/>
      <c r="T514" s="145"/>
      <c r="U514" s="145"/>
      <c r="V514" s="145"/>
      <c r="W514" s="145"/>
      <c r="X514" s="145"/>
      <c r="Y514" s="145"/>
      <c r="Z514" s="145"/>
      <c r="AA514" s="145"/>
      <c r="AB514" s="145"/>
      <c r="AC514" s="145"/>
      <c r="AD514" s="145"/>
      <c r="AE514" s="145"/>
      <c r="AF514" s="145"/>
      <c r="AG514" s="145"/>
      <c r="AH514" s="145"/>
      <c r="AI514" s="145"/>
      <c r="AJ514" s="145"/>
      <c r="AK514" s="145"/>
      <c r="AL514" s="145"/>
      <c r="AM514" s="145"/>
      <c r="AN514" s="145"/>
      <c r="AO514" s="145"/>
      <c r="AP514" s="145"/>
      <c r="AQ514" s="145"/>
      <c r="AR514" s="145"/>
      <c r="AS514" s="145"/>
      <c r="AT514" s="124"/>
      <c r="AU514" s="124"/>
      <c r="AV514" s="124"/>
      <c r="AW514" s="124"/>
      <c r="AX514" s="124"/>
      <c r="AY514" s="124"/>
      <c r="AZ514" s="124"/>
      <c r="BA514" s="124"/>
      <c r="BB514" s="88"/>
      <c r="BC514" s="88"/>
      <c r="BD514" s="88"/>
      <c r="BE514" s="88"/>
      <c r="BF514" s="88"/>
      <c r="BG514" s="88"/>
      <c r="BH514" s="88"/>
      <c r="BI514" s="88"/>
      <c r="BJ514" s="88"/>
      <c r="BK514" s="88"/>
      <c r="BL514" s="88"/>
      <c r="BM514" s="88"/>
      <c r="BN514" s="88"/>
      <c r="BO514" s="88"/>
      <c r="BP514" s="88"/>
      <c r="BQ514" s="88"/>
      <c r="BR514" s="88"/>
      <c r="BS514" s="88"/>
    </row>
    <row r="515">
      <c r="J515" s="73"/>
      <c r="K515" s="74"/>
      <c r="L515" s="74"/>
      <c r="M515" s="74"/>
      <c r="N515" s="74"/>
      <c r="S515" s="75"/>
      <c r="T515" s="145"/>
      <c r="U515" s="145"/>
      <c r="V515" s="145"/>
      <c r="W515" s="145"/>
      <c r="X515" s="145"/>
      <c r="Y515" s="145"/>
      <c r="Z515" s="145"/>
      <c r="AA515" s="145"/>
      <c r="AB515" s="145"/>
      <c r="AC515" s="145"/>
      <c r="AD515" s="145"/>
      <c r="AE515" s="145"/>
      <c r="AF515" s="145"/>
      <c r="AG515" s="145"/>
      <c r="AH515" s="145"/>
      <c r="AI515" s="145"/>
      <c r="AJ515" s="145"/>
      <c r="AK515" s="145"/>
      <c r="AL515" s="145"/>
      <c r="AM515" s="145"/>
      <c r="AN515" s="145"/>
      <c r="AO515" s="145"/>
      <c r="AP515" s="145"/>
      <c r="AQ515" s="145"/>
      <c r="AR515" s="145"/>
      <c r="AS515" s="145"/>
      <c r="AT515" s="124"/>
      <c r="AU515" s="124"/>
      <c r="AV515" s="124"/>
      <c r="AW515" s="124"/>
      <c r="AX515" s="124"/>
      <c r="AY515" s="124"/>
      <c r="AZ515" s="124"/>
      <c r="BA515" s="124"/>
      <c r="BB515" s="88"/>
      <c r="BC515" s="88"/>
      <c r="BD515" s="88"/>
      <c r="BE515" s="88"/>
      <c r="BF515" s="88"/>
      <c r="BG515" s="88"/>
      <c r="BH515" s="88"/>
      <c r="BI515" s="88"/>
      <c r="BJ515" s="88"/>
      <c r="BK515" s="88"/>
      <c r="BL515" s="88"/>
      <c r="BM515" s="88"/>
      <c r="BN515" s="88"/>
      <c r="BO515" s="88"/>
      <c r="BP515" s="88"/>
      <c r="BQ515" s="88"/>
      <c r="BR515" s="88"/>
      <c r="BS515" s="88"/>
    </row>
    <row r="516">
      <c r="J516" s="73"/>
      <c r="K516" s="74"/>
      <c r="L516" s="74"/>
      <c r="M516" s="74"/>
      <c r="N516" s="74"/>
      <c r="S516" s="75"/>
      <c r="T516" s="145"/>
      <c r="U516" s="145"/>
      <c r="V516" s="145"/>
      <c r="W516" s="145"/>
      <c r="X516" s="145"/>
      <c r="Y516" s="145"/>
      <c r="Z516" s="145"/>
      <c r="AA516" s="145"/>
      <c r="AB516" s="145"/>
      <c r="AC516" s="145"/>
      <c r="AD516" s="145"/>
      <c r="AE516" s="145"/>
      <c r="AF516" s="145"/>
      <c r="AG516" s="145"/>
      <c r="AH516" s="145"/>
      <c r="AI516" s="145"/>
      <c r="AJ516" s="145"/>
      <c r="AK516" s="145"/>
      <c r="AL516" s="145"/>
      <c r="AM516" s="145"/>
      <c r="AN516" s="145"/>
      <c r="AO516" s="145"/>
      <c r="AP516" s="145"/>
      <c r="AQ516" s="145"/>
      <c r="AR516" s="145"/>
      <c r="AS516" s="145"/>
      <c r="AT516" s="124"/>
      <c r="AU516" s="124"/>
      <c r="AV516" s="124"/>
      <c r="AW516" s="124"/>
      <c r="AX516" s="124"/>
      <c r="AY516" s="124"/>
      <c r="AZ516" s="124"/>
      <c r="BA516" s="124"/>
      <c r="BB516" s="88"/>
      <c r="BC516" s="88"/>
      <c r="BD516" s="88"/>
      <c r="BE516" s="88"/>
      <c r="BF516" s="88"/>
      <c r="BG516" s="88"/>
      <c r="BH516" s="88"/>
      <c r="BI516" s="88"/>
      <c r="BJ516" s="88"/>
      <c r="BK516" s="88"/>
      <c r="BL516" s="88"/>
      <c r="BM516" s="88"/>
      <c r="BN516" s="88"/>
      <c r="BO516" s="88"/>
      <c r="BP516" s="88"/>
      <c r="BQ516" s="88"/>
      <c r="BR516" s="88"/>
      <c r="BS516" s="88"/>
    </row>
    <row r="517">
      <c r="J517" s="73"/>
      <c r="K517" s="74"/>
      <c r="L517" s="74"/>
      <c r="M517" s="74"/>
      <c r="N517" s="74"/>
      <c r="S517" s="75"/>
      <c r="T517" s="145"/>
      <c r="U517" s="145"/>
      <c r="V517" s="145"/>
      <c r="W517" s="145"/>
      <c r="X517" s="145"/>
      <c r="Y517" s="145"/>
      <c r="Z517" s="145"/>
      <c r="AA517" s="145"/>
      <c r="AB517" s="145"/>
      <c r="AC517" s="145"/>
      <c r="AD517" s="145"/>
      <c r="AE517" s="145"/>
      <c r="AF517" s="145"/>
      <c r="AG517" s="145"/>
      <c r="AH517" s="145"/>
      <c r="AI517" s="145"/>
      <c r="AJ517" s="145"/>
      <c r="AK517" s="145"/>
      <c r="AL517" s="145"/>
      <c r="AM517" s="145"/>
      <c r="AN517" s="145"/>
      <c r="AO517" s="145"/>
      <c r="AP517" s="145"/>
      <c r="AQ517" s="145"/>
      <c r="AR517" s="145"/>
      <c r="AS517" s="145"/>
      <c r="AT517" s="124"/>
      <c r="AU517" s="124"/>
      <c r="AV517" s="124"/>
      <c r="AW517" s="124"/>
      <c r="AX517" s="124"/>
      <c r="AY517" s="124"/>
      <c r="AZ517" s="124"/>
      <c r="BA517" s="124"/>
      <c r="BB517" s="88"/>
      <c r="BC517" s="88"/>
      <c r="BD517" s="88"/>
      <c r="BE517" s="88"/>
      <c r="BF517" s="88"/>
      <c r="BG517" s="88"/>
      <c r="BH517" s="88"/>
      <c r="BI517" s="88"/>
      <c r="BJ517" s="88"/>
      <c r="BK517" s="88"/>
      <c r="BL517" s="88"/>
      <c r="BM517" s="88"/>
      <c r="BN517" s="88"/>
      <c r="BO517" s="88"/>
      <c r="BP517" s="88"/>
      <c r="BQ517" s="88"/>
      <c r="BR517" s="88"/>
      <c r="BS517" s="88"/>
    </row>
    <row r="518">
      <c r="J518" s="73"/>
      <c r="K518" s="74"/>
      <c r="L518" s="74"/>
      <c r="M518" s="74"/>
      <c r="N518" s="74"/>
      <c r="S518" s="75"/>
      <c r="T518" s="145"/>
      <c r="U518" s="145"/>
      <c r="V518" s="145"/>
      <c r="W518" s="145"/>
      <c r="X518" s="145"/>
      <c r="Y518" s="145"/>
      <c r="Z518" s="145"/>
      <c r="AA518" s="145"/>
      <c r="AB518" s="145"/>
      <c r="AC518" s="145"/>
      <c r="AD518" s="145"/>
      <c r="AE518" s="145"/>
      <c r="AF518" s="145"/>
      <c r="AG518" s="145"/>
      <c r="AH518" s="145"/>
      <c r="AI518" s="145"/>
      <c r="AJ518" s="145"/>
      <c r="AK518" s="145"/>
      <c r="AL518" s="145"/>
      <c r="AM518" s="145"/>
      <c r="AN518" s="145"/>
      <c r="AO518" s="145"/>
      <c r="AP518" s="145"/>
      <c r="AQ518" s="145"/>
      <c r="AR518" s="145"/>
      <c r="AS518" s="145"/>
      <c r="AT518" s="124"/>
      <c r="AU518" s="124"/>
      <c r="AV518" s="124"/>
      <c r="AW518" s="124"/>
      <c r="AX518" s="124"/>
      <c r="AY518" s="124"/>
      <c r="AZ518" s="124"/>
      <c r="BA518" s="124"/>
      <c r="BB518" s="88"/>
      <c r="BC518" s="88"/>
      <c r="BD518" s="88"/>
      <c r="BE518" s="88"/>
      <c r="BF518" s="88"/>
      <c r="BG518" s="88"/>
      <c r="BH518" s="88"/>
      <c r="BI518" s="88"/>
      <c r="BJ518" s="88"/>
      <c r="BK518" s="88"/>
      <c r="BL518" s="88"/>
      <c r="BM518" s="88"/>
      <c r="BN518" s="88"/>
      <c r="BO518" s="88"/>
      <c r="BP518" s="88"/>
      <c r="BQ518" s="88"/>
      <c r="BR518" s="88"/>
      <c r="BS518" s="88"/>
    </row>
    <row r="519">
      <c r="J519" s="73"/>
      <c r="K519" s="74"/>
      <c r="L519" s="74"/>
      <c r="M519" s="74"/>
      <c r="N519" s="74"/>
      <c r="S519" s="75"/>
      <c r="T519" s="145"/>
      <c r="U519" s="145"/>
      <c r="V519" s="145"/>
      <c r="W519" s="145"/>
      <c r="X519" s="145"/>
      <c r="Y519" s="145"/>
      <c r="Z519" s="145"/>
      <c r="AA519" s="145"/>
      <c r="AB519" s="145"/>
      <c r="AC519" s="145"/>
      <c r="AD519" s="145"/>
      <c r="AE519" s="145"/>
      <c r="AF519" s="145"/>
      <c r="AG519" s="145"/>
      <c r="AH519" s="145"/>
      <c r="AI519" s="145"/>
      <c r="AJ519" s="145"/>
      <c r="AK519" s="145"/>
      <c r="AL519" s="145"/>
      <c r="AM519" s="145"/>
      <c r="AN519" s="145"/>
      <c r="AO519" s="145"/>
      <c r="AP519" s="145"/>
      <c r="AQ519" s="145"/>
      <c r="AR519" s="145"/>
      <c r="AS519" s="145"/>
      <c r="AT519" s="124"/>
      <c r="AU519" s="124"/>
      <c r="AV519" s="124"/>
      <c r="AW519" s="124"/>
      <c r="AX519" s="124"/>
      <c r="AY519" s="124"/>
      <c r="AZ519" s="124"/>
      <c r="BA519" s="124"/>
      <c r="BB519" s="88"/>
      <c r="BC519" s="88"/>
      <c r="BD519" s="88"/>
      <c r="BE519" s="88"/>
      <c r="BF519" s="88"/>
      <c r="BG519" s="88"/>
      <c r="BH519" s="88"/>
      <c r="BI519" s="88"/>
      <c r="BJ519" s="88"/>
      <c r="BK519" s="88"/>
      <c r="BL519" s="88"/>
      <c r="BM519" s="88"/>
      <c r="BN519" s="88"/>
      <c r="BO519" s="88"/>
      <c r="BP519" s="88"/>
      <c r="BQ519" s="88"/>
      <c r="BR519" s="88"/>
      <c r="BS519" s="88"/>
    </row>
    <row r="520">
      <c r="J520" s="73"/>
      <c r="K520" s="74"/>
      <c r="L520" s="74"/>
      <c r="M520" s="74"/>
      <c r="N520" s="74"/>
      <c r="S520" s="75"/>
      <c r="T520" s="145"/>
      <c r="U520" s="145"/>
      <c r="V520" s="145"/>
      <c r="W520" s="145"/>
      <c r="X520" s="145"/>
      <c r="Y520" s="145"/>
      <c r="Z520" s="145"/>
      <c r="AA520" s="145"/>
      <c r="AB520" s="145"/>
      <c r="AC520" s="145"/>
      <c r="AD520" s="145"/>
      <c r="AE520" s="145"/>
      <c r="AF520" s="145"/>
      <c r="AG520" s="145"/>
      <c r="AH520" s="145"/>
      <c r="AI520" s="145"/>
      <c r="AJ520" s="145"/>
      <c r="AK520" s="145"/>
      <c r="AL520" s="145"/>
      <c r="AM520" s="145"/>
      <c r="AN520" s="145"/>
      <c r="AO520" s="145"/>
      <c r="AP520" s="145"/>
      <c r="AQ520" s="145"/>
      <c r="AR520" s="145"/>
      <c r="AS520" s="145"/>
      <c r="AT520" s="124"/>
      <c r="AU520" s="124"/>
      <c r="AV520" s="124"/>
      <c r="AW520" s="124"/>
      <c r="AX520" s="124"/>
      <c r="AY520" s="124"/>
      <c r="AZ520" s="124"/>
      <c r="BA520" s="124"/>
      <c r="BB520" s="88"/>
      <c r="BC520" s="88"/>
      <c r="BD520" s="88"/>
      <c r="BE520" s="88"/>
      <c r="BF520" s="88"/>
      <c r="BG520" s="88"/>
      <c r="BH520" s="88"/>
      <c r="BI520" s="88"/>
      <c r="BJ520" s="88"/>
      <c r="BK520" s="88"/>
      <c r="BL520" s="88"/>
      <c r="BM520" s="88"/>
      <c r="BN520" s="88"/>
      <c r="BO520" s="88"/>
      <c r="BP520" s="88"/>
      <c r="BQ520" s="88"/>
      <c r="BR520" s="88"/>
      <c r="BS520" s="88"/>
    </row>
    <row r="521">
      <c r="J521" s="73"/>
      <c r="K521" s="74"/>
      <c r="L521" s="74"/>
      <c r="M521" s="74"/>
      <c r="N521" s="74"/>
      <c r="S521" s="75"/>
      <c r="T521" s="145"/>
      <c r="U521" s="145"/>
      <c r="V521" s="145"/>
      <c r="W521" s="145"/>
      <c r="X521" s="145"/>
      <c r="Y521" s="145"/>
      <c r="Z521" s="145"/>
      <c r="AA521" s="145"/>
      <c r="AB521" s="145"/>
      <c r="AC521" s="145"/>
      <c r="AD521" s="145"/>
      <c r="AE521" s="145"/>
      <c r="AF521" s="145"/>
      <c r="AG521" s="145"/>
      <c r="AH521" s="145"/>
      <c r="AI521" s="145"/>
      <c r="AJ521" s="145"/>
      <c r="AK521" s="145"/>
      <c r="AL521" s="145"/>
      <c r="AM521" s="145"/>
      <c r="AN521" s="145"/>
      <c r="AO521" s="145"/>
      <c r="AP521" s="145"/>
      <c r="AQ521" s="145"/>
      <c r="AR521" s="145"/>
      <c r="AS521" s="145"/>
      <c r="AT521" s="124"/>
      <c r="AU521" s="124"/>
      <c r="AV521" s="124"/>
      <c r="AW521" s="124"/>
      <c r="AX521" s="124"/>
      <c r="AY521" s="124"/>
      <c r="AZ521" s="124"/>
      <c r="BA521" s="124"/>
      <c r="BB521" s="88"/>
      <c r="BC521" s="88"/>
      <c r="BD521" s="88"/>
      <c r="BE521" s="88"/>
      <c r="BF521" s="88"/>
      <c r="BG521" s="88"/>
      <c r="BH521" s="88"/>
      <c r="BI521" s="88"/>
      <c r="BJ521" s="88"/>
      <c r="BK521" s="88"/>
      <c r="BL521" s="88"/>
      <c r="BM521" s="88"/>
      <c r="BN521" s="88"/>
      <c r="BO521" s="88"/>
      <c r="BP521" s="88"/>
      <c r="BQ521" s="88"/>
      <c r="BR521" s="88"/>
      <c r="BS521" s="88"/>
    </row>
    <row r="522">
      <c r="J522" s="73"/>
      <c r="K522" s="74"/>
      <c r="L522" s="74"/>
      <c r="M522" s="74"/>
      <c r="N522" s="74"/>
      <c r="S522" s="75"/>
      <c r="T522" s="145"/>
      <c r="U522" s="145"/>
      <c r="V522" s="145"/>
      <c r="W522" s="145"/>
      <c r="X522" s="145"/>
      <c r="Y522" s="145"/>
      <c r="Z522" s="145"/>
      <c r="AA522" s="145"/>
      <c r="AB522" s="145"/>
      <c r="AC522" s="145"/>
      <c r="AD522" s="145"/>
      <c r="AE522" s="145"/>
      <c r="AF522" s="145"/>
      <c r="AG522" s="145"/>
      <c r="AH522" s="145"/>
      <c r="AI522" s="145"/>
      <c r="AJ522" s="145"/>
      <c r="AK522" s="145"/>
      <c r="AL522" s="145"/>
      <c r="AM522" s="145"/>
      <c r="AN522" s="145"/>
      <c r="AO522" s="145"/>
      <c r="AP522" s="145"/>
      <c r="AQ522" s="145"/>
      <c r="AR522" s="145"/>
      <c r="AS522" s="145"/>
      <c r="AT522" s="124"/>
      <c r="AU522" s="124"/>
      <c r="AV522" s="124"/>
      <c r="AW522" s="124"/>
      <c r="AX522" s="124"/>
      <c r="AY522" s="124"/>
      <c r="AZ522" s="124"/>
      <c r="BA522" s="124"/>
      <c r="BB522" s="88"/>
      <c r="BC522" s="88"/>
      <c r="BD522" s="88"/>
      <c r="BE522" s="88"/>
      <c r="BF522" s="88"/>
      <c r="BG522" s="88"/>
      <c r="BH522" s="88"/>
      <c r="BI522" s="88"/>
      <c r="BJ522" s="88"/>
      <c r="BK522" s="88"/>
      <c r="BL522" s="88"/>
      <c r="BM522" s="88"/>
      <c r="BN522" s="88"/>
      <c r="BO522" s="88"/>
      <c r="BP522" s="88"/>
      <c r="BQ522" s="88"/>
      <c r="BR522" s="88"/>
      <c r="BS522" s="88"/>
    </row>
    <row r="523">
      <c r="J523" s="73"/>
      <c r="K523" s="74"/>
      <c r="L523" s="74"/>
      <c r="M523" s="74"/>
      <c r="N523" s="74"/>
      <c r="S523" s="75"/>
      <c r="T523" s="145"/>
      <c r="U523" s="145"/>
      <c r="V523" s="145"/>
      <c r="W523" s="145"/>
      <c r="X523" s="145"/>
      <c r="Y523" s="145"/>
      <c r="Z523" s="145"/>
      <c r="AA523" s="145"/>
      <c r="AB523" s="145"/>
      <c r="AC523" s="145"/>
      <c r="AD523" s="145"/>
      <c r="AE523" s="145"/>
      <c r="AF523" s="145"/>
      <c r="AG523" s="145"/>
      <c r="AH523" s="145"/>
      <c r="AI523" s="145"/>
      <c r="AJ523" s="145"/>
      <c r="AK523" s="145"/>
      <c r="AL523" s="145"/>
      <c r="AM523" s="145"/>
      <c r="AN523" s="145"/>
      <c r="AO523" s="145"/>
      <c r="AP523" s="145"/>
      <c r="AQ523" s="145"/>
      <c r="AR523" s="145"/>
      <c r="AS523" s="145"/>
      <c r="AT523" s="124"/>
      <c r="AU523" s="124"/>
      <c r="AV523" s="124"/>
      <c r="AW523" s="124"/>
      <c r="AX523" s="124"/>
      <c r="AY523" s="124"/>
      <c r="AZ523" s="124"/>
      <c r="BA523" s="124"/>
      <c r="BB523" s="88"/>
      <c r="BC523" s="88"/>
      <c r="BD523" s="88"/>
      <c r="BE523" s="88"/>
      <c r="BF523" s="88"/>
      <c r="BG523" s="88"/>
      <c r="BH523" s="88"/>
      <c r="BI523" s="88"/>
      <c r="BJ523" s="88"/>
      <c r="BK523" s="88"/>
      <c r="BL523" s="88"/>
      <c r="BM523" s="88"/>
      <c r="BN523" s="88"/>
      <c r="BO523" s="88"/>
      <c r="BP523" s="88"/>
      <c r="BQ523" s="88"/>
      <c r="BR523" s="88"/>
      <c r="BS523" s="88"/>
    </row>
    <row r="524">
      <c r="J524" s="73"/>
      <c r="K524" s="74"/>
      <c r="L524" s="74"/>
      <c r="M524" s="74"/>
      <c r="N524" s="74"/>
      <c r="S524" s="75"/>
      <c r="T524" s="145"/>
      <c r="U524" s="145"/>
      <c r="V524" s="145"/>
      <c r="W524" s="145"/>
      <c r="X524" s="145"/>
      <c r="Y524" s="145"/>
      <c r="Z524" s="145"/>
      <c r="AA524" s="145"/>
      <c r="AB524" s="145"/>
      <c r="AC524" s="145"/>
      <c r="AD524" s="145"/>
      <c r="AE524" s="145"/>
      <c r="AF524" s="145"/>
      <c r="AG524" s="145"/>
      <c r="AH524" s="145"/>
      <c r="AI524" s="145"/>
      <c r="AJ524" s="145"/>
      <c r="AK524" s="145"/>
      <c r="AL524" s="145"/>
      <c r="AM524" s="145"/>
      <c r="AN524" s="145"/>
      <c r="AO524" s="145"/>
      <c r="AP524" s="145"/>
      <c r="AQ524" s="145"/>
      <c r="AR524" s="145"/>
      <c r="AS524" s="145"/>
      <c r="AT524" s="124"/>
      <c r="AU524" s="124"/>
      <c r="AV524" s="124"/>
      <c r="AW524" s="124"/>
      <c r="AX524" s="124"/>
      <c r="AY524" s="124"/>
      <c r="AZ524" s="124"/>
      <c r="BA524" s="124"/>
      <c r="BB524" s="88"/>
      <c r="BC524" s="88"/>
      <c r="BD524" s="88"/>
      <c r="BE524" s="88"/>
      <c r="BF524" s="88"/>
      <c r="BG524" s="88"/>
      <c r="BH524" s="88"/>
      <c r="BI524" s="88"/>
      <c r="BJ524" s="88"/>
      <c r="BK524" s="88"/>
      <c r="BL524" s="88"/>
      <c r="BM524" s="88"/>
      <c r="BN524" s="88"/>
      <c r="BO524" s="88"/>
      <c r="BP524" s="88"/>
      <c r="BQ524" s="88"/>
      <c r="BR524" s="88"/>
      <c r="BS524" s="88"/>
    </row>
    <row r="525">
      <c r="J525" s="73"/>
      <c r="K525" s="74"/>
      <c r="L525" s="74"/>
      <c r="M525" s="74"/>
      <c r="N525" s="74"/>
      <c r="S525" s="75"/>
      <c r="T525" s="145"/>
      <c r="U525" s="145"/>
      <c r="V525" s="145"/>
      <c r="W525" s="145"/>
      <c r="X525" s="145"/>
      <c r="Y525" s="145"/>
      <c r="Z525" s="145"/>
      <c r="AA525" s="145"/>
      <c r="AB525" s="145"/>
      <c r="AC525" s="145"/>
      <c r="AD525" s="145"/>
      <c r="AE525" s="145"/>
      <c r="AF525" s="145"/>
      <c r="AG525" s="145"/>
      <c r="AH525" s="145"/>
      <c r="AI525" s="145"/>
      <c r="AJ525" s="145"/>
      <c r="AK525" s="145"/>
      <c r="AL525" s="145"/>
      <c r="AM525" s="145"/>
      <c r="AN525" s="145"/>
      <c r="AO525" s="145"/>
      <c r="AP525" s="145"/>
      <c r="AQ525" s="145"/>
      <c r="AR525" s="145"/>
      <c r="AS525" s="145"/>
      <c r="AT525" s="124"/>
      <c r="AU525" s="124"/>
      <c r="AV525" s="124"/>
      <c r="AW525" s="124"/>
      <c r="AX525" s="124"/>
      <c r="AY525" s="124"/>
      <c r="AZ525" s="124"/>
      <c r="BA525" s="124"/>
      <c r="BB525" s="88"/>
      <c r="BC525" s="88"/>
      <c r="BD525" s="88"/>
      <c r="BE525" s="88"/>
      <c r="BF525" s="88"/>
      <c r="BG525" s="88"/>
      <c r="BH525" s="88"/>
      <c r="BI525" s="88"/>
      <c r="BJ525" s="88"/>
      <c r="BK525" s="88"/>
      <c r="BL525" s="88"/>
      <c r="BM525" s="88"/>
      <c r="BN525" s="88"/>
      <c r="BO525" s="88"/>
      <c r="BP525" s="88"/>
      <c r="BQ525" s="88"/>
      <c r="BR525" s="88"/>
      <c r="BS525" s="88"/>
    </row>
    <row r="526">
      <c r="J526" s="73"/>
      <c r="K526" s="74"/>
      <c r="L526" s="74"/>
      <c r="M526" s="74"/>
      <c r="N526" s="74"/>
      <c r="S526" s="75"/>
      <c r="T526" s="145"/>
      <c r="U526" s="145"/>
      <c r="V526" s="145"/>
      <c r="W526" s="145"/>
      <c r="X526" s="145"/>
      <c r="Y526" s="145"/>
      <c r="Z526" s="145"/>
      <c r="AA526" s="145"/>
      <c r="AB526" s="145"/>
      <c r="AC526" s="145"/>
      <c r="AD526" s="145"/>
      <c r="AE526" s="145"/>
      <c r="AF526" s="145"/>
      <c r="AG526" s="145"/>
      <c r="AH526" s="145"/>
      <c r="AI526" s="145"/>
      <c r="AJ526" s="145"/>
      <c r="AK526" s="145"/>
      <c r="AL526" s="145"/>
      <c r="AM526" s="145"/>
      <c r="AN526" s="145"/>
      <c r="AO526" s="145"/>
      <c r="AP526" s="145"/>
      <c r="AQ526" s="145"/>
      <c r="AR526" s="145"/>
      <c r="AS526" s="145"/>
      <c r="AT526" s="124"/>
      <c r="AU526" s="124"/>
      <c r="AV526" s="124"/>
      <c r="AW526" s="124"/>
      <c r="AX526" s="124"/>
      <c r="AY526" s="124"/>
      <c r="AZ526" s="124"/>
      <c r="BA526" s="124"/>
      <c r="BB526" s="88"/>
      <c r="BC526" s="88"/>
      <c r="BD526" s="88"/>
      <c r="BE526" s="88"/>
      <c r="BF526" s="88"/>
      <c r="BG526" s="88"/>
      <c r="BH526" s="88"/>
      <c r="BI526" s="88"/>
      <c r="BJ526" s="88"/>
      <c r="BK526" s="88"/>
      <c r="BL526" s="88"/>
      <c r="BM526" s="88"/>
      <c r="BN526" s="88"/>
      <c r="BO526" s="88"/>
      <c r="BP526" s="88"/>
      <c r="BQ526" s="88"/>
      <c r="BR526" s="88"/>
      <c r="BS526" s="88"/>
    </row>
    <row r="527">
      <c r="J527" s="73"/>
      <c r="K527" s="74"/>
      <c r="L527" s="74"/>
      <c r="M527" s="74"/>
      <c r="N527" s="74"/>
      <c r="S527" s="75"/>
      <c r="T527" s="145"/>
      <c r="U527" s="145"/>
      <c r="V527" s="145"/>
      <c r="W527" s="145"/>
      <c r="X527" s="145"/>
      <c r="Y527" s="145"/>
      <c r="Z527" s="145"/>
      <c r="AA527" s="145"/>
      <c r="AB527" s="145"/>
      <c r="AC527" s="145"/>
      <c r="AD527" s="145"/>
      <c r="AE527" s="145"/>
      <c r="AF527" s="145"/>
      <c r="AG527" s="145"/>
      <c r="AH527" s="145"/>
      <c r="AI527" s="145"/>
      <c r="AJ527" s="145"/>
      <c r="AK527" s="145"/>
      <c r="AL527" s="145"/>
      <c r="AM527" s="145"/>
      <c r="AN527" s="145"/>
      <c r="AO527" s="145"/>
      <c r="AP527" s="145"/>
      <c r="AQ527" s="145"/>
      <c r="AR527" s="145"/>
      <c r="AS527" s="145"/>
      <c r="AT527" s="124"/>
      <c r="AU527" s="124"/>
      <c r="AV527" s="124"/>
      <c r="AW527" s="124"/>
      <c r="AX527" s="124"/>
      <c r="AY527" s="124"/>
      <c r="AZ527" s="124"/>
      <c r="BA527" s="124"/>
      <c r="BB527" s="88"/>
      <c r="BC527" s="88"/>
      <c r="BD527" s="88"/>
      <c r="BE527" s="88"/>
      <c r="BF527" s="88"/>
      <c r="BG527" s="88"/>
      <c r="BH527" s="88"/>
      <c r="BI527" s="88"/>
      <c r="BJ527" s="88"/>
      <c r="BK527" s="88"/>
      <c r="BL527" s="88"/>
      <c r="BM527" s="88"/>
      <c r="BN527" s="88"/>
      <c r="BO527" s="88"/>
      <c r="BP527" s="88"/>
      <c r="BQ527" s="88"/>
      <c r="BR527" s="88"/>
      <c r="BS527" s="88"/>
    </row>
    <row r="528">
      <c r="J528" s="73"/>
      <c r="K528" s="74"/>
      <c r="L528" s="74"/>
      <c r="M528" s="74"/>
      <c r="N528" s="74"/>
      <c r="S528" s="75"/>
      <c r="T528" s="145"/>
      <c r="U528" s="145"/>
      <c r="V528" s="145"/>
      <c r="W528" s="145"/>
      <c r="X528" s="145"/>
      <c r="Y528" s="145"/>
      <c r="Z528" s="145"/>
      <c r="AA528" s="145"/>
      <c r="AB528" s="145"/>
      <c r="AC528" s="145"/>
      <c r="AD528" s="145"/>
      <c r="AE528" s="145"/>
      <c r="AF528" s="145"/>
      <c r="AG528" s="145"/>
      <c r="AH528" s="145"/>
      <c r="AI528" s="145"/>
      <c r="AJ528" s="145"/>
      <c r="AK528" s="145"/>
      <c r="AL528" s="145"/>
      <c r="AM528" s="145"/>
      <c r="AN528" s="145"/>
      <c r="AO528" s="145"/>
      <c r="AP528" s="145"/>
      <c r="AQ528" s="145"/>
      <c r="AR528" s="145"/>
      <c r="AS528" s="145"/>
      <c r="AT528" s="124"/>
      <c r="AU528" s="124"/>
      <c r="AV528" s="124"/>
      <c r="AW528" s="124"/>
      <c r="AX528" s="124"/>
      <c r="AY528" s="124"/>
      <c r="AZ528" s="124"/>
      <c r="BA528" s="124"/>
      <c r="BB528" s="88"/>
      <c r="BC528" s="88"/>
      <c r="BD528" s="88"/>
      <c r="BE528" s="88"/>
      <c r="BF528" s="88"/>
      <c r="BG528" s="88"/>
      <c r="BH528" s="88"/>
      <c r="BI528" s="88"/>
      <c r="BJ528" s="88"/>
      <c r="BK528" s="88"/>
      <c r="BL528" s="88"/>
      <c r="BM528" s="88"/>
      <c r="BN528" s="88"/>
      <c r="BO528" s="88"/>
      <c r="BP528" s="88"/>
      <c r="BQ528" s="88"/>
      <c r="BR528" s="88"/>
      <c r="BS528" s="88"/>
    </row>
    <row r="529">
      <c r="J529" s="73"/>
      <c r="K529" s="74"/>
      <c r="L529" s="74"/>
      <c r="M529" s="74"/>
      <c r="N529" s="74"/>
      <c r="S529" s="75"/>
      <c r="T529" s="145"/>
      <c r="U529" s="145"/>
      <c r="V529" s="145"/>
      <c r="W529" s="145"/>
      <c r="X529" s="145"/>
      <c r="Y529" s="145"/>
      <c r="Z529" s="145"/>
      <c r="AA529" s="145"/>
      <c r="AB529" s="145"/>
      <c r="AC529" s="145"/>
      <c r="AD529" s="145"/>
      <c r="AE529" s="145"/>
      <c r="AF529" s="145"/>
      <c r="AG529" s="145"/>
      <c r="AH529" s="145"/>
      <c r="AI529" s="145"/>
      <c r="AJ529" s="145"/>
      <c r="AK529" s="145"/>
      <c r="AL529" s="145"/>
      <c r="AM529" s="145"/>
      <c r="AN529" s="145"/>
      <c r="AO529" s="145"/>
      <c r="AP529" s="145"/>
      <c r="AQ529" s="145"/>
      <c r="AR529" s="145"/>
      <c r="AS529" s="145"/>
      <c r="AT529" s="124"/>
      <c r="AU529" s="124"/>
      <c r="AV529" s="124"/>
      <c r="AW529" s="124"/>
      <c r="AX529" s="124"/>
      <c r="AY529" s="124"/>
      <c r="AZ529" s="124"/>
      <c r="BA529" s="124"/>
      <c r="BB529" s="88"/>
      <c r="BC529" s="88"/>
      <c r="BD529" s="88"/>
      <c r="BE529" s="88"/>
      <c r="BF529" s="88"/>
      <c r="BG529" s="88"/>
      <c r="BH529" s="88"/>
      <c r="BI529" s="88"/>
      <c r="BJ529" s="88"/>
      <c r="BK529" s="88"/>
      <c r="BL529" s="88"/>
      <c r="BM529" s="88"/>
      <c r="BN529" s="88"/>
      <c r="BO529" s="88"/>
      <c r="BP529" s="88"/>
      <c r="BQ529" s="88"/>
      <c r="BR529" s="88"/>
      <c r="BS529" s="88"/>
    </row>
    <row r="530">
      <c r="J530" s="73"/>
      <c r="K530" s="74"/>
      <c r="L530" s="74"/>
      <c r="M530" s="74"/>
      <c r="N530" s="74"/>
      <c r="S530" s="75"/>
      <c r="T530" s="145"/>
      <c r="U530" s="145"/>
      <c r="V530" s="145"/>
      <c r="W530" s="145"/>
      <c r="X530" s="145"/>
      <c r="Y530" s="145"/>
      <c r="Z530" s="145"/>
      <c r="AA530" s="145"/>
      <c r="AB530" s="145"/>
      <c r="AC530" s="145"/>
      <c r="AD530" s="145"/>
      <c r="AE530" s="145"/>
      <c r="AF530" s="145"/>
      <c r="AG530" s="145"/>
      <c r="AH530" s="145"/>
      <c r="AI530" s="145"/>
      <c r="AJ530" s="145"/>
      <c r="AK530" s="145"/>
      <c r="AL530" s="145"/>
      <c r="AM530" s="145"/>
      <c r="AN530" s="145"/>
      <c r="AO530" s="145"/>
      <c r="AP530" s="145"/>
      <c r="AQ530" s="145"/>
      <c r="AR530" s="145"/>
      <c r="AS530" s="145"/>
      <c r="AT530" s="124"/>
      <c r="AU530" s="124"/>
      <c r="AV530" s="124"/>
      <c r="AW530" s="124"/>
      <c r="AX530" s="124"/>
      <c r="AY530" s="124"/>
      <c r="AZ530" s="124"/>
      <c r="BA530" s="124"/>
      <c r="BB530" s="88"/>
      <c r="BC530" s="88"/>
      <c r="BD530" s="88"/>
      <c r="BE530" s="88"/>
      <c r="BF530" s="88"/>
      <c r="BG530" s="88"/>
      <c r="BH530" s="88"/>
      <c r="BI530" s="88"/>
      <c r="BJ530" s="88"/>
      <c r="BK530" s="88"/>
      <c r="BL530" s="88"/>
      <c r="BM530" s="88"/>
      <c r="BN530" s="88"/>
      <c r="BO530" s="88"/>
      <c r="BP530" s="88"/>
      <c r="BQ530" s="88"/>
      <c r="BR530" s="88"/>
      <c r="BS530" s="88"/>
    </row>
    <row r="531">
      <c r="J531" s="73"/>
      <c r="K531" s="74"/>
      <c r="L531" s="74"/>
      <c r="M531" s="74"/>
      <c r="N531" s="74"/>
      <c r="S531" s="75"/>
      <c r="T531" s="145"/>
      <c r="U531" s="145"/>
      <c r="V531" s="145"/>
      <c r="W531" s="145"/>
      <c r="X531" s="145"/>
      <c r="Y531" s="145"/>
      <c r="Z531" s="145"/>
      <c r="AA531" s="145"/>
      <c r="AB531" s="145"/>
      <c r="AC531" s="145"/>
      <c r="AD531" s="145"/>
      <c r="AE531" s="145"/>
      <c r="AF531" s="145"/>
      <c r="AG531" s="145"/>
      <c r="AH531" s="145"/>
      <c r="AI531" s="145"/>
      <c r="AJ531" s="145"/>
      <c r="AK531" s="145"/>
      <c r="AL531" s="145"/>
      <c r="AM531" s="145"/>
      <c r="AN531" s="145"/>
      <c r="AO531" s="145"/>
      <c r="AP531" s="145"/>
      <c r="AQ531" s="145"/>
      <c r="AR531" s="145"/>
      <c r="AS531" s="145"/>
      <c r="AT531" s="124"/>
      <c r="AU531" s="124"/>
      <c r="AV531" s="124"/>
      <c r="AW531" s="124"/>
      <c r="AX531" s="124"/>
      <c r="AY531" s="124"/>
      <c r="AZ531" s="124"/>
      <c r="BA531" s="124"/>
      <c r="BB531" s="88"/>
      <c r="BC531" s="88"/>
      <c r="BD531" s="88"/>
      <c r="BE531" s="88"/>
      <c r="BF531" s="88"/>
      <c r="BG531" s="88"/>
      <c r="BH531" s="88"/>
      <c r="BI531" s="88"/>
      <c r="BJ531" s="88"/>
      <c r="BK531" s="88"/>
      <c r="BL531" s="88"/>
      <c r="BM531" s="88"/>
      <c r="BN531" s="88"/>
      <c r="BO531" s="88"/>
      <c r="BP531" s="88"/>
      <c r="BQ531" s="88"/>
      <c r="BR531" s="88"/>
      <c r="BS531" s="88"/>
    </row>
    <row r="532">
      <c r="J532" s="73"/>
      <c r="K532" s="74"/>
      <c r="L532" s="74"/>
      <c r="M532" s="74"/>
      <c r="N532" s="74"/>
      <c r="S532" s="75"/>
      <c r="T532" s="145"/>
      <c r="U532" s="145"/>
      <c r="V532" s="145"/>
      <c r="W532" s="145"/>
      <c r="X532" s="145"/>
      <c r="Y532" s="145"/>
      <c r="Z532" s="145"/>
      <c r="AA532" s="145"/>
      <c r="AB532" s="145"/>
      <c r="AC532" s="145"/>
      <c r="AD532" s="145"/>
      <c r="AE532" s="145"/>
      <c r="AF532" s="145"/>
      <c r="AG532" s="145"/>
      <c r="AH532" s="145"/>
      <c r="AI532" s="145"/>
      <c r="AJ532" s="145"/>
      <c r="AK532" s="145"/>
      <c r="AL532" s="145"/>
      <c r="AM532" s="145"/>
      <c r="AN532" s="145"/>
      <c r="AO532" s="145"/>
      <c r="AP532" s="145"/>
      <c r="AQ532" s="145"/>
      <c r="AR532" s="145"/>
      <c r="AS532" s="145"/>
      <c r="AT532" s="124"/>
      <c r="AU532" s="124"/>
      <c r="AV532" s="124"/>
      <c r="AW532" s="124"/>
      <c r="AX532" s="124"/>
      <c r="AY532" s="124"/>
      <c r="AZ532" s="124"/>
      <c r="BA532" s="124"/>
      <c r="BB532" s="88"/>
      <c r="BC532" s="88"/>
      <c r="BD532" s="88"/>
      <c r="BE532" s="88"/>
      <c r="BF532" s="88"/>
      <c r="BG532" s="88"/>
      <c r="BH532" s="88"/>
      <c r="BI532" s="88"/>
      <c r="BJ532" s="88"/>
      <c r="BK532" s="88"/>
      <c r="BL532" s="88"/>
      <c r="BM532" s="88"/>
      <c r="BN532" s="88"/>
      <c r="BO532" s="88"/>
      <c r="BP532" s="88"/>
      <c r="BQ532" s="88"/>
      <c r="BR532" s="88"/>
      <c r="BS532" s="88"/>
    </row>
    <row r="533">
      <c r="J533" s="73"/>
      <c r="K533" s="74"/>
      <c r="L533" s="74"/>
      <c r="M533" s="74"/>
      <c r="N533" s="74"/>
      <c r="S533" s="75"/>
      <c r="T533" s="145"/>
      <c r="U533" s="145"/>
      <c r="V533" s="145"/>
      <c r="W533" s="145"/>
      <c r="X533" s="145"/>
      <c r="Y533" s="145"/>
      <c r="Z533" s="145"/>
      <c r="AA533" s="145"/>
      <c r="AB533" s="145"/>
      <c r="AC533" s="145"/>
      <c r="AD533" s="145"/>
      <c r="AE533" s="145"/>
      <c r="AF533" s="145"/>
      <c r="AG533" s="145"/>
      <c r="AH533" s="145"/>
      <c r="AI533" s="145"/>
      <c r="AJ533" s="145"/>
      <c r="AK533" s="145"/>
      <c r="AL533" s="145"/>
      <c r="AM533" s="145"/>
      <c r="AN533" s="145"/>
      <c r="AO533" s="145"/>
      <c r="AP533" s="145"/>
      <c r="AQ533" s="145"/>
      <c r="AR533" s="145"/>
      <c r="AS533" s="145"/>
      <c r="AT533" s="124"/>
      <c r="AU533" s="124"/>
      <c r="AV533" s="124"/>
      <c r="AW533" s="124"/>
      <c r="AX533" s="124"/>
      <c r="AY533" s="124"/>
      <c r="AZ533" s="124"/>
      <c r="BA533" s="124"/>
      <c r="BB533" s="88"/>
      <c r="BC533" s="88"/>
      <c r="BD533" s="88"/>
      <c r="BE533" s="88"/>
      <c r="BF533" s="88"/>
      <c r="BG533" s="88"/>
      <c r="BH533" s="88"/>
      <c r="BI533" s="88"/>
      <c r="BJ533" s="88"/>
      <c r="BK533" s="88"/>
      <c r="BL533" s="88"/>
      <c r="BM533" s="88"/>
      <c r="BN533" s="88"/>
      <c r="BO533" s="88"/>
      <c r="BP533" s="88"/>
      <c r="BQ533" s="88"/>
      <c r="BR533" s="88"/>
      <c r="BS533" s="88"/>
    </row>
    <row r="534">
      <c r="J534" s="73"/>
      <c r="K534" s="74"/>
      <c r="L534" s="74"/>
      <c r="M534" s="74"/>
      <c r="N534" s="74"/>
      <c r="S534" s="75"/>
      <c r="T534" s="145"/>
      <c r="U534" s="145"/>
      <c r="V534" s="145"/>
      <c r="W534" s="145"/>
      <c r="X534" s="145"/>
      <c r="Y534" s="145"/>
      <c r="Z534" s="145"/>
      <c r="AA534" s="145"/>
      <c r="AB534" s="145"/>
      <c r="AC534" s="145"/>
      <c r="AD534" s="145"/>
      <c r="AE534" s="145"/>
      <c r="AF534" s="145"/>
      <c r="AG534" s="145"/>
      <c r="AH534" s="145"/>
      <c r="AI534" s="145"/>
      <c r="AJ534" s="145"/>
      <c r="AK534" s="145"/>
      <c r="AL534" s="145"/>
      <c r="AM534" s="145"/>
      <c r="AN534" s="145"/>
      <c r="AO534" s="145"/>
      <c r="AP534" s="145"/>
      <c r="AQ534" s="145"/>
      <c r="AR534" s="145"/>
      <c r="AS534" s="145"/>
      <c r="AT534" s="124"/>
      <c r="AU534" s="124"/>
      <c r="AV534" s="124"/>
      <c r="AW534" s="124"/>
      <c r="AX534" s="124"/>
      <c r="AY534" s="124"/>
      <c r="AZ534" s="124"/>
      <c r="BA534" s="124"/>
      <c r="BB534" s="88"/>
      <c r="BC534" s="88"/>
      <c r="BD534" s="88"/>
      <c r="BE534" s="88"/>
      <c r="BF534" s="88"/>
      <c r="BG534" s="88"/>
      <c r="BH534" s="88"/>
      <c r="BI534" s="88"/>
      <c r="BJ534" s="88"/>
      <c r="BK534" s="88"/>
      <c r="BL534" s="88"/>
      <c r="BM534" s="88"/>
      <c r="BN534" s="88"/>
      <c r="BO534" s="88"/>
      <c r="BP534" s="88"/>
      <c r="BQ534" s="88"/>
      <c r="BR534" s="88"/>
      <c r="BS534" s="88"/>
    </row>
    <row r="535">
      <c r="J535" s="73"/>
      <c r="K535" s="74"/>
      <c r="L535" s="74"/>
      <c r="M535" s="74"/>
      <c r="N535" s="74"/>
      <c r="S535" s="75"/>
      <c r="T535" s="145"/>
      <c r="U535" s="145"/>
      <c r="V535" s="145"/>
      <c r="W535" s="145"/>
      <c r="X535" s="145"/>
      <c r="Y535" s="145"/>
      <c r="Z535" s="145"/>
      <c r="AA535" s="145"/>
      <c r="AB535" s="145"/>
      <c r="AC535" s="145"/>
      <c r="AD535" s="145"/>
      <c r="AE535" s="145"/>
      <c r="AF535" s="145"/>
      <c r="AG535" s="145"/>
      <c r="AH535" s="145"/>
      <c r="AI535" s="145"/>
      <c r="AJ535" s="145"/>
      <c r="AK535" s="145"/>
      <c r="AL535" s="145"/>
      <c r="AM535" s="145"/>
      <c r="AN535" s="145"/>
      <c r="AO535" s="145"/>
      <c r="AP535" s="145"/>
      <c r="AQ535" s="145"/>
      <c r="AR535" s="145"/>
      <c r="AS535" s="145"/>
      <c r="AT535" s="124"/>
      <c r="AU535" s="124"/>
      <c r="AV535" s="124"/>
      <c r="AW535" s="124"/>
      <c r="AX535" s="124"/>
      <c r="AY535" s="124"/>
      <c r="AZ535" s="124"/>
      <c r="BA535" s="124"/>
      <c r="BB535" s="88"/>
      <c r="BC535" s="88"/>
      <c r="BD535" s="88"/>
      <c r="BE535" s="88"/>
      <c r="BF535" s="88"/>
      <c r="BG535" s="88"/>
      <c r="BH535" s="88"/>
      <c r="BI535" s="88"/>
      <c r="BJ535" s="88"/>
      <c r="BK535" s="88"/>
      <c r="BL535" s="88"/>
      <c r="BM535" s="88"/>
      <c r="BN535" s="88"/>
      <c r="BO535" s="88"/>
      <c r="BP535" s="88"/>
      <c r="BQ535" s="88"/>
      <c r="BR535" s="88"/>
      <c r="BS535" s="88"/>
    </row>
    <row r="536">
      <c r="J536" s="73"/>
      <c r="K536" s="74"/>
      <c r="L536" s="74"/>
      <c r="M536" s="74"/>
      <c r="N536" s="74"/>
      <c r="S536" s="75"/>
      <c r="T536" s="145"/>
      <c r="U536" s="145"/>
      <c r="V536" s="145"/>
      <c r="W536" s="145"/>
      <c r="X536" s="145"/>
      <c r="Y536" s="145"/>
      <c r="Z536" s="145"/>
      <c r="AA536" s="145"/>
      <c r="AB536" s="145"/>
      <c r="AC536" s="145"/>
      <c r="AD536" s="145"/>
      <c r="AE536" s="145"/>
      <c r="AF536" s="145"/>
      <c r="AG536" s="145"/>
      <c r="AH536" s="145"/>
      <c r="AI536" s="145"/>
      <c r="AJ536" s="145"/>
      <c r="AK536" s="145"/>
      <c r="AL536" s="145"/>
      <c r="AM536" s="145"/>
      <c r="AN536" s="145"/>
      <c r="AO536" s="145"/>
      <c r="AP536" s="145"/>
      <c r="AQ536" s="145"/>
      <c r="AR536" s="145"/>
      <c r="AS536" s="145"/>
      <c r="AT536" s="124"/>
      <c r="AU536" s="124"/>
      <c r="AV536" s="124"/>
      <c r="AW536" s="124"/>
      <c r="AX536" s="124"/>
      <c r="AY536" s="124"/>
      <c r="AZ536" s="124"/>
      <c r="BA536" s="124"/>
      <c r="BB536" s="88"/>
      <c r="BC536" s="88"/>
      <c r="BD536" s="88"/>
      <c r="BE536" s="88"/>
      <c r="BF536" s="88"/>
      <c r="BG536" s="88"/>
      <c r="BH536" s="88"/>
      <c r="BI536" s="88"/>
      <c r="BJ536" s="88"/>
      <c r="BK536" s="88"/>
      <c r="BL536" s="88"/>
      <c r="BM536" s="88"/>
      <c r="BN536" s="88"/>
      <c r="BO536" s="88"/>
      <c r="BP536" s="88"/>
      <c r="BQ536" s="88"/>
      <c r="BR536" s="88"/>
      <c r="BS536" s="88"/>
    </row>
    <row r="537">
      <c r="J537" s="73"/>
      <c r="K537" s="74"/>
      <c r="L537" s="74"/>
      <c r="M537" s="74"/>
      <c r="N537" s="74"/>
      <c r="S537" s="75"/>
      <c r="T537" s="145"/>
      <c r="U537" s="145"/>
      <c r="V537" s="145"/>
      <c r="W537" s="145"/>
      <c r="X537" s="145"/>
      <c r="Y537" s="145"/>
      <c r="Z537" s="145"/>
      <c r="AA537" s="145"/>
      <c r="AB537" s="145"/>
      <c r="AC537" s="145"/>
      <c r="AD537" s="145"/>
      <c r="AE537" s="145"/>
      <c r="AF537" s="145"/>
      <c r="AG537" s="145"/>
      <c r="AH537" s="145"/>
      <c r="AI537" s="145"/>
      <c r="AJ537" s="145"/>
      <c r="AK537" s="145"/>
      <c r="AL537" s="145"/>
      <c r="AM537" s="145"/>
      <c r="AN537" s="145"/>
      <c r="AO537" s="145"/>
      <c r="AP537" s="145"/>
      <c r="AQ537" s="145"/>
      <c r="AR537" s="145"/>
      <c r="AS537" s="145"/>
      <c r="AT537" s="124"/>
      <c r="AU537" s="124"/>
      <c r="AV537" s="124"/>
      <c r="AW537" s="124"/>
      <c r="AX537" s="124"/>
      <c r="AY537" s="124"/>
      <c r="AZ537" s="124"/>
      <c r="BA537" s="124"/>
      <c r="BB537" s="88"/>
      <c r="BC537" s="88"/>
      <c r="BD537" s="88"/>
      <c r="BE537" s="88"/>
      <c r="BF537" s="88"/>
      <c r="BG537" s="88"/>
      <c r="BH537" s="88"/>
      <c r="BI537" s="88"/>
      <c r="BJ537" s="88"/>
      <c r="BK537" s="88"/>
      <c r="BL537" s="88"/>
      <c r="BM537" s="88"/>
      <c r="BN537" s="88"/>
      <c r="BO537" s="88"/>
      <c r="BP537" s="88"/>
      <c r="BQ537" s="88"/>
      <c r="BR537" s="88"/>
      <c r="BS537" s="88"/>
    </row>
    <row r="538">
      <c r="J538" s="73"/>
      <c r="K538" s="74"/>
      <c r="L538" s="74"/>
      <c r="M538" s="74"/>
      <c r="N538" s="74"/>
      <c r="S538" s="75"/>
      <c r="T538" s="145"/>
      <c r="U538" s="145"/>
      <c r="V538" s="145"/>
      <c r="W538" s="145"/>
      <c r="X538" s="145"/>
      <c r="Y538" s="145"/>
      <c r="Z538" s="145"/>
      <c r="AA538" s="145"/>
      <c r="AB538" s="145"/>
      <c r="AC538" s="145"/>
      <c r="AD538" s="145"/>
      <c r="AE538" s="145"/>
      <c r="AF538" s="145"/>
      <c r="AG538" s="145"/>
      <c r="AH538" s="145"/>
      <c r="AI538" s="145"/>
      <c r="AJ538" s="145"/>
      <c r="AK538" s="145"/>
      <c r="AL538" s="145"/>
      <c r="AM538" s="145"/>
      <c r="AN538" s="145"/>
      <c r="AO538" s="145"/>
      <c r="AP538" s="145"/>
      <c r="AQ538" s="145"/>
      <c r="AR538" s="145"/>
      <c r="AS538" s="145"/>
      <c r="AT538" s="124"/>
      <c r="AU538" s="124"/>
      <c r="AV538" s="124"/>
      <c r="AW538" s="124"/>
      <c r="AX538" s="124"/>
      <c r="AY538" s="124"/>
      <c r="AZ538" s="124"/>
      <c r="BA538" s="124"/>
      <c r="BB538" s="88"/>
      <c r="BC538" s="88"/>
      <c r="BD538" s="88"/>
      <c r="BE538" s="88"/>
      <c r="BF538" s="88"/>
      <c r="BG538" s="88"/>
      <c r="BH538" s="88"/>
      <c r="BI538" s="88"/>
      <c r="BJ538" s="88"/>
      <c r="BK538" s="88"/>
      <c r="BL538" s="88"/>
      <c r="BM538" s="88"/>
      <c r="BN538" s="88"/>
      <c r="BO538" s="88"/>
      <c r="BP538" s="88"/>
      <c r="BQ538" s="88"/>
      <c r="BR538" s="88"/>
      <c r="BS538" s="88"/>
    </row>
    <row r="539">
      <c r="J539" s="73"/>
      <c r="K539" s="74"/>
      <c r="L539" s="74"/>
      <c r="M539" s="74"/>
      <c r="N539" s="74"/>
      <c r="S539" s="75"/>
      <c r="T539" s="145"/>
      <c r="U539" s="145"/>
      <c r="V539" s="145"/>
      <c r="W539" s="145"/>
      <c r="X539" s="145"/>
      <c r="Y539" s="145"/>
      <c r="Z539" s="145"/>
      <c r="AA539" s="145"/>
      <c r="AB539" s="145"/>
      <c r="AC539" s="145"/>
      <c r="AD539" s="145"/>
      <c r="AE539" s="145"/>
      <c r="AF539" s="145"/>
      <c r="AG539" s="145"/>
      <c r="AH539" s="145"/>
      <c r="AI539" s="145"/>
      <c r="AJ539" s="145"/>
      <c r="AK539" s="145"/>
      <c r="AL539" s="145"/>
      <c r="AM539" s="145"/>
      <c r="AN539" s="145"/>
      <c r="AO539" s="145"/>
      <c r="AP539" s="145"/>
      <c r="AQ539" s="145"/>
      <c r="AR539" s="145"/>
      <c r="AS539" s="145"/>
      <c r="AT539" s="124"/>
      <c r="AU539" s="124"/>
      <c r="AV539" s="124"/>
      <c r="AW539" s="124"/>
      <c r="AX539" s="124"/>
      <c r="AY539" s="124"/>
      <c r="AZ539" s="124"/>
      <c r="BA539" s="124"/>
      <c r="BB539" s="88"/>
      <c r="BC539" s="88"/>
      <c r="BD539" s="88"/>
      <c r="BE539" s="88"/>
      <c r="BF539" s="88"/>
      <c r="BG539" s="88"/>
      <c r="BH539" s="88"/>
      <c r="BI539" s="88"/>
      <c r="BJ539" s="88"/>
      <c r="BK539" s="88"/>
      <c r="BL539" s="88"/>
      <c r="BM539" s="88"/>
      <c r="BN539" s="88"/>
      <c r="BO539" s="88"/>
      <c r="BP539" s="88"/>
      <c r="BQ539" s="88"/>
      <c r="BR539" s="88"/>
      <c r="BS539" s="88"/>
    </row>
    <row r="540">
      <c r="J540" s="73"/>
      <c r="K540" s="74"/>
      <c r="L540" s="74"/>
      <c r="M540" s="74"/>
      <c r="N540" s="74"/>
      <c r="S540" s="75"/>
      <c r="T540" s="145"/>
      <c r="U540" s="145"/>
      <c r="V540" s="145"/>
      <c r="W540" s="145"/>
      <c r="X540" s="145"/>
      <c r="Y540" s="145"/>
      <c r="Z540" s="145"/>
      <c r="AA540" s="145"/>
      <c r="AB540" s="145"/>
      <c r="AC540" s="145"/>
      <c r="AD540" s="145"/>
      <c r="AE540" s="145"/>
      <c r="AF540" s="145"/>
      <c r="AG540" s="145"/>
      <c r="AH540" s="145"/>
      <c r="AI540" s="145"/>
      <c r="AJ540" s="145"/>
      <c r="AK540" s="145"/>
      <c r="AL540" s="145"/>
      <c r="AM540" s="145"/>
      <c r="AN540" s="145"/>
      <c r="AO540" s="145"/>
      <c r="AP540" s="145"/>
      <c r="AQ540" s="145"/>
      <c r="AR540" s="145"/>
      <c r="AS540" s="145"/>
      <c r="AT540" s="124"/>
      <c r="AU540" s="124"/>
      <c r="AV540" s="124"/>
      <c r="AW540" s="124"/>
      <c r="AX540" s="124"/>
      <c r="AY540" s="124"/>
      <c r="AZ540" s="124"/>
      <c r="BA540" s="124"/>
      <c r="BB540" s="88"/>
      <c r="BC540" s="88"/>
      <c r="BD540" s="88"/>
      <c r="BE540" s="88"/>
      <c r="BF540" s="88"/>
      <c r="BG540" s="88"/>
      <c r="BH540" s="88"/>
      <c r="BI540" s="88"/>
      <c r="BJ540" s="88"/>
      <c r="BK540" s="88"/>
      <c r="BL540" s="88"/>
      <c r="BM540" s="88"/>
      <c r="BN540" s="88"/>
      <c r="BO540" s="88"/>
      <c r="BP540" s="88"/>
      <c r="BQ540" s="88"/>
      <c r="BR540" s="88"/>
      <c r="BS540" s="88"/>
    </row>
    <row r="541">
      <c r="J541" s="73"/>
      <c r="K541" s="74"/>
      <c r="L541" s="74"/>
      <c r="M541" s="74"/>
      <c r="N541" s="74"/>
      <c r="S541" s="75"/>
      <c r="T541" s="145"/>
      <c r="U541" s="145"/>
      <c r="V541" s="145"/>
      <c r="W541" s="145"/>
      <c r="X541" s="145"/>
      <c r="Y541" s="145"/>
      <c r="Z541" s="145"/>
      <c r="AA541" s="145"/>
      <c r="AB541" s="145"/>
      <c r="AC541" s="145"/>
      <c r="AD541" s="145"/>
      <c r="AE541" s="145"/>
      <c r="AF541" s="145"/>
      <c r="AG541" s="145"/>
      <c r="AH541" s="145"/>
      <c r="AI541" s="145"/>
      <c r="AJ541" s="145"/>
      <c r="AK541" s="145"/>
      <c r="AL541" s="145"/>
      <c r="AM541" s="145"/>
      <c r="AN541" s="145"/>
      <c r="AO541" s="145"/>
      <c r="AP541" s="145"/>
      <c r="AQ541" s="145"/>
      <c r="AR541" s="145"/>
      <c r="AS541" s="145"/>
      <c r="AT541" s="124"/>
      <c r="AU541" s="124"/>
      <c r="AV541" s="124"/>
      <c r="AW541" s="124"/>
      <c r="AX541" s="124"/>
      <c r="AY541" s="124"/>
      <c r="AZ541" s="124"/>
      <c r="BA541" s="124"/>
      <c r="BB541" s="88"/>
      <c r="BC541" s="88"/>
      <c r="BD541" s="88"/>
      <c r="BE541" s="88"/>
      <c r="BF541" s="88"/>
      <c r="BG541" s="88"/>
      <c r="BH541" s="88"/>
      <c r="BI541" s="88"/>
      <c r="BJ541" s="88"/>
      <c r="BK541" s="88"/>
      <c r="BL541" s="88"/>
      <c r="BM541" s="88"/>
      <c r="BN541" s="88"/>
      <c r="BO541" s="88"/>
      <c r="BP541" s="88"/>
      <c r="BQ541" s="88"/>
      <c r="BR541" s="88"/>
      <c r="BS541" s="88"/>
    </row>
    <row r="542">
      <c r="J542" s="73"/>
      <c r="K542" s="74"/>
      <c r="L542" s="74"/>
      <c r="M542" s="74"/>
      <c r="N542" s="74"/>
      <c r="S542" s="75"/>
      <c r="T542" s="145"/>
      <c r="U542" s="145"/>
      <c r="V542" s="145"/>
      <c r="W542" s="145"/>
      <c r="X542" s="145"/>
      <c r="Y542" s="145"/>
      <c r="Z542" s="145"/>
      <c r="AA542" s="145"/>
      <c r="AB542" s="145"/>
      <c r="AC542" s="145"/>
      <c r="AD542" s="145"/>
      <c r="AE542" s="145"/>
      <c r="AF542" s="145"/>
      <c r="AG542" s="145"/>
      <c r="AH542" s="145"/>
      <c r="AI542" s="145"/>
      <c r="AJ542" s="145"/>
      <c r="AK542" s="145"/>
      <c r="AL542" s="145"/>
      <c r="AM542" s="145"/>
      <c r="AN542" s="145"/>
      <c r="AO542" s="145"/>
      <c r="AP542" s="145"/>
      <c r="AQ542" s="145"/>
      <c r="AR542" s="145"/>
      <c r="AS542" s="145"/>
      <c r="AT542" s="124"/>
      <c r="AU542" s="124"/>
      <c r="AV542" s="124"/>
      <c r="AW542" s="124"/>
      <c r="AX542" s="124"/>
      <c r="AY542" s="124"/>
      <c r="AZ542" s="124"/>
      <c r="BA542" s="124"/>
      <c r="BB542" s="88"/>
      <c r="BC542" s="88"/>
      <c r="BD542" s="88"/>
      <c r="BE542" s="88"/>
      <c r="BF542" s="88"/>
      <c r="BG542" s="88"/>
      <c r="BH542" s="88"/>
      <c r="BI542" s="88"/>
      <c r="BJ542" s="88"/>
      <c r="BK542" s="88"/>
      <c r="BL542" s="88"/>
      <c r="BM542" s="88"/>
      <c r="BN542" s="88"/>
      <c r="BO542" s="88"/>
      <c r="BP542" s="88"/>
      <c r="BQ542" s="88"/>
      <c r="BR542" s="88"/>
      <c r="BS542" s="88"/>
    </row>
    <row r="543">
      <c r="J543" s="73"/>
      <c r="K543" s="74"/>
      <c r="L543" s="74"/>
      <c r="M543" s="74"/>
      <c r="N543" s="74"/>
      <c r="S543" s="75"/>
      <c r="T543" s="145"/>
      <c r="U543" s="145"/>
      <c r="V543" s="145"/>
      <c r="W543" s="145"/>
      <c r="X543" s="145"/>
      <c r="Y543" s="145"/>
      <c r="Z543" s="145"/>
      <c r="AA543" s="145"/>
      <c r="AB543" s="145"/>
      <c r="AC543" s="145"/>
      <c r="AD543" s="145"/>
      <c r="AE543" s="145"/>
      <c r="AF543" s="145"/>
      <c r="AG543" s="145"/>
      <c r="AH543" s="145"/>
      <c r="AI543" s="145"/>
      <c r="AJ543" s="145"/>
      <c r="AK543" s="145"/>
      <c r="AL543" s="145"/>
      <c r="AM543" s="145"/>
      <c r="AN543" s="145"/>
      <c r="AO543" s="145"/>
      <c r="AP543" s="145"/>
      <c r="AQ543" s="145"/>
      <c r="AR543" s="145"/>
      <c r="AS543" s="145"/>
      <c r="AT543" s="124"/>
      <c r="AU543" s="124"/>
      <c r="AV543" s="124"/>
      <c r="AW543" s="124"/>
      <c r="AX543" s="124"/>
      <c r="AY543" s="124"/>
      <c r="AZ543" s="124"/>
      <c r="BA543" s="124"/>
      <c r="BB543" s="88"/>
      <c r="BC543" s="88"/>
      <c r="BD543" s="88"/>
      <c r="BE543" s="88"/>
      <c r="BF543" s="88"/>
      <c r="BG543" s="88"/>
      <c r="BH543" s="88"/>
      <c r="BI543" s="88"/>
      <c r="BJ543" s="88"/>
      <c r="BK543" s="88"/>
      <c r="BL543" s="88"/>
      <c r="BM543" s="88"/>
      <c r="BN543" s="88"/>
      <c r="BO543" s="88"/>
      <c r="BP543" s="88"/>
      <c r="BQ543" s="88"/>
      <c r="BR543" s="88"/>
      <c r="BS543" s="88"/>
    </row>
    <row r="544">
      <c r="J544" s="73"/>
      <c r="K544" s="74"/>
      <c r="L544" s="74"/>
      <c r="M544" s="74"/>
      <c r="N544" s="74"/>
      <c r="S544" s="75"/>
      <c r="T544" s="145"/>
      <c r="U544" s="145"/>
      <c r="V544" s="145"/>
      <c r="W544" s="145"/>
      <c r="X544" s="145"/>
      <c r="Y544" s="145"/>
      <c r="Z544" s="145"/>
      <c r="AA544" s="145"/>
      <c r="AB544" s="145"/>
      <c r="AC544" s="145"/>
      <c r="AD544" s="145"/>
      <c r="AE544" s="145"/>
      <c r="AF544" s="145"/>
      <c r="AG544" s="145"/>
      <c r="AH544" s="145"/>
      <c r="AI544" s="145"/>
      <c r="AJ544" s="145"/>
      <c r="AK544" s="145"/>
      <c r="AL544" s="145"/>
      <c r="AM544" s="145"/>
      <c r="AN544" s="145"/>
      <c r="AO544" s="145"/>
      <c r="AP544" s="145"/>
      <c r="AQ544" s="145"/>
      <c r="AR544" s="145"/>
      <c r="AS544" s="145"/>
      <c r="AT544" s="124"/>
      <c r="AU544" s="124"/>
      <c r="AV544" s="124"/>
      <c r="AW544" s="124"/>
      <c r="AX544" s="124"/>
      <c r="AY544" s="124"/>
      <c r="AZ544" s="124"/>
      <c r="BA544" s="124"/>
      <c r="BB544" s="88"/>
      <c r="BC544" s="88"/>
      <c r="BD544" s="88"/>
      <c r="BE544" s="88"/>
      <c r="BF544" s="88"/>
      <c r="BG544" s="88"/>
      <c r="BH544" s="88"/>
      <c r="BI544" s="88"/>
      <c r="BJ544" s="88"/>
      <c r="BK544" s="88"/>
      <c r="BL544" s="88"/>
      <c r="BM544" s="88"/>
      <c r="BN544" s="88"/>
      <c r="BO544" s="88"/>
      <c r="BP544" s="88"/>
      <c r="BQ544" s="88"/>
      <c r="BR544" s="88"/>
      <c r="BS544" s="88"/>
    </row>
    <row r="545">
      <c r="J545" s="73"/>
      <c r="K545" s="74"/>
      <c r="L545" s="74"/>
      <c r="M545" s="74"/>
      <c r="N545" s="74"/>
      <c r="S545" s="75"/>
      <c r="T545" s="145"/>
      <c r="U545" s="145"/>
      <c r="V545" s="145"/>
      <c r="W545" s="145"/>
      <c r="X545" s="145"/>
      <c r="Y545" s="145"/>
      <c r="Z545" s="145"/>
      <c r="AA545" s="145"/>
      <c r="AB545" s="145"/>
      <c r="AC545" s="145"/>
      <c r="AD545" s="145"/>
      <c r="AE545" s="145"/>
      <c r="AF545" s="145"/>
      <c r="AG545" s="145"/>
      <c r="AH545" s="145"/>
      <c r="AI545" s="145"/>
      <c r="AJ545" s="145"/>
      <c r="AK545" s="145"/>
      <c r="AL545" s="145"/>
      <c r="AM545" s="145"/>
      <c r="AN545" s="145"/>
      <c r="AO545" s="145"/>
      <c r="AP545" s="145"/>
      <c r="AQ545" s="145"/>
      <c r="AR545" s="145"/>
      <c r="AS545" s="145"/>
      <c r="AT545" s="124"/>
      <c r="AU545" s="124"/>
      <c r="AV545" s="124"/>
      <c r="AW545" s="124"/>
      <c r="AX545" s="124"/>
      <c r="AY545" s="124"/>
      <c r="AZ545" s="124"/>
      <c r="BA545" s="124"/>
      <c r="BB545" s="88"/>
      <c r="BC545" s="88"/>
      <c r="BD545" s="88"/>
      <c r="BE545" s="88"/>
      <c r="BF545" s="88"/>
      <c r="BG545" s="88"/>
      <c r="BH545" s="88"/>
      <c r="BI545" s="88"/>
      <c r="BJ545" s="88"/>
      <c r="BK545" s="88"/>
      <c r="BL545" s="88"/>
      <c r="BM545" s="88"/>
      <c r="BN545" s="88"/>
      <c r="BO545" s="88"/>
      <c r="BP545" s="88"/>
      <c r="BQ545" s="88"/>
      <c r="BR545" s="88"/>
      <c r="BS545" s="88"/>
    </row>
    <row r="546">
      <c r="J546" s="73"/>
      <c r="K546" s="74"/>
      <c r="L546" s="74"/>
      <c r="M546" s="74"/>
      <c r="N546" s="74"/>
      <c r="S546" s="75"/>
      <c r="T546" s="145"/>
      <c r="U546" s="145"/>
      <c r="V546" s="145"/>
      <c r="W546" s="145"/>
      <c r="X546" s="145"/>
      <c r="Y546" s="145"/>
      <c r="Z546" s="145"/>
      <c r="AA546" s="145"/>
      <c r="AB546" s="145"/>
      <c r="AC546" s="145"/>
      <c r="AD546" s="145"/>
      <c r="AE546" s="145"/>
      <c r="AF546" s="145"/>
      <c r="AG546" s="145"/>
      <c r="AH546" s="145"/>
      <c r="AI546" s="145"/>
      <c r="AJ546" s="145"/>
      <c r="AK546" s="145"/>
      <c r="AL546" s="145"/>
      <c r="AM546" s="145"/>
      <c r="AN546" s="145"/>
      <c r="AO546" s="145"/>
      <c r="AP546" s="145"/>
      <c r="AQ546" s="145"/>
      <c r="AR546" s="145"/>
      <c r="AS546" s="145"/>
      <c r="AT546" s="124"/>
      <c r="AU546" s="124"/>
      <c r="AV546" s="124"/>
      <c r="AW546" s="124"/>
      <c r="AX546" s="124"/>
      <c r="AY546" s="124"/>
      <c r="AZ546" s="124"/>
      <c r="BA546" s="124"/>
      <c r="BB546" s="88"/>
      <c r="BC546" s="88"/>
      <c r="BD546" s="88"/>
      <c r="BE546" s="88"/>
      <c r="BF546" s="88"/>
      <c r="BG546" s="88"/>
      <c r="BH546" s="88"/>
      <c r="BI546" s="88"/>
      <c r="BJ546" s="88"/>
      <c r="BK546" s="88"/>
      <c r="BL546" s="88"/>
      <c r="BM546" s="88"/>
      <c r="BN546" s="88"/>
      <c r="BO546" s="88"/>
      <c r="BP546" s="88"/>
      <c r="BQ546" s="88"/>
      <c r="BR546" s="88"/>
      <c r="BS546" s="88"/>
    </row>
    <row r="547">
      <c r="J547" s="73"/>
      <c r="K547" s="74"/>
      <c r="L547" s="74"/>
      <c r="M547" s="74"/>
      <c r="N547" s="74"/>
      <c r="S547" s="75"/>
      <c r="T547" s="145"/>
      <c r="U547" s="145"/>
      <c r="V547" s="145"/>
      <c r="W547" s="145"/>
      <c r="X547" s="145"/>
      <c r="Y547" s="145"/>
      <c r="Z547" s="145"/>
      <c r="AA547" s="145"/>
      <c r="AB547" s="145"/>
      <c r="AC547" s="145"/>
      <c r="AD547" s="145"/>
      <c r="AE547" s="145"/>
      <c r="AF547" s="145"/>
      <c r="AG547" s="145"/>
      <c r="AH547" s="145"/>
      <c r="AI547" s="145"/>
      <c r="AJ547" s="145"/>
      <c r="AK547" s="145"/>
      <c r="AL547" s="145"/>
      <c r="AM547" s="145"/>
      <c r="AN547" s="145"/>
      <c r="AO547" s="145"/>
      <c r="AP547" s="145"/>
      <c r="AQ547" s="145"/>
      <c r="AR547" s="145"/>
      <c r="AS547" s="145"/>
      <c r="AT547" s="124"/>
      <c r="AU547" s="124"/>
      <c r="AV547" s="124"/>
      <c r="AW547" s="124"/>
      <c r="AX547" s="124"/>
      <c r="AY547" s="124"/>
      <c r="AZ547" s="124"/>
      <c r="BA547" s="124"/>
      <c r="BB547" s="88"/>
      <c r="BC547" s="88"/>
      <c r="BD547" s="88"/>
      <c r="BE547" s="88"/>
      <c r="BF547" s="88"/>
      <c r="BG547" s="88"/>
      <c r="BH547" s="88"/>
      <c r="BI547" s="88"/>
      <c r="BJ547" s="88"/>
      <c r="BK547" s="88"/>
      <c r="BL547" s="88"/>
      <c r="BM547" s="88"/>
      <c r="BN547" s="88"/>
      <c r="BO547" s="88"/>
      <c r="BP547" s="88"/>
      <c r="BQ547" s="88"/>
      <c r="BR547" s="88"/>
      <c r="BS547" s="88"/>
    </row>
    <row r="548">
      <c r="J548" s="73"/>
      <c r="K548" s="74"/>
      <c r="L548" s="74"/>
      <c r="M548" s="74"/>
      <c r="N548" s="74"/>
      <c r="S548" s="75"/>
      <c r="T548" s="145"/>
      <c r="U548" s="145"/>
      <c r="V548" s="145"/>
      <c r="W548" s="145"/>
      <c r="X548" s="145"/>
      <c r="Y548" s="145"/>
      <c r="Z548" s="145"/>
      <c r="AA548" s="145"/>
      <c r="AB548" s="145"/>
      <c r="AC548" s="145"/>
      <c r="AD548" s="145"/>
      <c r="AE548" s="145"/>
      <c r="AF548" s="145"/>
      <c r="AG548" s="145"/>
      <c r="AH548" s="145"/>
      <c r="AI548" s="145"/>
      <c r="AJ548" s="145"/>
      <c r="AK548" s="145"/>
      <c r="AL548" s="145"/>
      <c r="AM548" s="145"/>
      <c r="AN548" s="145"/>
      <c r="AO548" s="145"/>
      <c r="AP548" s="145"/>
      <c r="AQ548" s="145"/>
      <c r="AR548" s="145"/>
      <c r="AS548" s="145"/>
      <c r="AT548" s="124"/>
      <c r="AU548" s="124"/>
      <c r="AV548" s="124"/>
      <c r="AW548" s="124"/>
      <c r="AX548" s="124"/>
      <c r="AY548" s="124"/>
      <c r="AZ548" s="124"/>
      <c r="BA548" s="124"/>
      <c r="BB548" s="88"/>
      <c r="BC548" s="88"/>
      <c r="BD548" s="88"/>
      <c r="BE548" s="88"/>
      <c r="BF548" s="88"/>
      <c r="BG548" s="88"/>
      <c r="BH548" s="88"/>
      <c r="BI548" s="88"/>
      <c r="BJ548" s="88"/>
      <c r="BK548" s="88"/>
      <c r="BL548" s="88"/>
      <c r="BM548" s="88"/>
      <c r="BN548" s="88"/>
      <c r="BO548" s="88"/>
      <c r="BP548" s="88"/>
      <c r="BQ548" s="88"/>
      <c r="BR548" s="88"/>
      <c r="BS548" s="88"/>
    </row>
    <row r="549">
      <c r="J549" s="73"/>
      <c r="K549" s="74"/>
      <c r="L549" s="74"/>
      <c r="M549" s="74"/>
      <c r="N549" s="74"/>
      <c r="S549" s="75"/>
      <c r="T549" s="145"/>
      <c r="U549" s="145"/>
      <c r="V549" s="145"/>
      <c r="W549" s="145"/>
      <c r="X549" s="145"/>
      <c r="Y549" s="145"/>
      <c r="Z549" s="145"/>
      <c r="AA549" s="145"/>
      <c r="AB549" s="145"/>
      <c r="AC549" s="145"/>
      <c r="AD549" s="145"/>
      <c r="AE549" s="145"/>
      <c r="AF549" s="145"/>
      <c r="AG549" s="145"/>
      <c r="AH549" s="145"/>
      <c r="AI549" s="145"/>
      <c r="AJ549" s="145"/>
      <c r="AK549" s="145"/>
      <c r="AL549" s="145"/>
      <c r="AM549" s="145"/>
      <c r="AN549" s="145"/>
      <c r="AO549" s="145"/>
      <c r="AP549" s="145"/>
      <c r="AQ549" s="145"/>
      <c r="AR549" s="145"/>
      <c r="AS549" s="145"/>
      <c r="AT549" s="124"/>
      <c r="AU549" s="124"/>
      <c r="AV549" s="124"/>
      <c r="AW549" s="124"/>
      <c r="AX549" s="124"/>
      <c r="AY549" s="124"/>
      <c r="AZ549" s="124"/>
      <c r="BA549" s="124"/>
      <c r="BB549" s="88"/>
      <c r="BC549" s="88"/>
      <c r="BD549" s="88"/>
      <c r="BE549" s="88"/>
      <c r="BF549" s="88"/>
      <c r="BG549" s="88"/>
      <c r="BH549" s="88"/>
      <c r="BI549" s="88"/>
      <c r="BJ549" s="88"/>
      <c r="BK549" s="88"/>
      <c r="BL549" s="88"/>
      <c r="BM549" s="88"/>
      <c r="BN549" s="88"/>
      <c r="BO549" s="88"/>
      <c r="BP549" s="88"/>
      <c r="BQ549" s="88"/>
      <c r="BR549" s="88"/>
      <c r="BS549" s="88"/>
    </row>
    <row r="550">
      <c r="J550" s="73"/>
      <c r="K550" s="74"/>
      <c r="L550" s="74"/>
      <c r="M550" s="74"/>
      <c r="N550" s="74"/>
      <c r="S550" s="75"/>
      <c r="T550" s="145"/>
      <c r="U550" s="145"/>
      <c r="V550" s="145"/>
      <c r="W550" s="145"/>
      <c r="X550" s="145"/>
      <c r="Y550" s="145"/>
      <c r="Z550" s="145"/>
      <c r="AA550" s="145"/>
      <c r="AB550" s="145"/>
      <c r="AC550" s="145"/>
      <c r="AD550" s="145"/>
      <c r="AE550" s="145"/>
      <c r="AF550" s="145"/>
      <c r="AG550" s="145"/>
      <c r="AH550" s="145"/>
      <c r="AI550" s="145"/>
      <c r="AJ550" s="145"/>
      <c r="AK550" s="145"/>
      <c r="AL550" s="145"/>
      <c r="AM550" s="145"/>
      <c r="AN550" s="145"/>
      <c r="AO550" s="145"/>
      <c r="AP550" s="145"/>
      <c r="AQ550" s="145"/>
      <c r="AR550" s="145"/>
      <c r="AS550" s="145"/>
      <c r="AT550" s="124"/>
      <c r="AU550" s="124"/>
      <c r="AV550" s="124"/>
      <c r="AW550" s="124"/>
      <c r="AX550" s="124"/>
      <c r="AY550" s="124"/>
      <c r="AZ550" s="124"/>
      <c r="BA550" s="124"/>
      <c r="BB550" s="88"/>
      <c r="BC550" s="88"/>
      <c r="BD550" s="88"/>
      <c r="BE550" s="88"/>
      <c r="BF550" s="88"/>
      <c r="BG550" s="88"/>
      <c r="BH550" s="88"/>
      <c r="BI550" s="88"/>
      <c r="BJ550" s="88"/>
      <c r="BK550" s="88"/>
      <c r="BL550" s="88"/>
      <c r="BM550" s="88"/>
      <c r="BN550" s="88"/>
      <c r="BO550" s="88"/>
      <c r="BP550" s="88"/>
      <c r="BQ550" s="88"/>
      <c r="BR550" s="88"/>
      <c r="BS550" s="88"/>
    </row>
    <row r="551">
      <c r="J551" s="73"/>
      <c r="K551" s="74"/>
      <c r="L551" s="74"/>
      <c r="M551" s="74"/>
      <c r="N551" s="74"/>
      <c r="S551" s="75"/>
      <c r="T551" s="145"/>
      <c r="U551" s="145"/>
      <c r="V551" s="145"/>
      <c r="W551" s="145"/>
      <c r="X551" s="145"/>
      <c r="Y551" s="145"/>
      <c r="Z551" s="145"/>
      <c r="AA551" s="145"/>
      <c r="AB551" s="145"/>
      <c r="AC551" s="145"/>
      <c r="AD551" s="145"/>
      <c r="AE551" s="145"/>
      <c r="AF551" s="145"/>
      <c r="AG551" s="145"/>
      <c r="AH551" s="145"/>
      <c r="AI551" s="145"/>
      <c r="AJ551" s="145"/>
      <c r="AK551" s="145"/>
      <c r="AL551" s="145"/>
      <c r="AM551" s="145"/>
      <c r="AN551" s="145"/>
      <c r="AO551" s="145"/>
      <c r="AP551" s="145"/>
      <c r="AQ551" s="145"/>
      <c r="AR551" s="145"/>
      <c r="AS551" s="145"/>
      <c r="AT551" s="124"/>
      <c r="AU551" s="124"/>
      <c r="AV551" s="124"/>
      <c r="AW551" s="124"/>
      <c r="AX551" s="124"/>
      <c r="AY551" s="124"/>
      <c r="AZ551" s="124"/>
      <c r="BA551" s="124"/>
      <c r="BB551" s="88"/>
      <c r="BC551" s="88"/>
      <c r="BD551" s="88"/>
      <c r="BE551" s="88"/>
      <c r="BF551" s="88"/>
      <c r="BG551" s="88"/>
      <c r="BH551" s="88"/>
      <c r="BI551" s="88"/>
      <c r="BJ551" s="88"/>
      <c r="BK551" s="88"/>
      <c r="BL551" s="88"/>
      <c r="BM551" s="88"/>
      <c r="BN551" s="88"/>
      <c r="BO551" s="88"/>
      <c r="BP551" s="88"/>
      <c r="BQ551" s="88"/>
      <c r="BR551" s="88"/>
      <c r="BS551" s="88"/>
    </row>
    <row r="552">
      <c r="J552" s="73"/>
      <c r="K552" s="74"/>
      <c r="L552" s="74"/>
      <c r="M552" s="74"/>
      <c r="N552" s="74"/>
      <c r="S552" s="75"/>
      <c r="T552" s="145"/>
      <c r="U552" s="145"/>
      <c r="V552" s="145"/>
      <c r="W552" s="145"/>
      <c r="X552" s="145"/>
      <c r="Y552" s="145"/>
      <c r="Z552" s="145"/>
      <c r="AA552" s="145"/>
      <c r="AB552" s="145"/>
      <c r="AC552" s="145"/>
      <c r="AD552" s="145"/>
      <c r="AE552" s="145"/>
      <c r="AF552" s="145"/>
      <c r="AG552" s="145"/>
      <c r="AH552" s="145"/>
      <c r="AI552" s="145"/>
      <c r="AJ552" s="145"/>
      <c r="AK552" s="145"/>
      <c r="AL552" s="145"/>
      <c r="AM552" s="145"/>
      <c r="AN552" s="145"/>
      <c r="AO552" s="145"/>
      <c r="AP552" s="145"/>
      <c r="AQ552" s="145"/>
      <c r="AR552" s="145"/>
      <c r="AS552" s="145"/>
      <c r="AT552" s="124"/>
      <c r="AU552" s="124"/>
      <c r="AV552" s="124"/>
      <c r="AW552" s="124"/>
      <c r="AX552" s="124"/>
      <c r="AY552" s="124"/>
      <c r="AZ552" s="124"/>
      <c r="BA552" s="124"/>
      <c r="BB552" s="88"/>
      <c r="BC552" s="88"/>
      <c r="BD552" s="88"/>
      <c r="BE552" s="88"/>
      <c r="BF552" s="88"/>
      <c r="BG552" s="88"/>
      <c r="BH552" s="88"/>
      <c r="BI552" s="88"/>
      <c r="BJ552" s="88"/>
      <c r="BK552" s="88"/>
      <c r="BL552" s="88"/>
      <c r="BM552" s="88"/>
      <c r="BN552" s="88"/>
      <c r="BO552" s="88"/>
      <c r="BP552" s="88"/>
      <c r="BQ552" s="88"/>
      <c r="BR552" s="88"/>
      <c r="BS552" s="88"/>
    </row>
    <row r="553">
      <c r="J553" s="73"/>
      <c r="K553" s="74"/>
      <c r="L553" s="74"/>
      <c r="M553" s="74"/>
      <c r="N553" s="74"/>
      <c r="S553" s="75"/>
      <c r="T553" s="145"/>
      <c r="U553" s="145"/>
      <c r="V553" s="145"/>
      <c r="W553" s="145"/>
      <c r="X553" s="145"/>
      <c r="Y553" s="145"/>
      <c r="Z553" s="145"/>
      <c r="AA553" s="145"/>
      <c r="AB553" s="145"/>
      <c r="AC553" s="145"/>
      <c r="AD553" s="145"/>
      <c r="AE553" s="145"/>
      <c r="AF553" s="145"/>
      <c r="AG553" s="145"/>
      <c r="AH553" s="145"/>
      <c r="AI553" s="145"/>
      <c r="AJ553" s="145"/>
      <c r="AK553" s="145"/>
      <c r="AL553" s="145"/>
      <c r="AM553" s="145"/>
      <c r="AN553" s="145"/>
      <c r="AO553" s="145"/>
      <c r="AP553" s="145"/>
      <c r="AQ553" s="145"/>
      <c r="AR553" s="145"/>
      <c r="AS553" s="145"/>
      <c r="AT553" s="124"/>
      <c r="AU553" s="124"/>
      <c r="AV553" s="124"/>
      <c r="AW553" s="124"/>
      <c r="AX553" s="124"/>
      <c r="AY553" s="124"/>
      <c r="AZ553" s="124"/>
      <c r="BA553" s="124"/>
      <c r="BB553" s="88"/>
      <c r="BC553" s="88"/>
      <c r="BD553" s="88"/>
      <c r="BE553" s="88"/>
      <c r="BF553" s="88"/>
      <c r="BG553" s="88"/>
      <c r="BH553" s="88"/>
      <c r="BI553" s="88"/>
      <c r="BJ553" s="88"/>
      <c r="BK553" s="88"/>
      <c r="BL553" s="88"/>
      <c r="BM553" s="88"/>
      <c r="BN553" s="88"/>
      <c r="BO553" s="88"/>
      <c r="BP553" s="88"/>
      <c r="BQ553" s="88"/>
      <c r="BR553" s="88"/>
      <c r="BS553" s="88"/>
    </row>
    <row r="554">
      <c r="J554" s="73"/>
      <c r="K554" s="74"/>
      <c r="L554" s="74"/>
      <c r="M554" s="74"/>
      <c r="N554" s="74"/>
      <c r="S554" s="75"/>
      <c r="T554" s="145"/>
      <c r="U554" s="145"/>
      <c r="V554" s="145"/>
      <c r="W554" s="145"/>
      <c r="X554" s="145"/>
      <c r="Y554" s="145"/>
      <c r="Z554" s="145"/>
      <c r="AA554" s="145"/>
      <c r="AB554" s="145"/>
      <c r="AC554" s="145"/>
      <c r="AD554" s="145"/>
      <c r="AE554" s="145"/>
      <c r="AF554" s="145"/>
      <c r="AG554" s="145"/>
      <c r="AH554" s="145"/>
      <c r="AI554" s="145"/>
      <c r="AJ554" s="145"/>
      <c r="AK554" s="145"/>
      <c r="AL554" s="145"/>
      <c r="AM554" s="145"/>
      <c r="AN554" s="145"/>
      <c r="AO554" s="145"/>
      <c r="AP554" s="145"/>
      <c r="AQ554" s="145"/>
      <c r="AR554" s="145"/>
      <c r="AS554" s="145"/>
      <c r="AT554" s="124"/>
      <c r="AU554" s="124"/>
      <c r="AV554" s="124"/>
      <c r="AW554" s="124"/>
      <c r="AX554" s="124"/>
      <c r="AY554" s="124"/>
      <c r="AZ554" s="124"/>
      <c r="BA554" s="124"/>
      <c r="BB554" s="88"/>
      <c r="BC554" s="88"/>
      <c r="BD554" s="88"/>
      <c r="BE554" s="88"/>
      <c r="BF554" s="88"/>
      <c r="BG554" s="88"/>
      <c r="BH554" s="88"/>
      <c r="BI554" s="88"/>
      <c r="BJ554" s="88"/>
      <c r="BK554" s="88"/>
      <c r="BL554" s="88"/>
      <c r="BM554" s="88"/>
      <c r="BN554" s="88"/>
      <c r="BO554" s="88"/>
      <c r="BP554" s="88"/>
      <c r="BQ554" s="88"/>
      <c r="BR554" s="88"/>
      <c r="BS554" s="88"/>
    </row>
    <row r="555">
      <c r="J555" s="73"/>
      <c r="K555" s="74"/>
      <c r="L555" s="74"/>
      <c r="M555" s="74"/>
      <c r="N555" s="74"/>
      <c r="S555" s="75"/>
      <c r="T555" s="145"/>
      <c r="U555" s="145"/>
      <c r="V555" s="145"/>
      <c r="W555" s="145"/>
      <c r="X555" s="145"/>
      <c r="Y555" s="145"/>
      <c r="Z555" s="145"/>
      <c r="AA555" s="145"/>
      <c r="AB555" s="145"/>
      <c r="AC555" s="145"/>
      <c r="AD555" s="145"/>
      <c r="AE555" s="145"/>
      <c r="AF555" s="145"/>
      <c r="AG555" s="145"/>
      <c r="AH555" s="145"/>
      <c r="AI555" s="145"/>
      <c r="AJ555" s="145"/>
      <c r="AK555" s="145"/>
      <c r="AL555" s="145"/>
      <c r="AM555" s="145"/>
      <c r="AN555" s="145"/>
      <c r="AO555" s="145"/>
      <c r="AP555" s="145"/>
      <c r="AQ555" s="145"/>
      <c r="AR555" s="145"/>
      <c r="AS555" s="145"/>
      <c r="AT555" s="124"/>
      <c r="AU555" s="124"/>
      <c r="AV555" s="124"/>
      <c r="AW555" s="124"/>
      <c r="AX555" s="124"/>
      <c r="AY555" s="124"/>
      <c r="AZ555" s="124"/>
      <c r="BA555" s="124"/>
      <c r="BB555" s="88"/>
      <c r="BC555" s="88"/>
      <c r="BD555" s="88"/>
      <c r="BE555" s="88"/>
      <c r="BF555" s="88"/>
      <c r="BG555" s="88"/>
      <c r="BH555" s="88"/>
      <c r="BI555" s="88"/>
      <c r="BJ555" s="88"/>
      <c r="BK555" s="88"/>
      <c r="BL555" s="88"/>
      <c r="BM555" s="88"/>
      <c r="BN555" s="88"/>
      <c r="BO555" s="88"/>
      <c r="BP555" s="88"/>
      <c r="BQ555" s="88"/>
      <c r="BR555" s="88"/>
      <c r="BS555" s="88"/>
    </row>
    <row r="556">
      <c r="J556" s="73"/>
      <c r="K556" s="74"/>
      <c r="L556" s="74"/>
      <c r="M556" s="74"/>
      <c r="N556" s="74"/>
      <c r="S556" s="75"/>
      <c r="T556" s="145"/>
      <c r="U556" s="145"/>
      <c r="V556" s="145"/>
      <c r="W556" s="145"/>
      <c r="X556" s="145"/>
      <c r="Y556" s="145"/>
      <c r="Z556" s="145"/>
      <c r="AA556" s="145"/>
      <c r="AB556" s="145"/>
      <c r="AC556" s="145"/>
      <c r="AD556" s="145"/>
      <c r="AE556" s="145"/>
      <c r="AF556" s="145"/>
      <c r="AG556" s="145"/>
      <c r="AH556" s="145"/>
      <c r="AI556" s="145"/>
      <c r="AJ556" s="145"/>
      <c r="AK556" s="145"/>
      <c r="AL556" s="145"/>
      <c r="AM556" s="145"/>
      <c r="AN556" s="145"/>
      <c r="AO556" s="145"/>
      <c r="AP556" s="145"/>
      <c r="AQ556" s="145"/>
      <c r="AR556" s="145"/>
      <c r="AS556" s="145"/>
      <c r="AT556" s="124"/>
      <c r="AU556" s="124"/>
      <c r="AV556" s="124"/>
      <c r="AW556" s="124"/>
      <c r="AX556" s="124"/>
      <c r="AY556" s="124"/>
      <c r="AZ556" s="124"/>
      <c r="BA556" s="124"/>
      <c r="BB556" s="88"/>
      <c r="BC556" s="88"/>
      <c r="BD556" s="88"/>
      <c r="BE556" s="88"/>
      <c r="BF556" s="88"/>
      <c r="BG556" s="88"/>
      <c r="BH556" s="88"/>
      <c r="BI556" s="88"/>
      <c r="BJ556" s="88"/>
      <c r="BK556" s="88"/>
      <c r="BL556" s="88"/>
      <c r="BM556" s="88"/>
      <c r="BN556" s="88"/>
      <c r="BO556" s="88"/>
      <c r="BP556" s="88"/>
      <c r="BQ556" s="88"/>
      <c r="BR556" s="88"/>
      <c r="BS556" s="88"/>
    </row>
    <row r="557">
      <c r="J557" s="73"/>
      <c r="K557" s="74"/>
      <c r="L557" s="74"/>
      <c r="M557" s="74"/>
      <c r="N557" s="74"/>
      <c r="S557" s="75"/>
      <c r="T557" s="145"/>
      <c r="U557" s="145"/>
      <c r="V557" s="145"/>
      <c r="W557" s="145"/>
      <c r="X557" s="145"/>
      <c r="Y557" s="145"/>
      <c r="Z557" s="145"/>
      <c r="AA557" s="145"/>
      <c r="AB557" s="145"/>
      <c r="AC557" s="145"/>
      <c r="AD557" s="145"/>
      <c r="AE557" s="145"/>
      <c r="AF557" s="145"/>
      <c r="AG557" s="145"/>
      <c r="AH557" s="145"/>
      <c r="AI557" s="145"/>
      <c r="AJ557" s="145"/>
      <c r="AK557" s="145"/>
      <c r="AL557" s="145"/>
      <c r="AM557" s="145"/>
      <c r="AN557" s="145"/>
      <c r="AO557" s="145"/>
      <c r="AP557" s="145"/>
      <c r="AQ557" s="145"/>
      <c r="AR557" s="145"/>
      <c r="AS557" s="145"/>
      <c r="AT557" s="124"/>
      <c r="AU557" s="124"/>
      <c r="AV557" s="124"/>
      <c r="AW557" s="124"/>
      <c r="AX557" s="124"/>
      <c r="AY557" s="124"/>
      <c r="AZ557" s="124"/>
      <c r="BA557" s="124"/>
      <c r="BB557" s="88"/>
      <c r="BC557" s="88"/>
      <c r="BD557" s="88"/>
      <c r="BE557" s="88"/>
      <c r="BF557" s="88"/>
      <c r="BG557" s="88"/>
      <c r="BH557" s="88"/>
      <c r="BI557" s="88"/>
      <c r="BJ557" s="88"/>
      <c r="BK557" s="88"/>
      <c r="BL557" s="88"/>
      <c r="BM557" s="88"/>
      <c r="BN557" s="88"/>
      <c r="BO557" s="88"/>
      <c r="BP557" s="88"/>
      <c r="BQ557" s="88"/>
      <c r="BR557" s="88"/>
      <c r="BS557" s="88"/>
    </row>
    <row r="558">
      <c r="J558" s="73"/>
      <c r="K558" s="74"/>
      <c r="L558" s="74"/>
      <c r="M558" s="74"/>
      <c r="N558" s="74"/>
      <c r="S558" s="75"/>
      <c r="T558" s="145"/>
      <c r="U558" s="145"/>
      <c r="V558" s="145"/>
      <c r="W558" s="145"/>
      <c r="X558" s="145"/>
      <c r="Y558" s="145"/>
      <c r="Z558" s="145"/>
      <c r="AA558" s="145"/>
      <c r="AB558" s="145"/>
      <c r="AC558" s="145"/>
      <c r="AD558" s="145"/>
      <c r="AE558" s="145"/>
      <c r="AF558" s="145"/>
      <c r="AG558" s="145"/>
      <c r="AH558" s="145"/>
      <c r="AI558" s="145"/>
      <c r="AJ558" s="145"/>
      <c r="AK558" s="145"/>
      <c r="AL558" s="145"/>
      <c r="AM558" s="145"/>
      <c r="AN558" s="145"/>
      <c r="AO558" s="145"/>
      <c r="AP558" s="145"/>
      <c r="AQ558" s="145"/>
      <c r="AR558" s="145"/>
      <c r="AS558" s="145"/>
      <c r="AT558" s="124"/>
      <c r="AU558" s="124"/>
      <c r="AV558" s="124"/>
      <c r="AW558" s="124"/>
      <c r="AX558" s="124"/>
      <c r="AY558" s="124"/>
      <c r="AZ558" s="124"/>
      <c r="BA558" s="124"/>
      <c r="BB558" s="88"/>
      <c r="BC558" s="88"/>
      <c r="BD558" s="88"/>
      <c r="BE558" s="88"/>
      <c r="BF558" s="88"/>
      <c r="BG558" s="88"/>
      <c r="BH558" s="88"/>
      <c r="BI558" s="88"/>
      <c r="BJ558" s="88"/>
      <c r="BK558" s="88"/>
      <c r="BL558" s="88"/>
      <c r="BM558" s="88"/>
      <c r="BN558" s="88"/>
      <c r="BO558" s="88"/>
      <c r="BP558" s="88"/>
      <c r="BQ558" s="88"/>
      <c r="BR558" s="88"/>
      <c r="BS558" s="88"/>
    </row>
    <row r="559">
      <c r="J559" s="73"/>
      <c r="K559" s="74"/>
      <c r="L559" s="74"/>
      <c r="M559" s="74"/>
      <c r="N559" s="74"/>
      <c r="S559" s="75"/>
      <c r="T559" s="145"/>
      <c r="U559" s="145"/>
      <c r="V559" s="145"/>
      <c r="W559" s="145"/>
      <c r="X559" s="145"/>
      <c r="Y559" s="145"/>
      <c r="Z559" s="145"/>
      <c r="AA559" s="145"/>
      <c r="AB559" s="145"/>
      <c r="AC559" s="145"/>
      <c r="AD559" s="145"/>
      <c r="AE559" s="145"/>
      <c r="AF559" s="145"/>
      <c r="AG559" s="145"/>
      <c r="AH559" s="145"/>
      <c r="AI559" s="145"/>
      <c r="AJ559" s="145"/>
      <c r="AK559" s="145"/>
      <c r="AL559" s="145"/>
      <c r="AM559" s="145"/>
      <c r="AN559" s="145"/>
      <c r="AO559" s="145"/>
      <c r="AP559" s="145"/>
      <c r="AQ559" s="145"/>
      <c r="AR559" s="145"/>
      <c r="AS559" s="145"/>
      <c r="AT559" s="124"/>
      <c r="AU559" s="124"/>
      <c r="AV559" s="124"/>
      <c r="AW559" s="124"/>
      <c r="AX559" s="124"/>
      <c r="AY559" s="124"/>
      <c r="AZ559" s="124"/>
      <c r="BA559" s="124"/>
      <c r="BB559" s="88"/>
      <c r="BC559" s="88"/>
      <c r="BD559" s="88"/>
      <c r="BE559" s="88"/>
      <c r="BF559" s="88"/>
      <c r="BG559" s="88"/>
      <c r="BH559" s="88"/>
      <c r="BI559" s="88"/>
      <c r="BJ559" s="88"/>
      <c r="BK559" s="88"/>
      <c r="BL559" s="88"/>
      <c r="BM559" s="88"/>
      <c r="BN559" s="88"/>
      <c r="BO559" s="88"/>
      <c r="BP559" s="88"/>
      <c r="BQ559" s="88"/>
      <c r="BR559" s="88"/>
      <c r="BS559" s="88"/>
    </row>
    <row r="560">
      <c r="J560" s="73"/>
      <c r="K560" s="74"/>
      <c r="L560" s="74"/>
      <c r="M560" s="74"/>
      <c r="N560" s="74"/>
      <c r="S560" s="75"/>
      <c r="T560" s="145"/>
      <c r="U560" s="145"/>
      <c r="V560" s="145"/>
      <c r="W560" s="145"/>
      <c r="X560" s="145"/>
      <c r="Y560" s="145"/>
      <c r="Z560" s="145"/>
      <c r="AA560" s="145"/>
      <c r="AB560" s="145"/>
      <c r="AC560" s="145"/>
      <c r="AD560" s="145"/>
      <c r="AE560" s="145"/>
      <c r="AF560" s="145"/>
      <c r="AG560" s="145"/>
      <c r="AH560" s="145"/>
      <c r="AI560" s="145"/>
      <c r="AJ560" s="145"/>
      <c r="AK560" s="145"/>
      <c r="AL560" s="145"/>
      <c r="AM560" s="145"/>
      <c r="AN560" s="145"/>
      <c r="AO560" s="145"/>
      <c r="AP560" s="145"/>
      <c r="AQ560" s="145"/>
      <c r="AR560" s="145"/>
      <c r="AS560" s="145"/>
      <c r="AT560" s="124"/>
      <c r="AU560" s="124"/>
      <c r="AV560" s="124"/>
      <c r="AW560" s="124"/>
      <c r="AX560" s="124"/>
      <c r="AY560" s="124"/>
      <c r="AZ560" s="124"/>
      <c r="BA560" s="124"/>
      <c r="BB560" s="88"/>
      <c r="BC560" s="88"/>
      <c r="BD560" s="88"/>
      <c r="BE560" s="88"/>
      <c r="BF560" s="88"/>
      <c r="BG560" s="88"/>
      <c r="BH560" s="88"/>
      <c r="BI560" s="88"/>
      <c r="BJ560" s="88"/>
      <c r="BK560" s="88"/>
      <c r="BL560" s="88"/>
      <c r="BM560" s="88"/>
      <c r="BN560" s="88"/>
      <c r="BO560" s="88"/>
      <c r="BP560" s="88"/>
      <c r="BQ560" s="88"/>
      <c r="BR560" s="88"/>
      <c r="BS560" s="88"/>
    </row>
    <row r="561">
      <c r="J561" s="73"/>
      <c r="K561" s="74"/>
      <c r="L561" s="74"/>
      <c r="M561" s="74"/>
      <c r="N561" s="74"/>
      <c r="S561" s="75"/>
      <c r="T561" s="145"/>
      <c r="U561" s="145"/>
      <c r="V561" s="145"/>
      <c r="W561" s="145"/>
      <c r="X561" s="145"/>
      <c r="Y561" s="145"/>
      <c r="Z561" s="145"/>
      <c r="AA561" s="145"/>
      <c r="AB561" s="145"/>
      <c r="AC561" s="145"/>
      <c r="AD561" s="145"/>
      <c r="AE561" s="145"/>
      <c r="AF561" s="145"/>
      <c r="AG561" s="145"/>
      <c r="AH561" s="145"/>
      <c r="AI561" s="145"/>
      <c r="AJ561" s="145"/>
      <c r="AK561" s="145"/>
      <c r="AL561" s="145"/>
      <c r="AM561" s="145"/>
      <c r="AN561" s="145"/>
      <c r="AO561" s="145"/>
      <c r="AP561" s="145"/>
      <c r="AQ561" s="145"/>
      <c r="AR561" s="145"/>
      <c r="AS561" s="145"/>
      <c r="AT561" s="124"/>
      <c r="AU561" s="124"/>
      <c r="AV561" s="124"/>
      <c r="AW561" s="124"/>
      <c r="AX561" s="124"/>
      <c r="AY561" s="124"/>
      <c r="AZ561" s="124"/>
      <c r="BA561" s="124"/>
      <c r="BB561" s="88"/>
      <c r="BC561" s="88"/>
      <c r="BD561" s="88"/>
      <c r="BE561" s="88"/>
      <c r="BF561" s="88"/>
      <c r="BG561" s="88"/>
      <c r="BH561" s="88"/>
      <c r="BI561" s="88"/>
      <c r="BJ561" s="88"/>
      <c r="BK561" s="88"/>
      <c r="BL561" s="88"/>
      <c r="BM561" s="88"/>
      <c r="BN561" s="88"/>
      <c r="BO561" s="88"/>
      <c r="BP561" s="88"/>
      <c r="BQ561" s="88"/>
      <c r="BR561" s="88"/>
      <c r="BS561" s="88"/>
    </row>
    <row r="562">
      <c r="J562" s="73"/>
      <c r="K562" s="74"/>
      <c r="L562" s="74"/>
      <c r="M562" s="74"/>
      <c r="N562" s="74"/>
      <c r="S562" s="75"/>
      <c r="T562" s="145"/>
      <c r="U562" s="145"/>
      <c r="V562" s="145"/>
      <c r="W562" s="145"/>
      <c r="X562" s="145"/>
      <c r="Y562" s="145"/>
      <c r="Z562" s="145"/>
      <c r="AA562" s="145"/>
      <c r="AB562" s="145"/>
      <c r="AC562" s="145"/>
      <c r="AD562" s="145"/>
      <c r="AE562" s="145"/>
      <c r="AF562" s="145"/>
      <c r="AG562" s="145"/>
      <c r="AH562" s="145"/>
      <c r="AI562" s="145"/>
      <c r="AJ562" s="145"/>
      <c r="AK562" s="145"/>
      <c r="AL562" s="145"/>
      <c r="AM562" s="145"/>
      <c r="AN562" s="145"/>
      <c r="AO562" s="145"/>
      <c r="AP562" s="145"/>
      <c r="AQ562" s="145"/>
      <c r="AR562" s="145"/>
      <c r="AS562" s="145"/>
      <c r="AT562" s="124"/>
      <c r="AU562" s="124"/>
      <c r="AV562" s="124"/>
      <c r="AW562" s="124"/>
      <c r="AX562" s="124"/>
      <c r="AY562" s="124"/>
      <c r="AZ562" s="124"/>
      <c r="BA562" s="124"/>
      <c r="BB562" s="88"/>
      <c r="BC562" s="88"/>
      <c r="BD562" s="88"/>
      <c r="BE562" s="88"/>
      <c r="BF562" s="88"/>
      <c r="BG562" s="88"/>
      <c r="BH562" s="88"/>
      <c r="BI562" s="88"/>
      <c r="BJ562" s="88"/>
      <c r="BK562" s="88"/>
      <c r="BL562" s="88"/>
      <c r="BM562" s="88"/>
      <c r="BN562" s="88"/>
      <c r="BO562" s="88"/>
      <c r="BP562" s="88"/>
      <c r="BQ562" s="88"/>
      <c r="BR562" s="88"/>
      <c r="BS562" s="88"/>
    </row>
    <row r="563">
      <c r="J563" s="73"/>
      <c r="K563" s="74"/>
      <c r="L563" s="74"/>
      <c r="M563" s="74"/>
      <c r="N563" s="74"/>
      <c r="S563" s="75"/>
      <c r="T563" s="145"/>
      <c r="U563" s="145"/>
      <c r="V563" s="145"/>
      <c r="W563" s="145"/>
      <c r="X563" s="145"/>
      <c r="Y563" s="145"/>
      <c r="Z563" s="145"/>
      <c r="AA563" s="145"/>
      <c r="AB563" s="145"/>
      <c r="AC563" s="145"/>
      <c r="AD563" s="145"/>
      <c r="AE563" s="145"/>
      <c r="AF563" s="145"/>
      <c r="AG563" s="145"/>
      <c r="AH563" s="145"/>
      <c r="AI563" s="145"/>
      <c r="AJ563" s="145"/>
      <c r="AK563" s="145"/>
      <c r="AL563" s="145"/>
      <c r="AM563" s="145"/>
      <c r="AN563" s="145"/>
      <c r="AO563" s="145"/>
      <c r="AP563" s="145"/>
      <c r="AQ563" s="145"/>
      <c r="AR563" s="145"/>
      <c r="AS563" s="145"/>
      <c r="AT563" s="124"/>
      <c r="AU563" s="124"/>
      <c r="AV563" s="124"/>
      <c r="AW563" s="124"/>
      <c r="AX563" s="124"/>
      <c r="AY563" s="124"/>
      <c r="AZ563" s="124"/>
      <c r="BA563" s="124"/>
      <c r="BB563" s="88"/>
      <c r="BC563" s="88"/>
      <c r="BD563" s="88"/>
      <c r="BE563" s="88"/>
      <c r="BF563" s="88"/>
      <c r="BG563" s="88"/>
      <c r="BH563" s="88"/>
      <c r="BI563" s="88"/>
      <c r="BJ563" s="88"/>
      <c r="BK563" s="88"/>
      <c r="BL563" s="88"/>
      <c r="BM563" s="88"/>
      <c r="BN563" s="88"/>
      <c r="BO563" s="88"/>
      <c r="BP563" s="88"/>
      <c r="BQ563" s="88"/>
      <c r="BR563" s="88"/>
      <c r="BS563" s="88"/>
    </row>
    <row r="564">
      <c r="J564" s="73"/>
      <c r="K564" s="74"/>
      <c r="L564" s="74"/>
      <c r="M564" s="74"/>
      <c r="N564" s="74"/>
      <c r="S564" s="75"/>
      <c r="T564" s="145"/>
      <c r="U564" s="145"/>
      <c r="V564" s="145"/>
      <c r="W564" s="145"/>
      <c r="X564" s="145"/>
      <c r="Y564" s="145"/>
      <c r="Z564" s="145"/>
      <c r="AA564" s="145"/>
      <c r="AB564" s="145"/>
      <c r="AC564" s="145"/>
      <c r="AD564" s="145"/>
      <c r="AE564" s="145"/>
      <c r="AF564" s="145"/>
      <c r="AG564" s="145"/>
      <c r="AH564" s="145"/>
      <c r="AI564" s="145"/>
      <c r="AJ564" s="145"/>
      <c r="AK564" s="145"/>
      <c r="AL564" s="145"/>
      <c r="AM564" s="145"/>
      <c r="AN564" s="145"/>
      <c r="AO564" s="145"/>
      <c r="AP564" s="145"/>
      <c r="AQ564" s="145"/>
      <c r="AR564" s="145"/>
      <c r="AS564" s="145"/>
      <c r="AT564" s="124"/>
      <c r="AU564" s="124"/>
      <c r="AV564" s="124"/>
      <c r="AW564" s="124"/>
      <c r="AX564" s="124"/>
      <c r="AY564" s="124"/>
      <c r="AZ564" s="124"/>
      <c r="BA564" s="124"/>
      <c r="BB564" s="88"/>
      <c r="BC564" s="88"/>
      <c r="BD564" s="88"/>
      <c r="BE564" s="88"/>
      <c r="BF564" s="88"/>
      <c r="BG564" s="88"/>
      <c r="BH564" s="88"/>
      <c r="BI564" s="88"/>
      <c r="BJ564" s="88"/>
      <c r="BK564" s="88"/>
      <c r="BL564" s="88"/>
      <c r="BM564" s="88"/>
      <c r="BN564" s="88"/>
      <c r="BO564" s="88"/>
      <c r="BP564" s="88"/>
      <c r="BQ564" s="88"/>
      <c r="BR564" s="88"/>
      <c r="BS564" s="88"/>
    </row>
    <row r="565">
      <c r="J565" s="73"/>
      <c r="K565" s="74"/>
      <c r="L565" s="74"/>
      <c r="M565" s="74"/>
      <c r="N565" s="74"/>
      <c r="S565" s="75"/>
      <c r="T565" s="145"/>
      <c r="U565" s="145"/>
      <c r="V565" s="145"/>
      <c r="W565" s="145"/>
      <c r="X565" s="145"/>
      <c r="Y565" s="145"/>
      <c r="Z565" s="145"/>
      <c r="AA565" s="145"/>
      <c r="AB565" s="145"/>
      <c r="AC565" s="145"/>
      <c r="AD565" s="145"/>
      <c r="AE565" s="145"/>
      <c r="AF565" s="145"/>
      <c r="AG565" s="145"/>
      <c r="AH565" s="145"/>
      <c r="AI565" s="145"/>
      <c r="AJ565" s="145"/>
      <c r="AK565" s="145"/>
      <c r="AL565" s="145"/>
      <c r="AM565" s="145"/>
      <c r="AN565" s="145"/>
      <c r="AO565" s="145"/>
      <c r="AP565" s="145"/>
      <c r="AQ565" s="145"/>
      <c r="AR565" s="145"/>
      <c r="AS565" s="145"/>
      <c r="AT565" s="124"/>
      <c r="AU565" s="124"/>
      <c r="AV565" s="124"/>
      <c r="AW565" s="124"/>
      <c r="AX565" s="124"/>
      <c r="AY565" s="124"/>
      <c r="AZ565" s="124"/>
      <c r="BA565" s="124"/>
      <c r="BB565" s="88"/>
      <c r="BC565" s="88"/>
      <c r="BD565" s="88"/>
      <c r="BE565" s="88"/>
      <c r="BF565" s="88"/>
      <c r="BG565" s="88"/>
      <c r="BH565" s="88"/>
      <c r="BI565" s="88"/>
      <c r="BJ565" s="88"/>
      <c r="BK565" s="88"/>
      <c r="BL565" s="88"/>
      <c r="BM565" s="88"/>
      <c r="BN565" s="88"/>
      <c r="BO565" s="88"/>
      <c r="BP565" s="88"/>
      <c r="BQ565" s="88"/>
      <c r="BR565" s="88"/>
      <c r="BS565" s="88"/>
    </row>
    <row r="566">
      <c r="J566" s="73"/>
      <c r="K566" s="74"/>
      <c r="L566" s="74"/>
      <c r="M566" s="74"/>
      <c r="N566" s="74"/>
      <c r="S566" s="75"/>
      <c r="T566" s="145"/>
      <c r="U566" s="145"/>
      <c r="V566" s="145"/>
      <c r="W566" s="145"/>
      <c r="X566" s="145"/>
      <c r="Y566" s="145"/>
      <c r="Z566" s="145"/>
      <c r="AA566" s="145"/>
      <c r="AB566" s="145"/>
      <c r="AC566" s="145"/>
      <c r="AD566" s="145"/>
      <c r="AE566" s="145"/>
      <c r="AF566" s="145"/>
      <c r="AG566" s="145"/>
      <c r="AH566" s="145"/>
      <c r="AI566" s="145"/>
      <c r="AJ566" s="145"/>
      <c r="AK566" s="145"/>
      <c r="AL566" s="145"/>
      <c r="AM566" s="145"/>
      <c r="AN566" s="145"/>
      <c r="AO566" s="145"/>
      <c r="AP566" s="145"/>
      <c r="AQ566" s="145"/>
      <c r="AR566" s="145"/>
      <c r="AS566" s="145"/>
      <c r="AT566" s="124"/>
      <c r="AU566" s="124"/>
      <c r="AV566" s="124"/>
      <c r="AW566" s="124"/>
      <c r="AX566" s="124"/>
      <c r="AY566" s="124"/>
      <c r="AZ566" s="124"/>
      <c r="BA566" s="124"/>
      <c r="BB566" s="88"/>
      <c r="BC566" s="88"/>
      <c r="BD566" s="88"/>
      <c r="BE566" s="88"/>
      <c r="BF566" s="88"/>
      <c r="BG566" s="88"/>
      <c r="BH566" s="88"/>
      <c r="BI566" s="88"/>
      <c r="BJ566" s="88"/>
      <c r="BK566" s="88"/>
      <c r="BL566" s="88"/>
      <c r="BM566" s="88"/>
      <c r="BN566" s="88"/>
      <c r="BO566" s="88"/>
      <c r="BP566" s="88"/>
      <c r="BQ566" s="88"/>
      <c r="BR566" s="88"/>
      <c r="BS566" s="88"/>
    </row>
    <row r="567">
      <c r="J567" s="73"/>
      <c r="K567" s="74"/>
      <c r="L567" s="74"/>
      <c r="M567" s="74"/>
      <c r="N567" s="74"/>
      <c r="S567" s="75"/>
      <c r="T567" s="145"/>
      <c r="U567" s="145"/>
      <c r="V567" s="145"/>
      <c r="W567" s="145"/>
      <c r="X567" s="145"/>
      <c r="Y567" s="145"/>
      <c r="Z567" s="145"/>
      <c r="AA567" s="145"/>
      <c r="AB567" s="145"/>
      <c r="AC567" s="145"/>
      <c r="AD567" s="145"/>
      <c r="AE567" s="145"/>
      <c r="AF567" s="145"/>
      <c r="AG567" s="145"/>
      <c r="AH567" s="145"/>
      <c r="AI567" s="145"/>
      <c r="AJ567" s="145"/>
      <c r="AK567" s="145"/>
      <c r="AL567" s="145"/>
      <c r="AM567" s="145"/>
      <c r="AN567" s="145"/>
      <c r="AO567" s="145"/>
      <c r="AP567" s="145"/>
      <c r="AQ567" s="145"/>
      <c r="AR567" s="145"/>
      <c r="AS567" s="145"/>
      <c r="AT567" s="124"/>
      <c r="AU567" s="124"/>
      <c r="AV567" s="124"/>
      <c r="AW567" s="124"/>
      <c r="AX567" s="124"/>
      <c r="AY567" s="124"/>
      <c r="AZ567" s="124"/>
      <c r="BA567" s="124"/>
      <c r="BB567" s="88"/>
      <c r="BC567" s="88"/>
      <c r="BD567" s="88"/>
      <c r="BE567" s="88"/>
      <c r="BF567" s="88"/>
      <c r="BG567" s="88"/>
      <c r="BH567" s="88"/>
      <c r="BI567" s="88"/>
      <c r="BJ567" s="88"/>
      <c r="BK567" s="88"/>
      <c r="BL567" s="88"/>
      <c r="BM567" s="88"/>
      <c r="BN567" s="88"/>
      <c r="BO567" s="88"/>
      <c r="BP567" s="88"/>
      <c r="BQ567" s="88"/>
      <c r="BR567" s="88"/>
      <c r="BS567" s="88"/>
    </row>
    <row r="568">
      <c r="J568" s="73"/>
      <c r="K568" s="74"/>
      <c r="L568" s="74"/>
      <c r="M568" s="74"/>
      <c r="N568" s="74"/>
      <c r="S568" s="75"/>
      <c r="T568" s="145"/>
      <c r="U568" s="145"/>
      <c r="V568" s="145"/>
      <c r="W568" s="145"/>
      <c r="X568" s="145"/>
      <c r="Y568" s="145"/>
      <c r="Z568" s="145"/>
      <c r="AA568" s="145"/>
      <c r="AB568" s="145"/>
      <c r="AC568" s="145"/>
      <c r="AD568" s="145"/>
      <c r="AE568" s="145"/>
      <c r="AF568" s="145"/>
      <c r="AG568" s="145"/>
      <c r="AH568" s="145"/>
      <c r="AI568" s="145"/>
      <c r="AJ568" s="145"/>
      <c r="AK568" s="145"/>
      <c r="AL568" s="145"/>
      <c r="AM568" s="145"/>
      <c r="AN568" s="145"/>
      <c r="AO568" s="145"/>
      <c r="AP568" s="145"/>
      <c r="AQ568" s="145"/>
      <c r="AR568" s="145"/>
      <c r="AS568" s="145"/>
      <c r="AT568" s="124"/>
      <c r="AU568" s="124"/>
      <c r="AV568" s="124"/>
      <c r="AW568" s="124"/>
      <c r="AX568" s="124"/>
      <c r="AY568" s="124"/>
      <c r="AZ568" s="124"/>
      <c r="BA568" s="124"/>
      <c r="BB568" s="88"/>
      <c r="BC568" s="88"/>
      <c r="BD568" s="88"/>
      <c r="BE568" s="88"/>
      <c r="BF568" s="88"/>
      <c r="BG568" s="88"/>
      <c r="BH568" s="88"/>
      <c r="BI568" s="88"/>
      <c r="BJ568" s="88"/>
      <c r="BK568" s="88"/>
      <c r="BL568" s="88"/>
      <c r="BM568" s="88"/>
      <c r="BN568" s="88"/>
      <c r="BO568" s="88"/>
      <c r="BP568" s="88"/>
      <c r="BQ568" s="88"/>
      <c r="BR568" s="88"/>
      <c r="BS568" s="88"/>
    </row>
    <row r="569">
      <c r="J569" s="73"/>
      <c r="K569" s="74"/>
      <c r="L569" s="74"/>
      <c r="M569" s="74"/>
      <c r="N569" s="74"/>
      <c r="S569" s="75"/>
      <c r="T569" s="145"/>
      <c r="U569" s="145"/>
      <c r="V569" s="145"/>
      <c r="W569" s="145"/>
      <c r="X569" s="145"/>
      <c r="Y569" s="145"/>
      <c r="Z569" s="145"/>
      <c r="AA569" s="145"/>
      <c r="AB569" s="145"/>
      <c r="AC569" s="145"/>
      <c r="AD569" s="145"/>
      <c r="AE569" s="145"/>
      <c r="AF569" s="145"/>
      <c r="AG569" s="145"/>
      <c r="AH569" s="145"/>
      <c r="AI569" s="145"/>
      <c r="AJ569" s="145"/>
      <c r="AK569" s="145"/>
      <c r="AL569" s="145"/>
      <c r="AM569" s="145"/>
      <c r="AN569" s="145"/>
      <c r="AO569" s="145"/>
      <c r="AP569" s="145"/>
      <c r="AQ569" s="145"/>
      <c r="AR569" s="145"/>
      <c r="AS569" s="145"/>
      <c r="AT569" s="124"/>
      <c r="AU569" s="124"/>
      <c r="AV569" s="124"/>
      <c r="AW569" s="124"/>
      <c r="AX569" s="124"/>
      <c r="AY569" s="124"/>
      <c r="AZ569" s="124"/>
      <c r="BA569" s="124"/>
      <c r="BB569" s="88"/>
      <c r="BC569" s="88"/>
      <c r="BD569" s="88"/>
      <c r="BE569" s="88"/>
      <c r="BF569" s="88"/>
      <c r="BG569" s="88"/>
      <c r="BH569" s="88"/>
      <c r="BI569" s="88"/>
      <c r="BJ569" s="88"/>
      <c r="BK569" s="88"/>
      <c r="BL569" s="88"/>
      <c r="BM569" s="88"/>
      <c r="BN569" s="88"/>
      <c r="BO569" s="88"/>
      <c r="BP569" s="88"/>
      <c r="BQ569" s="88"/>
      <c r="BR569" s="88"/>
      <c r="BS569" s="88"/>
    </row>
    <row r="570">
      <c r="J570" s="73"/>
      <c r="K570" s="74"/>
      <c r="L570" s="74"/>
      <c r="M570" s="74"/>
      <c r="N570" s="74"/>
      <c r="S570" s="75"/>
      <c r="T570" s="145"/>
      <c r="U570" s="145"/>
      <c r="V570" s="145"/>
      <c r="W570" s="145"/>
      <c r="X570" s="145"/>
      <c r="Y570" s="145"/>
      <c r="Z570" s="145"/>
      <c r="AA570" s="145"/>
      <c r="AB570" s="145"/>
      <c r="AC570" s="145"/>
      <c r="AD570" s="145"/>
      <c r="AE570" s="145"/>
      <c r="AF570" s="145"/>
      <c r="AG570" s="145"/>
      <c r="AH570" s="145"/>
      <c r="AI570" s="145"/>
      <c r="AJ570" s="145"/>
      <c r="AK570" s="145"/>
      <c r="AL570" s="145"/>
      <c r="AM570" s="145"/>
      <c r="AN570" s="145"/>
      <c r="AO570" s="145"/>
      <c r="AP570" s="145"/>
      <c r="AQ570" s="145"/>
      <c r="AR570" s="145"/>
      <c r="AS570" s="145"/>
      <c r="AT570" s="124"/>
      <c r="AU570" s="124"/>
      <c r="AV570" s="124"/>
      <c r="AW570" s="124"/>
      <c r="AX570" s="124"/>
      <c r="AY570" s="124"/>
      <c r="AZ570" s="124"/>
      <c r="BA570" s="124"/>
      <c r="BB570" s="88"/>
      <c r="BC570" s="88"/>
      <c r="BD570" s="88"/>
      <c r="BE570" s="88"/>
      <c r="BF570" s="88"/>
      <c r="BG570" s="88"/>
      <c r="BH570" s="88"/>
      <c r="BI570" s="88"/>
      <c r="BJ570" s="88"/>
      <c r="BK570" s="88"/>
      <c r="BL570" s="88"/>
      <c r="BM570" s="88"/>
      <c r="BN570" s="88"/>
      <c r="BO570" s="88"/>
      <c r="BP570" s="88"/>
      <c r="BQ570" s="88"/>
      <c r="BR570" s="88"/>
      <c r="BS570" s="88"/>
    </row>
    <row r="571">
      <c r="J571" s="73"/>
      <c r="K571" s="74"/>
      <c r="L571" s="74"/>
      <c r="M571" s="74"/>
      <c r="N571" s="74"/>
      <c r="S571" s="75"/>
      <c r="T571" s="145"/>
      <c r="U571" s="145"/>
      <c r="V571" s="145"/>
      <c r="W571" s="145"/>
      <c r="X571" s="145"/>
      <c r="Y571" s="145"/>
      <c r="Z571" s="145"/>
      <c r="AA571" s="145"/>
      <c r="AB571" s="145"/>
      <c r="AC571" s="145"/>
      <c r="AD571" s="145"/>
      <c r="AE571" s="145"/>
      <c r="AF571" s="145"/>
      <c r="AG571" s="145"/>
      <c r="AH571" s="145"/>
      <c r="AI571" s="145"/>
      <c r="AJ571" s="145"/>
      <c r="AK571" s="145"/>
      <c r="AL571" s="145"/>
      <c r="AM571" s="145"/>
      <c r="AN571" s="145"/>
      <c r="AO571" s="145"/>
      <c r="AP571" s="145"/>
      <c r="AQ571" s="145"/>
      <c r="AR571" s="145"/>
      <c r="AS571" s="145"/>
      <c r="AT571" s="124"/>
      <c r="AU571" s="124"/>
      <c r="AV571" s="124"/>
      <c r="AW571" s="124"/>
      <c r="AX571" s="124"/>
      <c r="AY571" s="124"/>
      <c r="AZ571" s="124"/>
      <c r="BA571" s="124"/>
      <c r="BB571" s="88"/>
      <c r="BC571" s="88"/>
      <c r="BD571" s="88"/>
      <c r="BE571" s="88"/>
      <c r="BF571" s="88"/>
      <c r="BG571" s="88"/>
      <c r="BH571" s="88"/>
      <c r="BI571" s="88"/>
      <c r="BJ571" s="88"/>
      <c r="BK571" s="88"/>
      <c r="BL571" s="88"/>
      <c r="BM571" s="88"/>
      <c r="BN571" s="88"/>
      <c r="BO571" s="88"/>
      <c r="BP571" s="88"/>
      <c r="BQ571" s="88"/>
      <c r="BR571" s="88"/>
      <c r="BS571" s="88"/>
    </row>
    <row r="572">
      <c r="J572" s="73"/>
      <c r="K572" s="74"/>
      <c r="L572" s="74"/>
      <c r="M572" s="74"/>
      <c r="N572" s="74"/>
      <c r="S572" s="75"/>
      <c r="T572" s="145"/>
      <c r="U572" s="145"/>
      <c r="V572" s="145"/>
      <c r="W572" s="145"/>
      <c r="X572" s="145"/>
      <c r="Y572" s="145"/>
      <c r="Z572" s="145"/>
      <c r="AA572" s="145"/>
      <c r="AB572" s="145"/>
      <c r="AC572" s="145"/>
      <c r="AD572" s="145"/>
      <c r="AE572" s="145"/>
      <c r="AF572" s="145"/>
      <c r="AG572" s="145"/>
      <c r="AH572" s="145"/>
      <c r="AI572" s="145"/>
      <c r="AJ572" s="145"/>
      <c r="AK572" s="145"/>
      <c r="AL572" s="145"/>
      <c r="AM572" s="145"/>
      <c r="AN572" s="145"/>
      <c r="AO572" s="145"/>
      <c r="AP572" s="145"/>
      <c r="AQ572" s="145"/>
      <c r="AR572" s="145"/>
      <c r="AS572" s="145"/>
      <c r="AT572" s="124"/>
      <c r="AU572" s="124"/>
      <c r="AV572" s="124"/>
      <c r="AW572" s="124"/>
      <c r="AX572" s="124"/>
      <c r="AY572" s="124"/>
      <c r="AZ572" s="124"/>
      <c r="BA572" s="124"/>
      <c r="BB572" s="88"/>
      <c r="BC572" s="88"/>
      <c r="BD572" s="88"/>
      <c r="BE572" s="88"/>
      <c r="BF572" s="88"/>
      <c r="BG572" s="88"/>
      <c r="BH572" s="88"/>
      <c r="BI572" s="88"/>
      <c r="BJ572" s="88"/>
      <c r="BK572" s="88"/>
      <c r="BL572" s="88"/>
      <c r="BM572" s="88"/>
      <c r="BN572" s="88"/>
      <c r="BO572" s="88"/>
      <c r="BP572" s="88"/>
      <c r="BQ572" s="88"/>
      <c r="BR572" s="88"/>
      <c r="BS572" s="88"/>
    </row>
    <row r="573">
      <c r="J573" s="73"/>
      <c r="K573" s="74"/>
      <c r="L573" s="74"/>
      <c r="M573" s="74"/>
      <c r="N573" s="74"/>
      <c r="S573" s="75"/>
      <c r="T573" s="145"/>
      <c r="U573" s="145"/>
      <c r="V573" s="145"/>
      <c r="W573" s="145"/>
      <c r="X573" s="145"/>
      <c r="Y573" s="145"/>
      <c r="Z573" s="145"/>
      <c r="AA573" s="145"/>
      <c r="AB573" s="145"/>
      <c r="AC573" s="145"/>
      <c r="AD573" s="145"/>
      <c r="AE573" s="145"/>
      <c r="AF573" s="145"/>
      <c r="AG573" s="145"/>
      <c r="AH573" s="145"/>
      <c r="AI573" s="145"/>
      <c r="AJ573" s="145"/>
      <c r="AK573" s="145"/>
      <c r="AL573" s="145"/>
      <c r="AM573" s="145"/>
      <c r="AN573" s="145"/>
      <c r="AO573" s="145"/>
      <c r="AP573" s="145"/>
      <c r="AQ573" s="145"/>
      <c r="AR573" s="145"/>
      <c r="AS573" s="145"/>
      <c r="AT573" s="124"/>
      <c r="AU573" s="124"/>
      <c r="AV573" s="124"/>
      <c r="AW573" s="124"/>
      <c r="AX573" s="124"/>
      <c r="AY573" s="124"/>
      <c r="AZ573" s="124"/>
      <c r="BA573" s="124"/>
      <c r="BB573" s="88"/>
      <c r="BC573" s="88"/>
      <c r="BD573" s="88"/>
      <c r="BE573" s="88"/>
      <c r="BF573" s="88"/>
      <c r="BG573" s="88"/>
      <c r="BH573" s="88"/>
      <c r="BI573" s="88"/>
      <c r="BJ573" s="88"/>
      <c r="BK573" s="88"/>
      <c r="BL573" s="88"/>
      <c r="BM573" s="88"/>
      <c r="BN573" s="88"/>
      <c r="BO573" s="88"/>
      <c r="BP573" s="88"/>
      <c r="BQ573" s="88"/>
      <c r="BR573" s="88"/>
      <c r="BS573" s="88"/>
    </row>
    <row r="574">
      <c r="J574" s="73"/>
      <c r="K574" s="74"/>
      <c r="L574" s="74"/>
      <c r="M574" s="74"/>
      <c r="N574" s="74"/>
      <c r="S574" s="75"/>
      <c r="T574" s="145"/>
      <c r="U574" s="145"/>
      <c r="V574" s="145"/>
      <c r="W574" s="145"/>
      <c r="X574" s="145"/>
      <c r="Y574" s="145"/>
      <c r="Z574" s="145"/>
      <c r="AA574" s="145"/>
      <c r="AB574" s="145"/>
      <c r="AC574" s="145"/>
      <c r="AD574" s="145"/>
      <c r="AE574" s="145"/>
      <c r="AF574" s="145"/>
      <c r="AG574" s="145"/>
      <c r="AH574" s="145"/>
      <c r="AI574" s="145"/>
      <c r="AJ574" s="145"/>
      <c r="AK574" s="145"/>
      <c r="AL574" s="145"/>
      <c r="AM574" s="145"/>
      <c r="AN574" s="145"/>
      <c r="AO574" s="145"/>
      <c r="AP574" s="145"/>
      <c r="AQ574" s="145"/>
      <c r="AR574" s="145"/>
      <c r="AS574" s="145"/>
      <c r="AT574" s="124"/>
      <c r="AU574" s="124"/>
      <c r="AV574" s="124"/>
      <c r="AW574" s="124"/>
      <c r="AX574" s="124"/>
      <c r="AY574" s="124"/>
      <c r="AZ574" s="124"/>
      <c r="BA574" s="124"/>
      <c r="BB574" s="88"/>
      <c r="BC574" s="88"/>
      <c r="BD574" s="88"/>
      <c r="BE574" s="88"/>
      <c r="BF574" s="88"/>
      <c r="BG574" s="88"/>
      <c r="BH574" s="88"/>
      <c r="BI574" s="88"/>
      <c r="BJ574" s="88"/>
      <c r="BK574" s="88"/>
      <c r="BL574" s="88"/>
      <c r="BM574" s="88"/>
      <c r="BN574" s="88"/>
      <c r="BO574" s="88"/>
      <c r="BP574" s="88"/>
      <c r="BQ574" s="88"/>
      <c r="BR574" s="88"/>
      <c r="BS574" s="88"/>
    </row>
    <row r="575">
      <c r="J575" s="73"/>
      <c r="K575" s="74"/>
      <c r="L575" s="74"/>
      <c r="M575" s="74"/>
      <c r="N575" s="74"/>
      <c r="S575" s="75"/>
      <c r="T575" s="145"/>
      <c r="U575" s="145"/>
      <c r="V575" s="145"/>
      <c r="W575" s="145"/>
      <c r="X575" s="145"/>
      <c r="Y575" s="145"/>
      <c r="Z575" s="145"/>
      <c r="AA575" s="145"/>
      <c r="AB575" s="145"/>
      <c r="AC575" s="145"/>
      <c r="AD575" s="145"/>
      <c r="AE575" s="145"/>
      <c r="AF575" s="145"/>
      <c r="AG575" s="145"/>
      <c r="AH575" s="145"/>
      <c r="AI575" s="145"/>
      <c r="AJ575" s="145"/>
      <c r="AK575" s="145"/>
      <c r="AL575" s="145"/>
      <c r="AM575" s="145"/>
      <c r="AN575" s="145"/>
      <c r="AO575" s="145"/>
      <c r="AP575" s="145"/>
      <c r="AQ575" s="145"/>
      <c r="AR575" s="145"/>
      <c r="AS575" s="145"/>
      <c r="AT575" s="124"/>
      <c r="AU575" s="124"/>
      <c r="AV575" s="124"/>
      <c r="AW575" s="124"/>
      <c r="AX575" s="124"/>
      <c r="AY575" s="124"/>
      <c r="AZ575" s="124"/>
      <c r="BA575" s="124"/>
      <c r="BB575" s="88"/>
      <c r="BC575" s="88"/>
      <c r="BD575" s="88"/>
      <c r="BE575" s="88"/>
      <c r="BF575" s="88"/>
      <c r="BG575" s="88"/>
      <c r="BH575" s="88"/>
      <c r="BI575" s="88"/>
      <c r="BJ575" s="88"/>
      <c r="BK575" s="88"/>
      <c r="BL575" s="88"/>
      <c r="BM575" s="88"/>
      <c r="BN575" s="88"/>
      <c r="BO575" s="88"/>
      <c r="BP575" s="88"/>
      <c r="BQ575" s="88"/>
      <c r="BR575" s="88"/>
      <c r="BS575" s="88"/>
    </row>
    <row r="576">
      <c r="J576" s="73"/>
      <c r="K576" s="74"/>
      <c r="L576" s="74"/>
      <c r="M576" s="74"/>
      <c r="N576" s="74"/>
      <c r="S576" s="75"/>
      <c r="T576" s="145"/>
      <c r="U576" s="145"/>
      <c r="V576" s="145"/>
      <c r="W576" s="145"/>
      <c r="X576" s="145"/>
      <c r="Y576" s="145"/>
      <c r="Z576" s="145"/>
      <c r="AA576" s="145"/>
      <c r="AB576" s="145"/>
      <c r="AC576" s="145"/>
      <c r="AD576" s="145"/>
      <c r="AE576" s="145"/>
      <c r="AF576" s="145"/>
      <c r="AG576" s="145"/>
      <c r="AH576" s="145"/>
      <c r="AI576" s="145"/>
      <c r="AJ576" s="145"/>
      <c r="AK576" s="145"/>
      <c r="AL576" s="145"/>
      <c r="AM576" s="145"/>
      <c r="AN576" s="145"/>
      <c r="AO576" s="145"/>
      <c r="AP576" s="145"/>
      <c r="AQ576" s="145"/>
      <c r="AR576" s="145"/>
      <c r="AS576" s="145"/>
      <c r="AT576" s="124"/>
      <c r="AU576" s="124"/>
      <c r="AV576" s="124"/>
      <c r="AW576" s="124"/>
      <c r="AX576" s="124"/>
      <c r="AY576" s="124"/>
      <c r="AZ576" s="124"/>
      <c r="BA576" s="124"/>
      <c r="BB576" s="88"/>
      <c r="BC576" s="88"/>
      <c r="BD576" s="88"/>
      <c r="BE576" s="88"/>
      <c r="BF576" s="88"/>
      <c r="BG576" s="88"/>
      <c r="BH576" s="88"/>
      <c r="BI576" s="88"/>
      <c r="BJ576" s="88"/>
      <c r="BK576" s="88"/>
      <c r="BL576" s="88"/>
      <c r="BM576" s="88"/>
      <c r="BN576" s="88"/>
      <c r="BO576" s="88"/>
      <c r="BP576" s="88"/>
      <c r="BQ576" s="88"/>
      <c r="BR576" s="88"/>
      <c r="BS576" s="88"/>
    </row>
    <row r="577">
      <c r="J577" s="73"/>
      <c r="K577" s="74"/>
      <c r="L577" s="74"/>
      <c r="M577" s="74"/>
      <c r="N577" s="74"/>
      <c r="S577" s="75"/>
      <c r="T577" s="145"/>
      <c r="U577" s="145"/>
      <c r="V577" s="145"/>
      <c r="W577" s="145"/>
      <c r="X577" s="145"/>
      <c r="Y577" s="145"/>
      <c r="Z577" s="145"/>
      <c r="AA577" s="145"/>
      <c r="AB577" s="145"/>
      <c r="AC577" s="145"/>
      <c r="AD577" s="145"/>
      <c r="AE577" s="145"/>
      <c r="AF577" s="145"/>
      <c r="AG577" s="145"/>
      <c r="AH577" s="145"/>
      <c r="AI577" s="145"/>
      <c r="AJ577" s="145"/>
      <c r="AK577" s="145"/>
      <c r="AL577" s="145"/>
      <c r="AM577" s="145"/>
      <c r="AN577" s="145"/>
      <c r="AO577" s="145"/>
      <c r="AP577" s="145"/>
      <c r="AQ577" s="145"/>
      <c r="AR577" s="145"/>
      <c r="AS577" s="145"/>
      <c r="AT577" s="124"/>
      <c r="AU577" s="124"/>
      <c r="AV577" s="124"/>
      <c r="AW577" s="124"/>
      <c r="AX577" s="124"/>
      <c r="AY577" s="124"/>
      <c r="AZ577" s="124"/>
      <c r="BA577" s="124"/>
      <c r="BB577" s="88"/>
      <c r="BC577" s="88"/>
      <c r="BD577" s="88"/>
      <c r="BE577" s="88"/>
      <c r="BF577" s="88"/>
      <c r="BG577" s="88"/>
      <c r="BH577" s="88"/>
      <c r="BI577" s="88"/>
      <c r="BJ577" s="88"/>
      <c r="BK577" s="88"/>
      <c r="BL577" s="88"/>
      <c r="BM577" s="88"/>
      <c r="BN577" s="88"/>
      <c r="BO577" s="88"/>
      <c r="BP577" s="88"/>
      <c r="BQ577" s="88"/>
      <c r="BR577" s="88"/>
      <c r="BS577" s="88"/>
    </row>
    <row r="578">
      <c r="J578" s="73"/>
      <c r="K578" s="74"/>
      <c r="L578" s="74"/>
      <c r="M578" s="74"/>
      <c r="N578" s="74"/>
      <c r="S578" s="75"/>
      <c r="T578" s="145"/>
      <c r="U578" s="145"/>
      <c r="V578" s="145"/>
      <c r="W578" s="145"/>
      <c r="X578" s="145"/>
      <c r="Y578" s="145"/>
      <c r="Z578" s="145"/>
      <c r="AA578" s="145"/>
      <c r="AB578" s="145"/>
      <c r="AC578" s="145"/>
      <c r="AD578" s="145"/>
      <c r="AE578" s="145"/>
      <c r="AF578" s="145"/>
      <c r="AG578" s="145"/>
      <c r="AH578" s="145"/>
      <c r="AI578" s="145"/>
      <c r="AJ578" s="145"/>
      <c r="AK578" s="145"/>
      <c r="AL578" s="145"/>
      <c r="AM578" s="145"/>
      <c r="AN578" s="145"/>
      <c r="AO578" s="145"/>
      <c r="AP578" s="145"/>
      <c r="AQ578" s="145"/>
      <c r="AR578" s="145"/>
      <c r="AS578" s="145"/>
      <c r="AT578" s="124"/>
      <c r="AU578" s="124"/>
      <c r="AV578" s="124"/>
      <c r="AW578" s="124"/>
      <c r="AX578" s="124"/>
      <c r="AY578" s="124"/>
      <c r="AZ578" s="124"/>
      <c r="BA578" s="124"/>
      <c r="BB578" s="88"/>
      <c r="BC578" s="88"/>
      <c r="BD578" s="88"/>
      <c r="BE578" s="88"/>
      <c r="BF578" s="88"/>
      <c r="BG578" s="88"/>
      <c r="BH578" s="88"/>
      <c r="BI578" s="88"/>
      <c r="BJ578" s="88"/>
      <c r="BK578" s="88"/>
      <c r="BL578" s="88"/>
      <c r="BM578" s="88"/>
      <c r="BN578" s="88"/>
      <c r="BO578" s="88"/>
      <c r="BP578" s="88"/>
      <c r="BQ578" s="88"/>
      <c r="BR578" s="88"/>
      <c r="BS578" s="88"/>
    </row>
    <row r="579">
      <c r="J579" s="73"/>
      <c r="K579" s="74"/>
      <c r="L579" s="74"/>
      <c r="M579" s="74"/>
      <c r="N579" s="74"/>
      <c r="S579" s="75"/>
      <c r="T579" s="145"/>
      <c r="U579" s="145"/>
      <c r="V579" s="145"/>
      <c r="W579" s="145"/>
      <c r="X579" s="145"/>
      <c r="Y579" s="145"/>
      <c r="Z579" s="145"/>
      <c r="AA579" s="145"/>
      <c r="AB579" s="145"/>
      <c r="AC579" s="145"/>
      <c r="AD579" s="145"/>
      <c r="AE579" s="145"/>
      <c r="AF579" s="145"/>
      <c r="AG579" s="145"/>
      <c r="AH579" s="145"/>
      <c r="AI579" s="145"/>
      <c r="AJ579" s="145"/>
      <c r="AK579" s="145"/>
      <c r="AL579" s="145"/>
      <c r="AM579" s="145"/>
      <c r="AN579" s="145"/>
      <c r="AO579" s="145"/>
      <c r="AP579" s="145"/>
      <c r="AQ579" s="145"/>
      <c r="AR579" s="145"/>
      <c r="AS579" s="145"/>
      <c r="AT579" s="124"/>
      <c r="AU579" s="124"/>
      <c r="AV579" s="124"/>
      <c r="AW579" s="124"/>
      <c r="AX579" s="124"/>
      <c r="AY579" s="124"/>
      <c r="AZ579" s="124"/>
      <c r="BA579" s="124"/>
      <c r="BB579" s="88"/>
      <c r="BC579" s="88"/>
      <c r="BD579" s="88"/>
      <c r="BE579" s="88"/>
      <c r="BF579" s="88"/>
      <c r="BG579" s="88"/>
      <c r="BH579" s="88"/>
      <c r="BI579" s="88"/>
      <c r="BJ579" s="88"/>
      <c r="BK579" s="88"/>
      <c r="BL579" s="88"/>
      <c r="BM579" s="88"/>
      <c r="BN579" s="88"/>
      <c r="BO579" s="88"/>
      <c r="BP579" s="88"/>
      <c r="BQ579" s="88"/>
      <c r="BR579" s="88"/>
      <c r="BS579" s="88"/>
    </row>
    <row r="580">
      <c r="J580" s="73"/>
      <c r="K580" s="74"/>
      <c r="L580" s="74"/>
      <c r="M580" s="74"/>
      <c r="N580" s="74"/>
      <c r="S580" s="75"/>
      <c r="T580" s="145"/>
      <c r="U580" s="145"/>
      <c r="V580" s="145"/>
      <c r="W580" s="145"/>
      <c r="X580" s="145"/>
      <c r="Y580" s="145"/>
      <c r="Z580" s="145"/>
      <c r="AA580" s="145"/>
      <c r="AB580" s="145"/>
      <c r="AC580" s="145"/>
      <c r="AD580" s="145"/>
      <c r="AE580" s="145"/>
      <c r="AF580" s="145"/>
      <c r="AG580" s="145"/>
      <c r="AH580" s="145"/>
      <c r="AI580" s="145"/>
      <c r="AJ580" s="145"/>
      <c r="AK580" s="145"/>
      <c r="AL580" s="145"/>
      <c r="AM580" s="145"/>
      <c r="AN580" s="145"/>
      <c r="AO580" s="145"/>
      <c r="AP580" s="145"/>
      <c r="AQ580" s="145"/>
      <c r="AR580" s="145"/>
      <c r="AS580" s="145"/>
      <c r="AT580" s="124"/>
      <c r="AU580" s="124"/>
      <c r="AV580" s="124"/>
      <c r="AW580" s="124"/>
      <c r="AX580" s="124"/>
      <c r="AY580" s="124"/>
      <c r="AZ580" s="124"/>
      <c r="BA580" s="124"/>
      <c r="BB580" s="88"/>
      <c r="BC580" s="88"/>
      <c r="BD580" s="88"/>
      <c r="BE580" s="88"/>
      <c r="BF580" s="88"/>
      <c r="BG580" s="88"/>
      <c r="BH580" s="88"/>
      <c r="BI580" s="88"/>
      <c r="BJ580" s="88"/>
      <c r="BK580" s="88"/>
      <c r="BL580" s="88"/>
      <c r="BM580" s="88"/>
      <c r="BN580" s="88"/>
      <c r="BO580" s="88"/>
      <c r="BP580" s="88"/>
      <c r="BQ580" s="88"/>
      <c r="BR580" s="88"/>
      <c r="BS580" s="88"/>
    </row>
    <row r="581">
      <c r="J581" s="73"/>
      <c r="K581" s="74"/>
      <c r="L581" s="74"/>
      <c r="M581" s="74"/>
      <c r="N581" s="74"/>
      <c r="S581" s="75"/>
      <c r="T581" s="145"/>
      <c r="U581" s="145"/>
      <c r="V581" s="145"/>
      <c r="W581" s="145"/>
      <c r="X581" s="145"/>
      <c r="Y581" s="145"/>
      <c r="Z581" s="145"/>
      <c r="AA581" s="145"/>
      <c r="AB581" s="145"/>
      <c r="AC581" s="145"/>
      <c r="AD581" s="145"/>
      <c r="AE581" s="145"/>
      <c r="AF581" s="145"/>
      <c r="AG581" s="145"/>
      <c r="AH581" s="145"/>
      <c r="AI581" s="145"/>
      <c r="AJ581" s="145"/>
      <c r="AK581" s="145"/>
      <c r="AL581" s="145"/>
      <c r="AM581" s="145"/>
      <c r="AN581" s="145"/>
      <c r="AO581" s="145"/>
      <c r="AP581" s="145"/>
      <c r="AQ581" s="145"/>
      <c r="AR581" s="145"/>
      <c r="AS581" s="145"/>
      <c r="AT581" s="124"/>
      <c r="AU581" s="124"/>
      <c r="AV581" s="124"/>
      <c r="AW581" s="124"/>
      <c r="AX581" s="124"/>
      <c r="AY581" s="124"/>
      <c r="AZ581" s="124"/>
      <c r="BA581" s="124"/>
      <c r="BB581" s="88"/>
      <c r="BC581" s="88"/>
      <c r="BD581" s="88"/>
      <c r="BE581" s="88"/>
      <c r="BF581" s="88"/>
      <c r="BG581" s="88"/>
      <c r="BH581" s="88"/>
      <c r="BI581" s="88"/>
      <c r="BJ581" s="88"/>
      <c r="BK581" s="88"/>
      <c r="BL581" s="88"/>
      <c r="BM581" s="88"/>
      <c r="BN581" s="88"/>
      <c r="BO581" s="88"/>
      <c r="BP581" s="88"/>
      <c r="BQ581" s="88"/>
      <c r="BR581" s="88"/>
      <c r="BS581" s="88"/>
    </row>
    <row r="582">
      <c r="J582" s="73"/>
      <c r="K582" s="74"/>
      <c r="L582" s="74"/>
      <c r="M582" s="74"/>
      <c r="N582" s="74"/>
      <c r="S582" s="75"/>
      <c r="T582" s="145"/>
      <c r="U582" s="145"/>
      <c r="V582" s="145"/>
      <c r="W582" s="145"/>
      <c r="X582" s="145"/>
      <c r="Y582" s="145"/>
      <c r="Z582" s="145"/>
      <c r="AA582" s="145"/>
      <c r="AB582" s="145"/>
      <c r="AC582" s="145"/>
      <c r="AD582" s="145"/>
      <c r="AE582" s="145"/>
      <c r="AF582" s="145"/>
      <c r="AG582" s="145"/>
      <c r="AH582" s="145"/>
      <c r="AI582" s="145"/>
      <c r="AJ582" s="145"/>
      <c r="AK582" s="145"/>
      <c r="AL582" s="145"/>
      <c r="AM582" s="145"/>
      <c r="AN582" s="145"/>
      <c r="AO582" s="145"/>
      <c r="AP582" s="145"/>
      <c r="AQ582" s="145"/>
      <c r="AR582" s="145"/>
      <c r="AS582" s="145"/>
      <c r="AT582" s="124"/>
      <c r="AU582" s="124"/>
      <c r="AV582" s="124"/>
      <c r="AW582" s="124"/>
      <c r="AX582" s="124"/>
      <c r="AY582" s="124"/>
      <c r="AZ582" s="124"/>
      <c r="BA582" s="124"/>
      <c r="BB582" s="88"/>
      <c r="BC582" s="88"/>
      <c r="BD582" s="88"/>
      <c r="BE582" s="88"/>
      <c r="BF582" s="88"/>
      <c r="BG582" s="88"/>
      <c r="BH582" s="88"/>
      <c r="BI582" s="88"/>
      <c r="BJ582" s="88"/>
      <c r="BK582" s="88"/>
      <c r="BL582" s="88"/>
      <c r="BM582" s="88"/>
      <c r="BN582" s="88"/>
      <c r="BO582" s="88"/>
      <c r="BP582" s="88"/>
      <c r="BQ582" s="88"/>
      <c r="BR582" s="88"/>
      <c r="BS582" s="88"/>
    </row>
    <row r="583">
      <c r="J583" s="73"/>
      <c r="K583" s="74"/>
      <c r="L583" s="74"/>
      <c r="M583" s="74"/>
      <c r="N583" s="74"/>
      <c r="S583" s="75"/>
      <c r="T583" s="145"/>
      <c r="U583" s="145"/>
      <c r="V583" s="145"/>
      <c r="W583" s="145"/>
      <c r="X583" s="145"/>
      <c r="Y583" s="145"/>
      <c r="Z583" s="145"/>
      <c r="AA583" s="145"/>
      <c r="AB583" s="145"/>
      <c r="AC583" s="145"/>
      <c r="AD583" s="145"/>
      <c r="AE583" s="145"/>
      <c r="AF583" s="145"/>
      <c r="AG583" s="145"/>
      <c r="AH583" s="145"/>
      <c r="AI583" s="145"/>
      <c r="AJ583" s="145"/>
      <c r="AK583" s="145"/>
      <c r="AL583" s="145"/>
      <c r="AM583" s="145"/>
      <c r="AN583" s="145"/>
      <c r="AO583" s="145"/>
      <c r="AP583" s="145"/>
      <c r="AQ583" s="145"/>
      <c r="AR583" s="145"/>
      <c r="AS583" s="145"/>
      <c r="AT583" s="124"/>
      <c r="AU583" s="124"/>
      <c r="AV583" s="124"/>
      <c r="AW583" s="124"/>
      <c r="AX583" s="124"/>
      <c r="AY583" s="124"/>
      <c r="AZ583" s="124"/>
      <c r="BA583" s="124"/>
      <c r="BB583" s="88"/>
      <c r="BC583" s="88"/>
      <c r="BD583" s="88"/>
      <c r="BE583" s="88"/>
      <c r="BF583" s="88"/>
      <c r="BG583" s="88"/>
      <c r="BH583" s="88"/>
      <c r="BI583" s="88"/>
      <c r="BJ583" s="88"/>
      <c r="BK583" s="88"/>
      <c r="BL583" s="88"/>
      <c r="BM583" s="88"/>
      <c r="BN583" s="88"/>
      <c r="BO583" s="88"/>
      <c r="BP583" s="88"/>
      <c r="BQ583" s="88"/>
      <c r="BR583" s="88"/>
      <c r="BS583" s="88"/>
    </row>
    <row r="584">
      <c r="J584" s="73"/>
      <c r="K584" s="74"/>
      <c r="L584" s="74"/>
      <c r="M584" s="74"/>
      <c r="N584" s="74"/>
      <c r="S584" s="75"/>
      <c r="T584" s="145"/>
      <c r="U584" s="145"/>
      <c r="V584" s="145"/>
      <c r="W584" s="145"/>
      <c r="X584" s="145"/>
      <c r="Y584" s="145"/>
      <c r="Z584" s="145"/>
      <c r="AA584" s="145"/>
      <c r="AB584" s="145"/>
      <c r="AC584" s="145"/>
      <c r="AD584" s="145"/>
      <c r="AE584" s="145"/>
      <c r="AF584" s="145"/>
      <c r="AG584" s="145"/>
      <c r="AH584" s="145"/>
      <c r="AI584" s="145"/>
      <c r="AJ584" s="145"/>
      <c r="AK584" s="145"/>
      <c r="AL584" s="145"/>
      <c r="AM584" s="145"/>
      <c r="AN584" s="145"/>
      <c r="AO584" s="145"/>
      <c r="AP584" s="145"/>
      <c r="AQ584" s="145"/>
      <c r="AR584" s="145"/>
      <c r="AS584" s="145"/>
      <c r="AT584" s="124"/>
      <c r="AU584" s="124"/>
      <c r="AV584" s="124"/>
      <c r="AW584" s="124"/>
      <c r="AX584" s="124"/>
      <c r="AY584" s="124"/>
      <c r="AZ584" s="124"/>
      <c r="BA584" s="124"/>
      <c r="BB584" s="88"/>
      <c r="BC584" s="88"/>
      <c r="BD584" s="88"/>
      <c r="BE584" s="88"/>
      <c r="BF584" s="88"/>
      <c r="BG584" s="88"/>
      <c r="BH584" s="88"/>
      <c r="BI584" s="88"/>
      <c r="BJ584" s="88"/>
      <c r="BK584" s="88"/>
      <c r="BL584" s="88"/>
      <c r="BM584" s="88"/>
      <c r="BN584" s="88"/>
      <c r="BO584" s="88"/>
      <c r="BP584" s="88"/>
      <c r="BQ584" s="88"/>
      <c r="BR584" s="88"/>
      <c r="BS584" s="88"/>
    </row>
    <row r="585">
      <c r="J585" s="73"/>
      <c r="K585" s="74"/>
      <c r="L585" s="74"/>
      <c r="M585" s="74"/>
      <c r="N585" s="74"/>
      <c r="S585" s="75"/>
      <c r="T585" s="145"/>
      <c r="U585" s="145"/>
      <c r="V585" s="145"/>
      <c r="W585" s="145"/>
      <c r="X585" s="145"/>
      <c r="Y585" s="145"/>
      <c r="Z585" s="145"/>
      <c r="AA585" s="145"/>
      <c r="AB585" s="145"/>
      <c r="AC585" s="145"/>
      <c r="AD585" s="145"/>
      <c r="AE585" s="145"/>
      <c r="AF585" s="145"/>
      <c r="AG585" s="145"/>
      <c r="AH585" s="145"/>
      <c r="AI585" s="145"/>
      <c r="AJ585" s="145"/>
      <c r="AK585" s="145"/>
      <c r="AL585" s="145"/>
      <c r="AM585" s="145"/>
      <c r="AN585" s="145"/>
      <c r="AO585" s="145"/>
      <c r="AP585" s="145"/>
      <c r="AQ585" s="145"/>
      <c r="AR585" s="145"/>
      <c r="AS585" s="145"/>
      <c r="AT585" s="124"/>
      <c r="AU585" s="124"/>
      <c r="AV585" s="124"/>
      <c r="AW585" s="124"/>
      <c r="AX585" s="124"/>
      <c r="AY585" s="124"/>
      <c r="AZ585" s="124"/>
      <c r="BA585" s="124"/>
      <c r="BB585" s="88"/>
      <c r="BC585" s="88"/>
      <c r="BD585" s="88"/>
      <c r="BE585" s="88"/>
      <c r="BF585" s="88"/>
      <c r="BG585" s="88"/>
      <c r="BH585" s="88"/>
      <c r="BI585" s="88"/>
      <c r="BJ585" s="88"/>
      <c r="BK585" s="88"/>
      <c r="BL585" s="88"/>
      <c r="BM585" s="88"/>
      <c r="BN585" s="88"/>
      <c r="BO585" s="88"/>
      <c r="BP585" s="88"/>
      <c r="BQ585" s="88"/>
      <c r="BR585" s="88"/>
      <c r="BS585" s="88"/>
    </row>
    <row r="586">
      <c r="J586" s="73"/>
      <c r="K586" s="74"/>
      <c r="L586" s="74"/>
      <c r="M586" s="74"/>
      <c r="N586" s="74"/>
      <c r="S586" s="75"/>
      <c r="T586" s="145"/>
      <c r="U586" s="145"/>
      <c r="V586" s="145"/>
      <c r="W586" s="145"/>
      <c r="X586" s="145"/>
      <c r="Y586" s="145"/>
      <c r="Z586" s="145"/>
      <c r="AA586" s="145"/>
      <c r="AB586" s="145"/>
      <c r="AC586" s="145"/>
      <c r="AD586" s="145"/>
      <c r="AE586" s="145"/>
      <c r="AF586" s="145"/>
      <c r="AG586" s="145"/>
      <c r="AH586" s="145"/>
      <c r="AI586" s="145"/>
      <c r="AJ586" s="145"/>
      <c r="AK586" s="145"/>
      <c r="AL586" s="145"/>
      <c r="AM586" s="145"/>
      <c r="AN586" s="145"/>
      <c r="AO586" s="145"/>
      <c r="AP586" s="145"/>
      <c r="AQ586" s="145"/>
      <c r="AR586" s="145"/>
      <c r="AS586" s="145"/>
      <c r="AT586" s="124"/>
      <c r="AU586" s="124"/>
      <c r="AV586" s="124"/>
      <c r="AW586" s="124"/>
      <c r="AX586" s="124"/>
      <c r="AY586" s="124"/>
      <c r="AZ586" s="124"/>
      <c r="BA586" s="124"/>
      <c r="BB586" s="88"/>
      <c r="BC586" s="88"/>
      <c r="BD586" s="88"/>
      <c r="BE586" s="88"/>
      <c r="BF586" s="88"/>
      <c r="BG586" s="88"/>
      <c r="BH586" s="88"/>
      <c r="BI586" s="88"/>
      <c r="BJ586" s="88"/>
      <c r="BK586" s="88"/>
      <c r="BL586" s="88"/>
      <c r="BM586" s="88"/>
      <c r="BN586" s="88"/>
      <c r="BO586" s="88"/>
      <c r="BP586" s="88"/>
      <c r="BQ586" s="88"/>
      <c r="BR586" s="88"/>
      <c r="BS586" s="88"/>
    </row>
    <row r="587">
      <c r="J587" s="73"/>
      <c r="K587" s="74"/>
      <c r="L587" s="74"/>
      <c r="M587" s="74"/>
      <c r="N587" s="74"/>
      <c r="S587" s="75"/>
      <c r="T587" s="145"/>
      <c r="U587" s="145"/>
      <c r="V587" s="145"/>
      <c r="W587" s="145"/>
      <c r="X587" s="145"/>
      <c r="Y587" s="145"/>
      <c r="Z587" s="145"/>
      <c r="AA587" s="145"/>
      <c r="AB587" s="145"/>
      <c r="AC587" s="145"/>
      <c r="AD587" s="145"/>
      <c r="AE587" s="145"/>
      <c r="AF587" s="145"/>
      <c r="AG587" s="145"/>
      <c r="AH587" s="145"/>
      <c r="AI587" s="145"/>
      <c r="AJ587" s="145"/>
      <c r="AK587" s="145"/>
      <c r="AL587" s="145"/>
      <c r="AM587" s="145"/>
      <c r="AN587" s="145"/>
      <c r="AO587" s="145"/>
      <c r="AP587" s="145"/>
      <c r="AQ587" s="145"/>
      <c r="AR587" s="145"/>
      <c r="AS587" s="145"/>
      <c r="AT587" s="124"/>
      <c r="AU587" s="124"/>
      <c r="AV587" s="124"/>
      <c r="AW587" s="124"/>
      <c r="AX587" s="124"/>
      <c r="AY587" s="124"/>
      <c r="AZ587" s="124"/>
      <c r="BA587" s="124"/>
      <c r="BB587" s="88"/>
      <c r="BC587" s="88"/>
      <c r="BD587" s="88"/>
      <c r="BE587" s="88"/>
      <c r="BF587" s="88"/>
      <c r="BG587" s="88"/>
      <c r="BH587" s="88"/>
      <c r="BI587" s="88"/>
      <c r="BJ587" s="88"/>
      <c r="BK587" s="88"/>
      <c r="BL587" s="88"/>
      <c r="BM587" s="88"/>
      <c r="BN587" s="88"/>
      <c r="BO587" s="88"/>
      <c r="BP587" s="88"/>
      <c r="BQ587" s="88"/>
      <c r="BR587" s="88"/>
      <c r="BS587" s="88"/>
    </row>
    <row r="588">
      <c r="J588" s="73"/>
      <c r="K588" s="74"/>
      <c r="L588" s="74"/>
      <c r="M588" s="74"/>
      <c r="N588" s="74"/>
      <c r="S588" s="75"/>
      <c r="T588" s="145"/>
      <c r="U588" s="145"/>
      <c r="V588" s="145"/>
      <c r="W588" s="145"/>
      <c r="X588" s="145"/>
      <c r="Y588" s="145"/>
      <c r="Z588" s="145"/>
      <c r="AA588" s="145"/>
      <c r="AB588" s="145"/>
      <c r="AC588" s="145"/>
      <c r="AD588" s="145"/>
      <c r="AE588" s="145"/>
      <c r="AF588" s="145"/>
      <c r="AG588" s="145"/>
      <c r="AH588" s="145"/>
      <c r="AI588" s="145"/>
      <c r="AJ588" s="145"/>
      <c r="AK588" s="145"/>
      <c r="AL588" s="145"/>
      <c r="AM588" s="145"/>
      <c r="AN588" s="145"/>
      <c r="AO588" s="145"/>
      <c r="AP588" s="145"/>
      <c r="AQ588" s="145"/>
      <c r="AR588" s="145"/>
      <c r="AS588" s="145"/>
      <c r="AT588" s="124"/>
      <c r="AU588" s="124"/>
      <c r="AV588" s="124"/>
      <c r="AW588" s="124"/>
      <c r="AX588" s="124"/>
      <c r="AY588" s="124"/>
      <c r="AZ588" s="124"/>
      <c r="BA588" s="124"/>
      <c r="BB588" s="88"/>
      <c r="BC588" s="88"/>
      <c r="BD588" s="88"/>
      <c r="BE588" s="88"/>
      <c r="BF588" s="88"/>
      <c r="BG588" s="88"/>
      <c r="BH588" s="88"/>
      <c r="BI588" s="88"/>
      <c r="BJ588" s="88"/>
      <c r="BK588" s="88"/>
      <c r="BL588" s="88"/>
      <c r="BM588" s="88"/>
      <c r="BN588" s="88"/>
      <c r="BO588" s="88"/>
      <c r="BP588" s="88"/>
      <c r="BQ588" s="88"/>
      <c r="BR588" s="88"/>
      <c r="BS588" s="88"/>
    </row>
    <row r="589">
      <c r="J589" s="73"/>
      <c r="K589" s="74"/>
      <c r="L589" s="74"/>
      <c r="M589" s="74"/>
      <c r="N589" s="74"/>
      <c r="S589" s="75"/>
      <c r="T589" s="145"/>
      <c r="U589" s="145"/>
      <c r="V589" s="145"/>
      <c r="W589" s="145"/>
      <c r="X589" s="145"/>
      <c r="Y589" s="145"/>
      <c r="Z589" s="145"/>
      <c r="AA589" s="145"/>
      <c r="AB589" s="145"/>
      <c r="AC589" s="145"/>
      <c r="AD589" s="145"/>
      <c r="AE589" s="145"/>
      <c r="AF589" s="145"/>
      <c r="AG589" s="145"/>
      <c r="AH589" s="145"/>
      <c r="AI589" s="145"/>
      <c r="AJ589" s="145"/>
      <c r="AK589" s="145"/>
      <c r="AL589" s="145"/>
      <c r="AM589" s="145"/>
      <c r="AN589" s="145"/>
      <c r="AO589" s="145"/>
      <c r="AP589" s="145"/>
      <c r="AQ589" s="145"/>
      <c r="AR589" s="145"/>
      <c r="AS589" s="145"/>
      <c r="AT589" s="124"/>
      <c r="AU589" s="124"/>
      <c r="AV589" s="124"/>
      <c r="AW589" s="124"/>
      <c r="AX589" s="124"/>
      <c r="AY589" s="124"/>
      <c r="AZ589" s="124"/>
      <c r="BA589" s="124"/>
      <c r="BB589" s="88"/>
      <c r="BC589" s="88"/>
      <c r="BD589" s="88"/>
      <c r="BE589" s="88"/>
      <c r="BF589" s="88"/>
      <c r="BG589" s="88"/>
      <c r="BH589" s="88"/>
      <c r="BI589" s="88"/>
      <c r="BJ589" s="88"/>
      <c r="BK589" s="88"/>
      <c r="BL589" s="88"/>
      <c r="BM589" s="88"/>
      <c r="BN589" s="88"/>
      <c r="BO589" s="88"/>
      <c r="BP589" s="88"/>
      <c r="BQ589" s="88"/>
      <c r="BR589" s="88"/>
      <c r="BS589" s="88"/>
    </row>
    <row r="590">
      <c r="J590" s="73"/>
      <c r="K590" s="74"/>
      <c r="L590" s="74"/>
      <c r="M590" s="74"/>
      <c r="N590" s="74"/>
      <c r="S590" s="75"/>
      <c r="T590" s="145"/>
      <c r="U590" s="145"/>
      <c r="V590" s="145"/>
      <c r="W590" s="145"/>
      <c r="X590" s="145"/>
      <c r="Y590" s="145"/>
      <c r="Z590" s="145"/>
      <c r="AA590" s="145"/>
      <c r="AB590" s="145"/>
      <c r="AC590" s="145"/>
      <c r="AD590" s="145"/>
      <c r="AE590" s="145"/>
      <c r="AF590" s="145"/>
      <c r="AG590" s="145"/>
      <c r="AH590" s="145"/>
      <c r="AI590" s="145"/>
      <c r="AJ590" s="145"/>
      <c r="AK590" s="145"/>
      <c r="AL590" s="145"/>
      <c r="AM590" s="145"/>
      <c r="AN590" s="145"/>
      <c r="AO590" s="145"/>
      <c r="AP590" s="145"/>
      <c r="AQ590" s="145"/>
      <c r="AR590" s="145"/>
      <c r="AS590" s="145"/>
      <c r="AT590" s="124"/>
      <c r="AU590" s="124"/>
      <c r="AV590" s="124"/>
      <c r="AW590" s="124"/>
      <c r="AX590" s="124"/>
      <c r="AY590" s="124"/>
      <c r="AZ590" s="124"/>
      <c r="BA590" s="124"/>
      <c r="BB590" s="88"/>
      <c r="BC590" s="88"/>
      <c r="BD590" s="88"/>
      <c r="BE590" s="88"/>
      <c r="BF590" s="88"/>
      <c r="BG590" s="88"/>
      <c r="BH590" s="88"/>
      <c r="BI590" s="88"/>
      <c r="BJ590" s="88"/>
      <c r="BK590" s="88"/>
      <c r="BL590" s="88"/>
      <c r="BM590" s="88"/>
      <c r="BN590" s="88"/>
      <c r="BO590" s="88"/>
      <c r="BP590" s="88"/>
      <c r="BQ590" s="88"/>
      <c r="BR590" s="88"/>
      <c r="BS590" s="88"/>
    </row>
    <row r="591">
      <c r="J591" s="73"/>
      <c r="K591" s="74"/>
      <c r="L591" s="74"/>
      <c r="M591" s="74"/>
      <c r="N591" s="74"/>
      <c r="S591" s="75"/>
      <c r="T591" s="145"/>
      <c r="U591" s="145"/>
      <c r="V591" s="145"/>
      <c r="W591" s="145"/>
      <c r="X591" s="145"/>
      <c r="Y591" s="145"/>
      <c r="Z591" s="145"/>
      <c r="AA591" s="145"/>
      <c r="AB591" s="145"/>
      <c r="AC591" s="145"/>
      <c r="AD591" s="145"/>
      <c r="AE591" s="145"/>
      <c r="AF591" s="145"/>
      <c r="AG591" s="145"/>
      <c r="AH591" s="145"/>
      <c r="AI591" s="145"/>
      <c r="AJ591" s="145"/>
      <c r="AK591" s="145"/>
      <c r="AL591" s="145"/>
      <c r="AM591" s="145"/>
      <c r="AN591" s="145"/>
      <c r="AO591" s="145"/>
      <c r="AP591" s="145"/>
      <c r="AQ591" s="145"/>
      <c r="AR591" s="145"/>
      <c r="AS591" s="145"/>
      <c r="AT591" s="124"/>
      <c r="AU591" s="124"/>
      <c r="AV591" s="124"/>
      <c r="AW591" s="124"/>
      <c r="AX591" s="124"/>
      <c r="AY591" s="124"/>
      <c r="AZ591" s="124"/>
      <c r="BA591" s="124"/>
      <c r="BB591" s="88"/>
      <c r="BC591" s="88"/>
      <c r="BD591" s="88"/>
      <c r="BE591" s="88"/>
      <c r="BF591" s="88"/>
      <c r="BG591" s="88"/>
      <c r="BH591" s="88"/>
      <c r="BI591" s="88"/>
      <c r="BJ591" s="88"/>
      <c r="BK591" s="88"/>
      <c r="BL591" s="88"/>
      <c r="BM591" s="88"/>
      <c r="BN591" s="88"/>
      <c r="BO591" s="88"/>
      <c r="BP591" s="88"/>
      <c r="BQ591" s="88"/>
      <c r="BR591" s="88"/>
      <c r="BS591" s="88"/>
    </row>
    <row r="592">
      <c r="J592" s="73"/>
      <c r="K592" s="74"/>
      <c r="L592" s="74"/>
      <c r="M592" s="74"/>
      <c r="N592" s="74"/>
      <c r="S592" s="75"/>
      <c r="T592" s="145"/>
      <c r="U592" s="145"/>
      <c r="V592" s="145"/>
      <c r="W592" s="145"/>
      <c r="X592" s="145"/>
      <c r="Y592" s="145"/>
      <c r="Z592" s="145"/>
      <c r="AA592" s="145"/>
      <c r="AB592" s="145"/>
      <c r="AC592" s="145"/>
      <c r="AD592" s="145"/>
      <c r="AE592" s="145"/>
      <c r="AF592" s="145"/>
      <c r="AG592" s="145"/>
      <c r="AH592" s="145"/>
      <c r="AI592" s="145"/>
      <c r="AJ592" s="145"/>
      <c r="AK592" s="145"/>
      <c r="AL592" s="145"/>
      <c r="AM592" s="145"/>
      <c r="AN592" s="145"/>
      <c r="AO592" s="145"/>
      <c r="AP592" s="145"/>
      <c r="AQ592" s="145"/>
      <c r="AR592" s="145"/>
      <c r="AS592" s="145"/>
      <c r="AT592" s="124"/>
      <c r="AU592" s="124"/>
      <c r="AV592" s="124"/>
      <c r="AW592" s="124"/>
      <c r="AX592" s="124"/>
      <c r="AY592" s="124"/>
      <c r="AZ592" s="124"/>
      <c r="BA592" s="124"/>
      <c r="BB592" s="88"/>
      <c r="BC592" s="88"/>
      <c r="BD592" s="88"/>
      <c r="BE592" s="88"/>
      <c r="BF592" s="88"/>
      <c r="BG592" s="88"/>
      <c r="BH592" s="88"/>
      <c r="BI592" s="88"/>
      <c r="BJ592" s="88"/>
      <c r="BK592" s="88"/>
      <c r="BL592" s="88"/>
      <c r="BM592" s="88"/>
      <c r="BN592" s="88"/>
      <c r="BO592" s="88"/>
      <c r="BP592" s="88"/>
      <c r="BQ592" s="88"/>
      <c r="BR592" s="88"/>
      <c r="BS592" s="88"/>
    </row>
    <row r="593">
      <c r="J593" s="73"/>
      <c r="K593" s="74"/>
      <c r="L593" s="74"/>
      <c r="M593" s="74"/>
      <c r="N593" s="74"/>
      <c r="S593" s="75"/>
      <c r="T593" s="145"/>
      <c r="U593" s="145"/>
      <c r="V593" s="145"/>
      <c r="W593" s="145"/>
      <c r="X593" s="145"/>
      <c r="Y593" s="145"/>
      <c r="Z593" s="145"/>
      <c r="AA593" s="145"/>
      <c r="AB593" s="145"/>
      <c r="AC593" s="145"/>
      <c r="AD593" s="145"/>
      <c r="AE593" s="145"/>
      <c r="AF593" s="145"/>
      <c r="AG593" s="145"/>
      <c r="AH593" s="145"/>
      <c r="AI593" s="145"/>
      <c r="AJ593" s="145"/>
      <c r="AK593" s="145"/>
      <c r="AL593" s="145"/>
      <c r="AM593" s="145"/>
      <c r="AN593" s="145"/>
      <c r="AO593" s="145"/>
      <c r="AP593" s="145"/>
      <c r="AQ593" s="145"/>
      <c r="AR593" s="145"/>
      <c r="AS593" s="145"/>
      <c r="AT593" s="124"/>
      <c r="AU593" s="124"/>
      <c r="AV593" s="124"/>
      <c r="AW593" s="124"/>
      <c r="AX593" s="124"/>
      <c r="AY593" s="124"/>
      <c r="AZ593" s="124"/>
      <c r="BA593" s="124"/>
      <c r="BB593" s="88"/>
      <c r="BC593" s="88"/>
      <c r="BD593" s="88"/>
      <c r="BE593" s="88"/>
      <c r="BF593" s="88"/>
      <c r="BG593" s="88"/>
      <c r="BH593" s="88"/>
      <c r="BI593" s="88"/>
      <c r="BJ593" s="88"/>
      <c r="BK593" s="88"/>
      <c r="BL593" s="88"/>
      <c r="BM593" s="88"/>
      <c r="BN593" s="88"/>
      <c r="BO593" s="88"/>
      <c r="BP593" s="88"/>
      <c r="BQ593" s="88"/>
      <c r="BR593" s="88"/>
      <c r="BS593" s="88"/>
    </row>
    <row r="594">
      <c r="J594" s="73"/>
      <c r="K594" s="74"/>
      <c r="L594" s="74"/>
      <c r="M594" s="74"/>
      <c r="N594" s="74"/>
      <c r="S594" s="75"/>
      <c r="T594" s="145"/>
      <c r="U594" s="145"/>
      <c r="V594" s="145"/>
      <c r="W594" s="145"/>
      <c r="X594" s="145"/>
      <c r="Y594" s="145"/>
      <c r="Z594" s="145"/>
      <c r="AA594" s="145"/>
      <c r="AB594" s="145"/>
      <c r="AC594" s="145"/>
      <c r="AD594" s="145"/>
      <c r="AE594" s="145"/>
      <c r="AF594" s="145"/>
      <c r="AG594" s="145"/>
      <c r="AH594" s="145"/>
      <c r="AI594" s="145"/>
      <c r="AJ594" s="145"/>
      <c r="AK594" s="145"/>
      <c r="AL594" s="145"/>
      <c r="AM594" s="145"/>
      <c r="AN594" s="145"/>
      <c r="AO594" s="145"/>
      <c r="AP594" s="145"/>
      <c r="AQ594" s="145"/>
      <c r="AR594" s="145"/>
      <c r="AS594" s="145"/>
      <c r="AT594" s="124"/>
      <c r="AU594" s="124"/>
      <c r="AV594" s="124"/>
      <c r="AW594" s="124"/>
      <c r="AX594" s="124"/>
      <c r="AY594" s="124"/>
      <c r="AZ594" s="124"/>
      <c r="BA594" s="124"/>
      <c r="BB594" s="88"/>
      <c r="BC594" s="88"/>
      <c r="BD594" s="88"/>
      <c r="BE594" s="88"/>
      <c r="BF594" s="88"/>
      <c r="BG594" s="88"/>
      <c r="BH594" s="88"/>
      <c r="BI594" s="88"/>
      <c r="BJ594" s="88"/>
      <c r="BK594" s="88"/>
      <c r="BL594" s="88"/>
      <c r="BM594" s="88"/>
      <c r="BN594" s="88"/>
      <c r="BO594" s="88"/>
      <c r="BP594" s="88"/>
      <c r="BQ594" s="88"/>
      <c r="BR594" s="88"/>
      <c r="BS594" s="88"/>
    </row>
    <row r="595">
      <c r="J595" s="73"/>
      <c r="K595" s="74"/>
      <c r="L595" s="74"/>
      <c r="M595" s="74"/>
      <c r="N595" s="74"/>
      <c r="S595" s="75"/>
      <c r="T595" s="145"/>
      <c r="U595" s="145"/>
      <c r="V595" s="145"/>
      <c r="W595" s="145"/>
      <c r="X595" s="145"/>
      <c r="Y595" s="145"/>
      <c r="Z595" s="145"/>
      <c r="AA595" s="145"/>
      <c r="AB595" s="145"/>
      <c r="AC595" s="145"/>
      <c r="AD595" s="145"/>
      <c r="AE595" s="145"/>
      <c r="AF595" s="145"/>
      <c r="AG595" s="145"/>
      <c r="AH595" s="145"/>
      <c r="AI595" s="145"/>
      <c r="AJ595" s="145"/>
      <c r="AK595" s="145"/>
      <c r="AL595" s="145"/>
      <c r="AM595" s="145"/>
      <c r="AN595" s="145"/>
      <c r="AO595" s="145"/>
      <c r="AP595" s="145"/>
      <c r="AQ595" s="145"/>
      <c r="AR595" s="145"/>
      <c r="AS595" s="145"/>
      <c r="AT595" s="124"/>
      <c r="AU595" s="124"/>
      <c r="AV595" s="124"/>
      <c r="AW595" s="124"/>
      <c r="AX595" s="124"/>
      <c r="AY595" s="124"/>
      <c r="AZ595" s="124"/>
      <c r="BA595" s="124"/>
      <c r="BB595" s="88"/>
      <c r="BC595" s="88"/>
      <c r="BD595" s="88"/>
      <c r="BE595" s="88"/>
      <c r="BF595" s="88"/>
      <c r="BG595" s="88"/>
      <c r="BH595" s="88"/>
      <c r="BI595" s="88"/>
      <c r="BJ595" s="88"/>
      <c r="BK595" s="88"/>
      <c r="BL595" s="88"/>
      <c r="BM595" s="88"/>
      <c r="BN595" s="88"/>
      <c r="BO595" s="88"/>
      <c r="BP595" s="88"/>
      <c r="BQ595" s="88"/>
      <c r="BR595" s="88"/>
      <c r="BS595" s="88"/>
    </row>
    <row r="596">
      <c r="J596" s="73"/>
      <c r="K596" s="74"/>
      <c r="L596" s="74"/>
      <c r="M596" s="74"/>
      <c r="N596" s="74"/>
      <c r="S596" s="75"/>
      <c r="T596" s="145"/>
      <c r="U596" s="145"/>
      <c r="V596" s="145"/>
      <c r="W596" s="145"/>
      <c r="X596" s="145"/>
      <c r="Y596" s="145"/>
      <c r="Z596" s="145"/>
      <c r="AA596" s="145"/>
      <c r="AB596" s="145"/>
      <c r="AC596" s="145"/>
      <c r="AD596" s="145"/>
      <c r="AE596" s="145"/>
      <c r="AF596" s="145"/>
      <c r="AG596" s="145"/>
      <c r="AH596" s="145"/>
      <c r="AI596" s="145"/>
      <c r="AJ596" s="145"/>
      <c r="AK596" s="145"/>
      <c r="AL596" s="145"/>
      <c r="AM596" s="145"/>
      <c r="AN596" s="145"/>
      <c r="AO596" s="145"/>
      <c r="AP596" s="145"/>
      <c r="AQ596" s="145"/>
      <c r="AR596" s="145"/>
      <c r="AS596" s="145"/>
      <c r="AT596" s="124"/>
      <c r="AU596" s="124"/>
      <c r="AV596" s="124"/>
      <c r="AW596" s="124"/>
      <c r="AX596" s="124"/>
      <c r="AY596" s="124"/>
      <c r="AZ596" s="124"/>
      <c r="BA596" s="124"/>
      <c r="BB596" s="88"/>
      <c r="BC596" s="88"/>
      <c r="BD596" s="88"/>
      <c r="BE596" s="88"/>
      <c r="BF596" s="88"/>
      <c r="BG596" s="88"/>
      <c r="BH596" s="88"/>
      <c r="BI596" s="88"/>
      <c r="BJ596" s="88"/>
      <c r="BK596" s="88"/>
      <c r="BL596" s="88"/>
      <c r="BM596" s="88"/>
      <c r="BN596" s="88"/>
      <c r="BO596" s="88"/>
      <c r="BP596" s="88"/>
      <c r="BQ596" s="88"/>
      <c r="BR596" s="88"/>
      <c r="BS596" s="88"/>
    </row>
    <row r="597">
      <c r="J597" s="73"/>
      <c r="K597" s="74"/>
      <c r="L597" s="74"/>
      <c r="M597" s="74"/>
      <c r="N597" s="74"/>
      <c r="S597" s="75"/>
      <c r="T597" s="145"/>
      <c r="U597" s="145"/>
      <c r="V597" s="145"/>
      <c r="W597" s="145"/>
      <c r="X597" s="145"/>
      <c r="Y597" s="145"/>
      <c r="Z597" s="145"/>
      <c r="AA597" s="145"/>
      <c r="AB597" s="145"/>
      <c r="AC597" s="145"/>
      <c r="AD597" s="145"/>
      <c r="AE597" s="145"/>
      <c r="AF597" s="145"/>
      <c r="AG597" s="145"/>
      <c r="AH597" s="145"/>
      <c r="AI597" s="145"/>
      <c r="AJ597" s="145"/>
      <c r="AK597" s="145"/>
      <c r="AL597" s="145"/>
      <c r="AM597" s="145"/>
      <c r="AN597" s="145"/>
      <c r="AO597" s="145"/>
      <c r="AP597" s="145"/>
      <c r="AQ597" s="145"/>
      <c r="AR597" s="145"/>
      <c r="AS597" s="145"/>
      <c r="AT597" s="124"/>
      <c r="AU597" s="124"/>
      <c r="AV597" s="124"/>
      <c r="AW597" s="124"/>
      <c r="AX597" s="124"/>
      <c r="AY597" s="124"/>
      <c r="AZ597" s="124"/>
      <c r="BA597" s="124"/>
      <c r="BB597" s="88"/>
      <c r="BC597" s="88"/>
      <c r="BD597" s="88"/>
      <c r="BE597" s="88"/>
      <c r="BF597" s="88"/>
      <c r="BG597" s="88"/>
      <c r="BH597" s="88"/>
      <c r="BI597" s="88"/>
      <c r="BJ597" s="88"/>
      <c r="BK597" s="88"/>
      <c r="BL597" s="88"/>
      <c r="BM597" s="88"/>
      <c r="BN597" s="88"/>
      <c r="BO597" s="88"/>
      <c r="BP597" s="88"/>
      <c r="BQ597" s="88"/>
      <c r="BR597" s="88"/>
      <c r="BS597" s="88"/>
    </row>
    <row r="598">
      <c r="J598" s="73"/>
      <c r="K598" s="74"/>
      <c r="L598" s="74"/>
      <c r="M598" s="74"/>
      <c r="N598" s="74"/>
      <c r="S598" s="75"/>
      <c r="T598" s="145"/>
      <c r="U598" s="145"/>
      <c r="V598" s="145"/>
      <c r="W598" s="145"/>
      <c r="X598" s="145"/>
      <c r="Y598" s="145"/>
      <c r="Z598" s="145"/>
      <c r="AA598" s="145"/>
      <c r="AB598" s="145"/>
      <c r="AC598" s="145"/>
      <c r="AD598" s="145"/>
      <c r="AE598" s="145"/>
      <c r="AF598" s="145"/>
      <c r="AG598" s="145"/>
      <c r="AH598" s="145"/>
      <c r="AI598" s="145"/>
      <c r="AJ598" s="145"/>
      <c r="AK598" s="145"/>
      <c r="AL598" s="145"/>
      <c r="AM598" s="145"/>
      <c r="AN598" s="145"/>
      <c r="AO598" s="145"/>
      <c r="AP598" s="145"/>
      <c r="AQ598" s="145"/>
      <c r="AR598" s="145"/>
      <c r="AS598" s="145"/>
      <c r="AT598" s="124"/>
      <c r="AU598" s="124"/>
      <c r="AV598" s="124"/>
      <c r="AW598" s="124"/>
      <c r="AX598" s="124"/>
      <c r="AY598" s="124"/>
      <c r="AZ598" s="124"/>
      <c r="BA598" s="124"/>
      <c r="BB598" s="88"/>
      <c r="BC598" s="88"/>
      <c r="BD598" s="88"/>
      <c r="BE598" s="88"/>
      <c r="BF598" s="88"/>
      <c r="BG598" s="88"/>
      <c r="BH598" s="88"/>
      <c r="BI598" s="88"/>
      <c r="BJ598" s="88"/>
      <c r="BK598" s="88"/>
      <c r="BL598" s="88"/>
      <c r="BM598" s="88"/>
      <c r="BN598" s="88"/>
      <c r="BO598" s="88"/>
      <c r="BP598" s="88"/>
      <c r="BQ598" s="88"/>
      <c r="BR598" s="88"/>
      <c r="BS598" s="88"/>
    </row>
    <row r="599">
      <c r="J599" s="73"/>
      <c r="K599" s="74"/>
      <c r="L599" s="74"/>
      <c r="M599" s="74"/>
      <c r="N599" s="74"/>
      <c r="S599" s="75"/>
      <c r="T599" s="145"/>
      <c r="U599" s="145"/>
      <c r="V599" s="145"/>
      <c r="W599" s="145"/>
      <c r="X599" s="145"/>
      <c r="Y599" s="145"/>
      <c r="Z599" s="145"/>
      <c r="AA599" s="145"/>
      <c r="AB599" s="145"/>
      <c r="AC599" s="145"/>
      <c r="AD599" s="145"/>
      <c r="AE599" s="145"/>
      <c r="AF599" s="145"/>
      <c r="AG599" s="145"/>
      <c r="AH599" s="145"/>
      <c r="AI599" s="145"/>
      <c r="AJ599" s="145"/>
      <c r="AK599" s="145"/>
      <c r="AL599" s="145"/>
      <c r="AM599" s="145"/>
      <c r="AN599" s="145"/>
      <c r="AO599" s="145"/>
      <c r="AP599" s="145"/>
      <c r="AQ599" s="145"/>
      <c r="AR599" s="145"/>
      <c r="AS599" s="145"/>
      <c r="AT599" s="124"/>
      <c r="AU599" s="124"/>
      <c r="AV599" s="124"/>
      <c r="AW599" s="124"/>
      <c r="AX599" s="124"/>
      <c r="AY599" s="124"/>
      <c r="AZ599" s="124"/>
      <c r="BA599" s="124"/>
      <c r="BB599" s="88"/>
      <c r="BC599" s="88"/>
      <c r="BD599" s="88"/>
      <c r="BE599" s="88"/>
      <c r="BF599" s="88"/>
      <c r="BG599" s="88"/>
      <c r="BH599" s="88"/>
      <c r="BI599" s="88"/>
      <c r="BJ599" s="88"/>
      <c r="BK599" s="88"/>
      <c r="BL599" s="88"/>
      <c r="BM599" s="88"/>
      <c r="BN599" s="88"/>
      <c r="BO599" s="88"/>
      <c r="BP599" s="88"/>
      <c r="BQ599" s="88"/>
      <c r="BR599" s="88"/>
      <c r="BS599" s="88"/>
    </row>
    <row r="600">
      <c r="J600" s="73"/>
      <c r="K600" s="74"/>
      <c r="L600" s="74"/>
      <c r="M600" s="74"/>
      <c r="N600" s="74"/>
      <c r="S600" s="75"/>
      <c r="T600" s="145"/>
      <c r="U600" s="145"/>
      <c r="V600" s="145"/>
      <c r="W600" s="145"/>
      <c r="X600" s="145"/>
      <c r="Y600" s="145"/>
      <c r="Z600" s="145"/>
      <c r="AA600" s="145"/>
      <c r="AB600" s="145"/>
      <c r="AC600" s="145"/>
      <c r="AD600" s="145"/>
      <c r="AE600" s="145"/>
      <c r="AF600" s="145"/>
      <c r="AG600" s="145"/>
      <c r="AH600" s="145"/>
      <c r="AI600" s="145"/>
      <c r="AJ600" s="145"/>
      <c r="AK600" s="145"/>
      <c r="AL600" s="145"/>
      <c r="AM600" s="145"/>
      <c r="AN600" s="145"/>
      <c r="AO600" s="145"/>
      <c r="AP600" s="145"/>
      <c r="AQ600" s="145"/>
      <c r="AR600" s="145"/>
      <c r="AS600" s="145"/>
      <c r="AT600" s="124"/>
      <c r="AU600" s="124"/>
      <c r="AV600" s="124"/>
      <c r="AW600" s="124"/>
      <c r="AX600" s="124"/>
      <c r="AY600" s="124"/>
      <c r="AZ600" s="124"/>
      <c r="BA600" s="124"/>
      <c r="BB600" s="88"/>
      <c r="BC600" s="88"/>
      <c r="BD600" s="88"/>
      <c r="BE600" s="88"/>
      <c r="BF600" s="88"/>
      <c r="BG600" s="88"/>
      <c r="BH600" s="88"/>
      <c r="BI600" s="88"/>
      <c r="BJ600" s="88"/>
      <c r="BK600" s="88"/>
      <c r="BL600" s="88"/>
      <c r="BM600" s="88"/>
      <c r="BN600" s="88"/>
      <c r="BO600" s="88"/>
      <c r="BP600" s="88"/>
      <c r="BQ600" s="88"/>
      <c r="BR600" s="88"/>
      <c r="BS600" s="88"/>
    </row>
    <row r="601">
      <c r="J601" s="73"/>
      <c r="K601" s="74"/>
      <c r="L601" s="74"/>
      <c r="M601" s="74"/>
      <c r="N601" s="74"/>
      <c r="S601" s="75"/>
      <c r="T601" s="145"/>
      <c r="U601" s="145"/>
      <c r="V601" s="145"/>
      <c r="W601" s="145"/>
      <c r="X601" s="145"/>
      <c r="Y601" s="145"/>
      <c r="Z601" s="145"/>
      <c r="AA601" s="145"/>
      <c r="AB601" s="145"/>
      <c r="AC601" s="145"/>
      <c r="AD601" s="145"/>
      <c r="AE601" s="145"/>
      <c r="AF601" s="145"/>
      <c r="AG601" s="145"/>
      <c r="AH601" s="145"/>
      <c r="AI601" s="145"/>
      <c r="AJ601" s="145"/>
      <c r="AK601" s="145"/>
      <c r="AL601" s="145"/>
      <c r="AM601" s="145"/>
      <c r="AN601" s="145"/>
      <c r="AO601" s="145"/>
      <c r="AP601" s="145"/>
      <c r="AQ601" s="145"/>
      <c r="AR601" s="145"/>
      <c r="AS601" s="145"/>
      <c r="AT601" s="124"/>
      <c r="AU601" s="124"/>
      <c r="AV601" s="124"/>
      <c r="AW601" s="124"/>
      <c r="AX601" s="124"/>
      <c r="AY601" s="124"/>
      <c r="AZ601" s="124"/>
      <c r="BA601" s="124"/>
      <c r="BB601" s="88"/>
      <c r="BC601" s="88"/>
      <c r="BD601" s="88"/>
      <c r="BE601" s="88"/>
      <c r="BF601" s="88"/>
      <c r="BG601" s="88"/>
      <c r="BH601" s="88"/>
      <c r="BI601" s="88"/>
      <c r="BJ601" s="88"/>
      <c r="BK601" s="88"/>
      <c r="BL601" s="88"/>
      <c r="BM601" s="88"/>
      <c r="BN601" s="88"/>
      <c r="BO601" s="88"/>
      <c r="BP601" s="88"/>
      <c r="BQ601" s="88"/>
      <c r="BR601" s="88"/>
      <c r="BS601" s="88"/>
    </row>
    <row r="602">
      <c r="J602" s="73"/>
      <c r="K602" s="74"/>
      <c r="L602" s="74"/>
      <c r="M602" s="74"/>
      <c r="N602" s="74"/>
      <c r="S602" s="75"/>
      <c r="T602" s="145"/>
      <c r="U602" s="145"/>
      <c r="V602" s="145"/>
      <c r="W602" s="145"/>
      <c r="X602" s="145"/>
      <c r="Y602" s="145"/>
      <c r="Z602" s="145"/>
      <c r="AA602" s="145"/>
      <c r="AB602" s="145"/>
      <c r="AC602" s="145"/>
      <c r="AD602" s="145"/>
      <c r="AE602" s="145"/>
      <c r="AF602" s="145"/>
      <c r="AG602" s="145"/>
      <c r="AH602" s="145"/>
      <c r="AI602" s="145"/>
      <c r="AJ602" s="145"/>
      <c r="AK602" s="145"/>
      <c r="AL602" s="145"/>
      <c r="AM602" s="145"/>
      <c r="AN602" s="145"/>
      <c r="AO602" s="145"/>
      <c r="AP602" s="145"/>
      <c r="AQ602" s="145"/>
      <c r="AR602" s="145"/>
      <c r="AS602" s="145"/>
      <c r="AT602" s="124"/>
      <c r="AU602" s="124"/>
      <c r="AV602" s="124"/>
      <c r="AW602" s="124"/>
      <c r="AX602" s="124"/>
      <c r="AY602" s="124"/>
      <c r="AZ602" s="124"/>
      <c r="BA602" s="124"/>
      <c r="BB602" s="88"/>
      <c r="BC602" s="88"/>
      <c r="BD602" s="88"/>
      <c r="BE602" s="88"/>
      <c r="BF602" s="88"/>
      <c r="BG602" s="88"/>
      <c r="BH602" s="88"/>
      <c r="BI602" s="88"/>
      <c r="BJ602" s="88"/>
      <c r="BK602" s="88"/>
      <c r="BL602" s="88"/>
      <c r="BM602" s="88"/>
      <c r="BN602" s="88"/>
      <c r="BO602" s="88"/>
      <c r="BP602" s="88"/>
      <c r="BQ602" s="88"/>
      <c r="BR602" s="88"/>
      <c r="BS602" s="88"/>
    </row>
    <row r="603">
      <c r="J603" s="73"/>
      <c r="K603" s="74"/>
      <c r="L603" s="74"/>
      <c r="M603" s="74"/>
      <c r="N603" s="74"/>
      <c r="S603" s="75"/>
      <c r="T603" s="145"/>
      <c r="U603" s="145"/>
      <c r="V603" s="145"/>
      <c r="W603" s="145"/>
      <c r="X603" s="145"/>
      <c r="Y603" s="145"/>
      <c r="Z603" s="145"/>
      <c r="AA603" s="145"/>
      <c r="AB603" s="145"/>
      <c r="AC603" s="145"/>
      <c r="AD603" s="145"/>
      <c r="AE603" s="145"/>
      <c r="AF603" s="145"/>
      <c r="AG603" s="145"/>
      <c r="AH603" s="145"/>
      <c r="AI603" s="145"/>
      <c r="AJ603" s="145"/>
      <c r="AK603" s="145"/>
      <c r="AL603" s="145"/>
      <c r="AM603" s="145"/>
      <c r="AN603" s="145"/>
      <c r="AO603" s="145"/>
      <c r="AP603" s="145"/>
      <c r="AQ603" s="145"/>
      <c r="AR603" s="145"/>
      <c r="AS603" s="145"/>
      <c r="AT603" s="124"/>
      <c r="AU603" s="124"/>
      <c r="AV603" s="124"/>
      <c r="AW603" s="124"/>
      <c r="AX603" s="124"/>
      <c r="AY603" s="124"/>
      <c r="AZ603" s="124"/>
      <c r="BA603" s="124"/>
      <c r="BB603" s="88"/>
      <c r="BC603" s="88"/>
      <c r="BD603" s="88"/>
      <c r="BE603" s="88"/>
      <c r="BF603" s="88"/>
      <c r="BG603" s="88"/>
      <c r="BH603" s="88"/>
      <c r="BI603" s="88"/>
      <c r="BJ603" s="88"/>
      <c r="BK603" s="88"/>
      <c r="BL603" s="88"/>
      <c r="BM603" s="88"/>
      <c r="BN603" s="88"/>
      <c r="BO603" s="88"/>
      <c r="BP603" s="88"/>
      <c r="BQ603" s="88"/>
      <c r="BR603" s="88"/>
      <c r="BS603" s="88"/>
    </row>
    <row r="604">
      <c r="J604" s="73"/>
      <c r="K604" s="74"/>
      <c r="L604" s="74"/>
      <c r="M604" s="74"/>
      <c r="N604" s="74"/>
      <c r="S604" s="75"/>
      <c r="T604" s="145"/>
      <c r="U604" s="145"/>
      <c r="V604" s="145"/>
      <c r="W604" s="145"/>
      <c r="X604" s="145"/>
      <c r="Y604" s="145"/>
      <c r="Z604" s="145"/>
      <c r="AA604" s="145"/>
      <c r="AB604" s="145"/>
      <c r="AC604" s="145"/>
      <c r="AD604" s="145"/>
      <c r="AE604" s="145"/>
      <c r="AF604" s="145"/>
      <c r="AG604" s="145"/>
      <c r="AH604" s="145"/>
      <c r="AI604" s="145"/>
      <c r="AJ604" s="145"/>
      <c r="AK604" s="145"/>
      <c r="AL604" s="145"/>
      <c r="AM604" s="145"/>
      <c r="AN604" s="145"/>
      <c r="AO604" s="145"/>
      <c r="AP604" s="145"/>
      <c r="AQ604" s="145"/>
      <c r="AR604" s="145"/>
      <c r="AS604" s="145"/>
      <c r="AT604" s="124"/>
      <c r="AU604" s="124"/>
      <c r="AV604" s="124"/>
      <c r="AW604" s="124"/>
      <c r="AX604" s="124"/>
      <c r="AY604" s="124"/>
      <c r="AZ604" s="124"/>
      <c r="BA604" s="124"/>
      <c r="BB604" s="88"/>
      <c r="BC604" s="88"/>
      <c r="BD604" s="88"/>
      <c r="BE604" s="88"/>
      <c r="BF604" s="88"/>
      <c r="BG604" s="88"/>
      <c r="BH604" s="88"/>
      <c r="BI604" s="88"/>
      <c r="BJ604" s="88"/>
      <c r="BK604" s="88"/>
      <c r="BL604" s="88"/>
      <c r="BM604" s="88"/>
      <c r="BN604" s="88"/>
      <c r="BO604" s="88"/>
      <c r="BP604" s="88"/>
      <c r="BQ604" s="88"/>
      <c r="BR604" s="88"/>
      <c r="BS604" s="88"/>
    </row>
    <row r="605">
      <c r="J605" s="73"/>
      <c r="K605" s="74"/>
      <c r="L605" s="74"/>
      <c r="M605" s="74"/>
      <c r="N605" s="74"/>
      <c r="S605" s="75"/>
      <c r="T605" s="145"/>
      <c r="U605" s="145"/>
      <c r="V605" s="145"/>
      <c r="W605" s="145"/>
      <c r="X605" s="145"/>
      <c r="Y605" s="145"/>
      <c r="Z605" s="145"/>
      <c r="AA605" s="145"/>
      <c r="AB605" s="145"/>
      <c r="AC605" s="145"/>
      <c r="AD605" s="145"/>
      <c r="AE605" s="145"/>
      <c r="AF605" s="145"/>
      <c r="AG605" s="145"/>
      <c r="AH605" s="145"/>
      <c r="AI605" s="145"/>
      <c r="AJ605" s="145"/>
      <c r="AK605" s="145"/>
      <c r="AL605" s="145"/>
      <c r="AM605" s="145"/>
      <c r="AN605" s="145"/>
      <c r="AO605" s="145"/>
      <c r="AP605" s="145"/>
      <c r="AQ605" s="145"/>
      <c r="AR605" s="145"/>
      <c r="AS605" s="145"/>
      <c r="AT605" s="124"/>
      <c r="AU605" s="124"/>
      <c r="AV605" s="124"/>
      <c r="AW605" s="124"/>
      <c r="AX605" s="124"/>
      <c r="AY605" s="124"/>
      <c r="AZ605" s="124"/>
      <c r="BA605" s="124"/>
      <c r="BB605" s="88"/>
      <c r="BC605" s="88"/>
      <c r="BD605" s="88"/>
      <c r="BE605" s="88"/>
      <c r="BF605" s="88"/>
      <c r="BG605" s="88"/>
      <c r="BH605" s="88"/>
      <c r="BI605" s="88"/>
      <c r="BJ605" s="88"/>
      <c r="BK605" s="88"/>
      <c r="BL605" s="88"/>
      <c r="BM605" s="88"/>
      <c r="BN605" s="88"/>
      <c r="BO605" s="88"/>
      <c r="BP605" s="88"/>
      <c r="BQ605" s="88"/>
      <c r="BR605" s="88"/>
      <c r="BS605" s="88"/>
    </row>
    <row r="606">
      <c r="J606" s="73"/>
      <c r="K606" s="74"/>
      <c r="L606" s="74"/>
      <c r="M606" s="74"/>
      <c r="N606" s="74"/>
      <c r="S606" s="75"/>
      <c r="T606" s="145"/>
      <c r="U606" s="145"/>
      <c r="V606" s="145"/>
      <c r="W606" s="145"/>
      <c r="X606" s="145"/>
      <c r="Y606" s="145"/>
      <c r="Z606" s="145"/>
      <c r="AA606" s="145"/>
      <c r="AB606" s="145"/>
      <c r="AC606" s="145"/>
      <c r="AD606" s="145"/>
      <c r="AE606" s="145"/>
      <c r="AF606" s="145"/>
      <c r="AG606" s="145"/>
      <c r="AH606" s="145"/>
      <c r="AI606" s="145"/>
      <c r="AJ606" s="145"/>
      <c r="AK606" s="145"/>
      <c r="AL606" s="145"/>
      <c r="AM606" s="145"/>
      <c r="AN606" s="145"/>
      <c r="AO606" s="145"/>
      <c r="AP606" s="145"/>
      <c r="AQ606" s="145"/>
      <c r="AR606" s="145"/>
      <c r="AS606" s="145"/>
      <c r="AT606" s="124"/>
      <c r="AU606" s="124"/>
      <c r="AV606" s="124"/>
      <c r="AW606" s="124"/>
      <c r="AX606" s="124"/>
      <c r="AY606" s="124"/>
      <c r="AZ606" s="124"/>
      <c r="BA606" s="124"/>
      <c r="BB606" s="88"/>
      <c r="BC606" s="88"/>
      <c r="BD606" s="88"/>
      <c r="BE606" s="88"/>
      <c r="BF606" s="88"/>
      <c r="BG606" s="88"/>
      <c r="BH606" s="88"/>
      <c r="BI606" s="88"/>
      <c r="BJ606" s="88"/>
      <c r="BK606" s="88"/>
      <c r="BL606" s="88"/>
      <c r="BM606" s="88"/>
      <c r="BN606" s="88"/>
      <c r="BO606" s="88"/>
      <c r="BP606" s="88"/>
      <c r="BQ606" s="88"/>
      <c r="BR606" s="88"/>
      <c r="BS606" s="88"/>
    </row>
    <row r="607">
      <c r="J607" s="73"/>
      <c r="K607" s="74"/>
      <c r="L607" s="74"/>
      <c r="M607" s="74"/>
      <c r="N607" s="74"/>
      <c r="S607" s="75"/>
      <c r="T607" s="145"/>
      <c r="U607" s="145"/>
      <c r="V607" s="145"/>
      <c r="W607" s="145"/>
      <c r="X607" s="145"/>
      <c r="Y607" s="145"/>
      <c r="Z607" s="145"/>
      <c r="AA607" s="145"/>
      <c r="AB607" s="145"/>
      <c r="AC607" s="145"/>
      <c r="AD607" s="145"/>
      <c r="AE607" s="145"/>
      <c r="AF607" s="145"/>
      <c r="AG607" s="145"/>
      <c r="AH607" s="145"/>
      <c r="AI607" s="145"/>
      <c r="AJ607" s="145"/>
      <c r="AK607" s="145"/>
      <c r="AL607" s="145"/>
      <c r="AM607" s="145"/>
      <c r="AN607" s="145"/>
      <c r="AO607" s="145"/>
      <c r="AP607" s="145"/>
      <c r="AQ607" s="145"/>
      <c r="AR607" s="145"/>
      <c r="AS607" s="145"/>
      <c r="AT607" s="124"/>
      <c r="AU607" s="124"/>
      <c r="AV607" s="124"/>
      <c r="AW607" s="124"/>
      <c r="AX607" s="124"/>
      <c r="AY607" s="124"/>
      <c r="AZ607" s="124"/>
      <c r="BA607" s="124"/>
      <c r="BB607" s="88"/>
      <c r="BC607" s="88"/>
      <c r="BD607" s="88"/>
      <c r="BE607" s="88"/>
      <c r="BF607" s="88"/>
      <c r="BG607" s="88"/>
      <c r="BH607" s="88"/>
      <c r="BI607" s="88"/>
      <c r="BJ607" s="88"/>
      <c r="BK607" s="88"/>
      <c r="BL607" s="88"/>
      <c r="BM607" s="88"/>
      <c r="BN607" s="88"/>
      <c r="BO607" s="88"/>
      <c r="BP607" s="88"/>
      <c r="BQ607" s="88"/>
      <c r="BR607" s="88"/>
      <c r="BS607" s="88"/>
    </row>
    <row r="608">
      <c r="J608" s="73"/>
      <c r="K608" s="74"/>
      <c r="L608" s="74"/>
      <c r="M608" s="74"/>
      <c r="N608" s="74"/>
      <c r="S608" s="75"/>
      <c r="T608" s="145"/>
      <c r="U608" s="145"/>
      <c r="V608" s="145"/>
      <c r="W608" s="145"/>
      <c r="X608" s="145"/>
      <c r="Y608" s="145"/>
      <c r="Z608" s="145"/>
      <c r="AA608" s="145"/>
      <c r="AB608" s="145"/>
      <c r="AC608" s="145"/>
      <c r="AD608" s="145"/>
      <c r="AE608" s="145"/>
      <c r="AF608" s="145"/>
      <c r="AG608" s="145"/>
      <c r="AH608" s="145"/>
      <c r="AI608" s="145"/>
      <c r="AJ608" s="145"/>
      <c r="AK608" s="145"/>
      <c r="AL608" s="145"/>
      <c r="AM608" s="145"/>
      <c r="AN608" s="145"/>
      <c r="AO608" s="145"/>
      <c r="AP608" s="145"/>
      <c r="AQ608" s="145"/>
      <c r="AR608" s="145"/>
      <c r="AS608" s="145"/>
      <c r="AT608" s="124"/>
      <c r="AU608" s="124"/>
      <c r="AV608" s="124"/>
      <c r="AW608" s="124"/>
      <c r="AX608" s="124"/>
      <c r="AY608" s="124"/>
      <c r="AZ608" s="124"/>
      <c r="BA608" s="124"/>
      <c r="BB608" s="88"/>
      <c r="BC608" s="88"/>
      <c r="BD608" s="88"/>
      <c r="BE608" s="88"/>
      <c r="BF608" s="88"/>
      <c r="BG608" s="88"/>
      <c r="BH608" s="88"/>
      <c r="BI608" s="88"/>
      <c r="BJ608" s="88"/>
      <c r="BK608" s="88"/>
      <c r="BL608" s="88"/>
      <c r="BM608" s="88"/>
      <c r="BN608" s="88"/>
      <c r="BO608" s="88"/>
      <c r="BP608" s="88"/>
      <c r="BQ608" s="88"/>
      <c r="BR608" s="88"/>
      <c r="BS608" s="88"/>
    </row>
    <row r="609">
      <c r="J609" s="73"/>
      <c r="K609" s="74"/>
      <c r="L609" s="74"/>
      <c r="M609" s="74"/>
      <c r="N609" s="74"/>
      <c r="S609" s="75"/>
      <c r="T609" s="145"/>
      <c r="U609" s="145"/>
      <c r="V609" s="145"/>
      <c r="W609" s="145"/>
      <c r="X609" s="145"/>
      <c r="Y609" s="145"/>
      <c r="Z609" s="145"/>
      <c r="AA609" s="145"/>
      <c r="AB609" s="145"/>
      <c r="AC609" s="145"/>
      <c r="AD609" s="145"/>
      <c r="AE609" s="145"/>
      <c r="AF609" s="145"/>
      <c r="AG609" s="145"/>
      <c r="AH609" s="145"/>
      <c r="AI609" s="145"/>
      <c r="AJ609" s="145"/>
      <c r="AK609" s="145"/>
      <c r="AL609" s="145"/>
      <c r="AM609" s="145"/>
      <c r="AN609" s="145"/>
      <c r="AO609" s="145"/>
      <c r="AP609" s="145"/>
      <c r="AQ609" s="145"/>
      <c r="AR609" s="145"/>
      <c r="AS609" s="145"/>
      <c r="AT609" s="124"/>
      <c r="AU609" s="124"/>
      <c r="AV609" s="124"/>
      <c r="AW609" s="124"/>
      <c r="AX609" s="124"/>
      <c r="AY609" s="124"/>
      <c r="AZ609" s="124"/>
      <c r="BA609" s="124"/>
      <c r="BB609" s="88"/>
      <c r="BC609" s="88"/>
      <c r="BD609" s="88"/>
      <c r="BE609" s="88"/>
      <c r="BF609" s="88"/>
      <c r="BG609" s="88"/>
      <c r="BH609" s="88"/>
      <c r="BI609" s="88"/>
      <c r="BJ609" s="88"/>
      <c r="BK609" s="88"/>
      <c r="BL609" s="88"/>
      <c r="BM609" s="88"/>
      <c r="BN609" s="88"/>
      <c r="BO609" s="88"/>
      <c r="BP609" s="88"/>
      <c r="BQ609" s="88"/>
      <c r="BR609" s="88"/>
      <c r="BS609" s="88"/>
    </row>
    <row r="610">
      <c r="J610" s="73"/>
      <c r="K610" s="74"/>
      <c r="L610" s="74"/>
      <c r="M610" s="74"/>
      <c r="N610" s="74"/>
      <c r="S610" s="75"/>
      <c r="T610" s="145"/>
      <c r="U610" s="145"/>
      <c r="V610" s="145"/>
      <c r="W610" s="145"/>
      <c r="X610" s="145"/>
      <c r="Y610" s="145"/>
      <c r="Z610" s="145"/>
      <c r="AA610" s="145"/>
      <c r="AB610" s="145"/>
      <c r="AC610" s="145"/>
      <c r="AD610" s="145"/>
      <c r="AE610" s="145"/>
      <c r="AF610" s="145"/>
      <c r="AG610" s="145"/>
      <c r="AH610" s="145"/>
      <c r="AI610" s="145"/>
      <c r="AJ610" s="145"/>
      <c r="AK610" s="145"/>
      <c r="AL610" s="145"/>
      <c r="AM610" s="145"/>
      <c r="AN610" s="145"/>
      <c r="AO610" s="145"/>
      <c r="AP610" s="145"/>
      <c r="AQ610" s="145"/>
      <c r="AR610" s="145"/>
      <c r="AS610" s="145"/>
      <c r="AT610" s="124"/>
      <c r="AU610" s="124"/>
      <c r="AV610" s="124"/>
      <c r="AW610" s="124"/>
      <c r="AX610" s="124"/>
      <c r="AY610" s="124"/>
      <c r="AZ610" s="124"/>
      <c r="BA610" s="124"/>
      <c r="BB610" s="88"/>
      <c r="BC610" s="88"/>
      <c r="BD610" s="88"/>
      <c r="BE610" s="88"/>
      <c r="BF610" s="88"/>
      <c r="BG610" s="88"/>
      <c r="BH610" s="88"/>
      <c r="BI610" s="88"/>
      <c r="BJ610" s="88"/>
      <c r="BK610" s="88"/>
      <c r="BL610" s="88"/>
      <c r="BM610" s="88"/>
      <c r="BN610" s="88"/>
      <c r="BO610" s="88"/>
      <c r="BP610" s="88"/>
      <c r="BQ610" s="88"/>
      <c r="BR610" s="88"/>
      <c r="BS610" s="88"/>
    </row>
    <row r="611">
      <c r="J611" s="73"/>
      <c r="K611" s="74"/>
      <c r="L611" s="74"/>
      <c r="M611" s="74"/>
      <c r="N611" s="74"/>
      <c r="S611" s="75"/>
      <c r="T611" s="145"/>
      <c r="U611" s="145"/>
      <c r="V611" s="145"/>
      <c r="W611" s="145"/>
      <c r="X611" s="145"/>
      <c r="Y611" s="145"/>
      <c r="Z611" s="145"/>
      <c r="AA611" s="145"/>
      <c r="AB611" s="145"/>
      <c r="AC611" s="145"/>
      <c r="AD611" s="145"/>
      <c r="AE611" s="145"/>
      <c r="AF611" s="145"/>
      <c r="AG611" s="145"/>
      <c r="AH611" s="145"/>
      <c r="AI611" s="145"/>
      <c r="AJ611" s="145"/>
      <c r="AK611" s="145"/>
      <c r="AL611" s="145"/>
      <c r="AM611" s="145"/>
      <c r="AN611" s="145"/>
      <c r="AO611" s="145"/>
      <c r="AP611" s="145"/>
      <c r="AQ611" s="145"/>
      <c r="AR611" s="145"/>
      <c r="AS611" s="145"/>
      <c r="AT611" s="124"/>
      <c r="AU611" s="124"/>
      <c r="AV611" s="124"/>
      <c r="AW611" s="124"/>
      <c r="AX611" s="124"/>
      <c r="AY611" s="124"/>
      <c r="AZ611" s="124"/>
      <c r="BA611" s="124"/>
      <c r="BB611" s="88"/>
      <c r="BC611" s="88"/>
      <c r="BD611" s="88"/>
      <c r="BE611" s="88"/>
      <c r="BF611" s="88"/>
      <c r="BG611" s="88"/>
      <c r="BH611" s="88"/>
      <c r="BI611" s="88"/>
      <c r="BJ611" s="88"/>
      <c r="BK611" s="88"/>
      <c r="BL611" s="88"/>
      <c r="BM611" s="88"/>
      <c r="BN611" s="88"/>
      <c r="BO611" s="88"/>
      <c r="BP611" s="88"/>
      <c r="BQ611" s="88"/>
      <c r="BR611" s="88"/>
      <c r="BS611" s="88"/>
    </row>
    <row r="612">
      <c r="J612" s="73"/>
      <c r="K612" s="74"/>
      <c r="L612" s="74"/>
      <c r="M612" s="74"/>
      <c r="N612" s="74"/>
      <c r="S612" s="75"/>
      <c r="T612" s="145"/>
      <c r="U612" s="145"/>
      <c r="V612" s="145"/>
      <c r="W612" s="145"/>
      <c r="X612" s="145"/>
      <c r="Y612" s="145"/>
      <c r="Z612" s="145"/>
      <c r="AA612" s="145"/>
      <c r="AB612" s="145"/>
      <c r="AC612" s="145"/>
      <c r="AD612" s="145"/>
      <c r="AE612" s="145"/>
      <c r="AF612" s="145"/>
      <c r="AG612" s="145"/>
      <c r="AH612" s="145"/>
      <c r="AI612" s="145"/>
      <c r="AJ612" s="145"/>
      <c r="AK612" s="145"/>
      <c r="AL612" s="145"/>
      <c r="AM612" s="145"/>
      <c r="AN612" s="145"/>
      <c r="AO612" s="145"/>
      <c r="AP612" s="145"/>
      <c r="AQ612" s="145"/>
      <c r="AR612" s="145"/>
      <c r="AS612" s="145"/>
      <c r="AT612" s="124"/>
      <c r="AU612" s="124"/>
      <c r="AV612" s="124"/>
      <c r="AW612" s="124"/>
      <c r="AX612" s="124"/>
      <c r="AY612" s="124"/>
      <c r="AZ612" s="124"/>
      <c r="BA612" s="124"/>
      <c r="BB612" s="88"/>
      <c r="BC612" s="88"/>
      <c r="BD612" s="88"/>
      <c r="BE612" s="88"/>
      <c r="BF612" s="88"/>
      <c r="BG612" s="88"/>
      <c r="BH612" s="88"/>
      <c r="BI612" s="88"/>
      <c r="BJ612" s="88"/>
      <c r="BK612" s="88"/>
      <c r="BL612" s="88"/>
      <c r="BM612" s="88"/>
      <c r="BN612" s="88"/>
      <c r="BO612" s="88"/>
      <c r="BP612" s="88"/>
      <c r="BQ612" s="88"/>
      <c r="BR612" s="88"/>
      <c r="BS612" s="88"/>
    </row>
    <row r="613">
      <c r="J613" s="73"/>
      <c r="K613" s="74"/>
      <c r="L613" s="74"/>
      <c r="M613" s="74"/>
      <c r="N613" s="74"/>
      <c r="S613" s="75"/>
      <c r="T613" s="145"/>
      <c r="U613" s="145"/>
      <c r="V613" s="145"/>
      <c r="W613" s="145"/>
      <c r="X613" s="145"/>
      <c r="Y613" s="145"/>
      <c r="Z613" s="145"/>
      <c r="AA613" s="145"/>
      <c r="AB613" s="145"/>
      <c r="AC613" s="145"/>
      <c r="AD613" s="145"/>
      <c r="AE613" s="145"/>
      <c r="AF613" s="145"/>
      <c r="AG613" s="145"/>
      <c r="AH613" s="145"/>
      <c r="AI613" s="145"/>
      <c r="AJ613" s="145"/>
      <c r="AK613" s="145"/>
      <c r="AL613" s="145"/>
      <c r="AM613" s="145"/>
      <c r="AN613" s="145"/>
      <c r="AO613" s="145"/>
      <c r="AP613" s="145"/>
      <c r="AQ613" s="145"/>
      <c r="AR613" s="145"/>
      <c r="AS613" s="145"/>
      <c r="AT613" s="124"/>
      <c r="AU613" s="124"/>
      <c r="AV613" s="124"/>
      <c r="AW613" s="124"/>
      <c r="AX613" s="124"/>
      <c r="AY613" s="124"/>
      <c r="AZ613" s="124"/>
      <c r="BA613" s="124"/>
      <c r="BB613" s="88"/>
      <c r="BC613" s="88"/>
      <c r="BD613" s="88"/>
      <c r="BE613" s="88"/>
      <c r="BF613" s="88"/>
      <c r="BG613" s="88"/>
      <c r="BH613" s="88"/>
      <c r="BI613" s="88"/>
      <c r="BJ613" s="88"/>
      <c r="BK613" s="88"/>
      <c r="BL613" s="88"/>
      <c r="BM613" s="88"/>
      <c r="BN613" s="88"/>
      <c r="BO613" s="88"/>
      <c r="BP613" s="88"/>
      <c r="BQ613" s="88"/>
      <c r="BR613" s="88"/>
      <c r="BS613" s="88"/>
    </row>
    <row r="614">
      <c r="J614" s="73"/>
      <c r="K614" s="74"/>
      <c r="L614" s="74"/>
      <c r="M614" s="74"/>
      <c r="N614" s="74"/>
      <c r="S614" s="75"/>
      <c r="T614" s="145"/>
      <c r="U614" s="145"/>
      <c r="V614" s="145"/>
      <c r="W614" s="145"/>
      <c r="X614" s="145"/>
      <c r="Y614" s="145"/>
      <c r="Z614" s="145"/>
      <c r="AA614" s="145"/>
      <c r="AB614" s="145"/>
      <c r="AC614" s="145"/>
      <c r="AD614" s="145"/>
      <c r="AE614" s="145"/>
      <c r="AF614" s="145"/>
      <c r="AG614" s="145"/>
      <c r="AH614" s="145"/>
      <c r="AI614" s="145"/>
      <c r="AJ614" s="145"/>
      <c r="AK614" s="145"/>
      <c r="AL614" s="145"/>
      <c r="AM614" s="145"/>
      <c r="AN614" s="145"/>
      <c r="AO614" s="145"/>
      <c r="AP614" s="145"/>
      <c r="AQ614" s="145"/>
      <c r="AR614" s="145"/>
      <c r="AS614" s="145"/>
      <c r="AT614" s="124"/>
      <c r="AU614" s="124"/>
      <c r="AV614" s="124"/>
      <c r="AW614" s="124"/>
      <c r="AX614" s="124"/>
      <c r="AY614" s="124"/>
      <c r="AZ614" s="124"/>
      <c r="BA614" s="124"/>
      <c r="BB614" s="88"/>
      <c r="BC614" s="88"/>
      <c r="BD614" s="88"/>
      <c r="BE614" s="88"/>
      <c r="BF614" s="88"/>
      <c r="BG614" s="88"/>
      <c r="BH614" s="88"/>
      <c r="BI614" s="88"/>
      <c r="BJ614" s="88"/>
      <c r="BK614" s="88"/>
      <c r="BL614" s="88"/>
      <c r="BM614" s="88"/>
      <c r="BN614" s="88"/>
      <c r="BO614" s="88"/>
      <c r="BP614" s="88"/>
      <c r="BQ614" s="88"/>
      <c r="BR614" s="88"/>
      <c r="BS614" s="88"/>
    </row>
    <row r="615">
      <c r="J615" s="73"/>
      <c r="K615" s="74"/>
      <c r="L615" s="74"/>
      <c r="M615" s="74"/>
      <c r="N615" s="74"/>
      <c r="S615" s="75"/>
      <c r="T615" s="145"/>
      <c r="U615" s="145"/>
      <c r="V615" s="145"/>
      <c r="W615" s="145"/>
      <c r="X615" s="145"/>
      <c r="Y615" s="145"/>
      <c r="Z615" s="145"/>
      <c r="AA615" s="145"/>
      <c r="AB615" s="145"/>
      <c r="AC615" s="145"/>
      <c r="AD615" s="145"/>
      <c r="AE615" s="145"/>
      <c r="AF615" s="145"/>
      <c r="AG615" s="145"/>
      <c r="AH615" s="145"/>
      <c r="AI615" s="145"/>
      <c r="AJ615" s="145"/>
      <c r="AK615" s="145"/>
      <c r="AL615" s="145"/>
      <c r="AM615" s="145"/>
      <c r="AN615" s="145"/>
      <c r="AO615" s="145"/>
      <c r="AP615" s="145"/>
      <c r="AQ615" s="145"/>
      <c r="AR615" s="145"/>
      <c r="AS615" s="145"/>
      <c r="AT615" s="124"/>
      <c r="AU615" s="124"/>
      <c r="AV615" s="124"/>
      <c r="AW615" s="124"/>
      <c r="AX615" s="124"/>
      <c r="AY615" s="124"/>
      <c r="AZ615" s="124"/>
      <c r="BA615" s="124"/>
      <c r="BB615" s="88"/>
      <c r="BC615" s="88"/>
      <c r="BD615" s="88"/>
      <c r="BE615" s="88"/>
      <c r="BF615" s="88"/>
      <c r="BG615" s="88"/>
      <c r="BH615" s="88"/>
      <c r="BI615" s="88"/>
      <c r="BJ615" s="88"/>
      <c r="BK615" s="88"/>
      <c r="BL615" s="88"/>
      <c r="BM615" s="88"/>
      <c r="BN615" s="88"/>
      <c r="BO615" s="88"/>
      <c r="BP615" s="88"/>
      <c r="BQ615" s="88"/>
      <c r="BR615" s="88"/>
      <c r="BS615" s="88"/>
    </row>
    <row r="616">
      <c r="J616" s="73"/>
      <c r="K616" s="74"/>
      <c r="L616" s="74"/>
      <c r="M616" s="74"/>
      <c r="N616" s="74"/>
      <c r="S616" s="75"/>
      <c r="T616" s="145"/>
      <c r="U616" s="145"/>
      <c r="V616" s="145"/>
      <c r="W616" s="145"/>
      <c r="X616" s="145"/>
      <c r="Y616" s="145"/>
      <c r="Z616" s="145"/>
      <c r="AA616" s="145"/>
      <c r="AB616" s="145"/>
      <c r="AC616" s="145"/>
      <c r="AD616" s="145"/>
      <c r="AE616" s="145"/>
      <c r="AF616" s="145"/>
      <c r="AG616" s="145"/>
      <c r="AH616" s="145"/>
      <c r="AI616" s="145"/>
      <c r="AJ616" s="145"/>
      <c r="AK616" s="145"/>
      <c r="AL616" s="145"/>
      <c r="AM616" s="145"/>
      <c r="AN616" s="145"/>
      <c r="AO616" s="145"/>
      <c r="AP616" s="145"/>
      <c r="AQ616" s="145"/>
      <c r="AR616" s="145"/>
      <c r="AS616" s="145"/>
      <c r="AT616" s="124"/>
      <c r="AU616" s="124"/>
      <c r="AV616" s="124"/>
      <c r="AW616" s="124"/>
      <c r="AX616" s="124"/>
      <c r="AY616" s="124"/>
      <c r="AZ616" s="124"/>
      <c r="BA616" s="124"/>
      <c r="BB616" s="88"/>
      <c r="BC616" s="88"/>
      <c r="BD616" s="88"/>
      <c r="BE616" s="88"/>
      <c r="BF616" s="88"/>
      <c r="BG616" s="88"/>
      <c r="BH616" s="88"/>
      <c r="BI616" s="88"/>
      <c r="BJ616" s="88"/>
      <c r="BK616" s="88"/>
      <c r="BL616" s="88"/>
      <c r="BM616" s="88"/>
      <c r="BN616" s="88"/>
      <c r="BO616" s="88"/>
      <c r="BP616" s="88"/>
      <c r="BQ616" s="88"/>
      <c r="BR616" s="88"/>
      <c r="BS616" s="88"/>
    </row>
    <row r="617">
      <c r="J617" s="73"/>
      <c r="K617" s="74"/>
      <c r="L617" s="74"/>
      <c r="M617" s="74"/>
      <c r="N617" s="74"/>
      <c r="S617" s="75"/>
      <c r="T617" s="145"/>
      <c r="U617" s="145"/>
      <c r="V617" s="145"/>
      <c r="W617" s="145"/>
      <c r="X617" s="145"/>
      <c r="Y617" s="145"/>
      <c r="Z617" s="145"/>
      <c r="AA617" s="145"/>
      <c r="AB617" s="145"/>
      <c r="AC617" s="145"/>
      <c r="AD617" s="145"/>
      <c r="AE617" s="145"/>
      <c r="AF617" s="145"/>
      <c r="AG617" s="145"/>
      <c r="AH617" s="145"/>
      <c r="AI617" s="145"/>
      <c r="AJ617" s="145"/>
      <c r="AK617" s="145"/>
      <c r="AL617" s="145"/>
      <c r="AM617" s="145"/>
      <c r="AN617" s="145"/>
      <c r="AO617" s="145"/>
      <c r="AP617" s="145"/>
      <c r="AQ617" s="145"/>
      <c r="AR617" s="145"/>
      <c r="AS617" s="145"/>
      <c r="AT617" s="124"/>
      <c r="AU617" s="124"/>
      <c r="AV617" s="124"/>
      <c r="AW617" s="124"/>
      <c r="AX617" s="124"/>
      <c r="AY617" s="124"/>
      <c r="AZ617" s="124"/>
      <c r="BA617" s="124"/>
      <c r="BB617" s="88"/>
      <c r="BC617" s="88"/>
      <c r="BD617" s="88"/>
      <c r="BE617" s="88"/>
      <c r="BF617" s="88"/>
      <c r="BG617" s="88"/>
      <c r="BH617" s="88"/>
      <c r="BI617" s="88"/>
      <c r="BJ617" s="88"/>
      <c r="BK617" s="88"/>
      <c r="BL617" s="88"/>
      <c r="BM617" s="88"/>
      <c r="BN617" s="88"/>
      <c r="BO617" s="88"/>
      <c r="BP617" s="88"/>
      <c r="BQ617" s="88"/>
      <c r="BR617" s="88"/>
      <c r="BS617" s="88"/>
    </row>
    <row r="618">
      <c r="J618" s="73"/>
      <c r="K618" s="74"/>
      <c r="L618" s="74"/>
      <c r="M618" s="74"/>
      <c r="N618" s="74"/>
      <c r="S618" s="75"/>
      <c r="T618" s="145"/>
      <c r="U618" s="145"/>
      <c r="V618" s="145"/>
      <c r="W618" s="145"/>
      <c r="X618" s="145"/>
      <c r="Y618" s="145"/>
      <c r="Z618" s="145"/>
      <c r="AA618" s="145"/>
      <c r="AB618" s="145"/>
      <c r="AC618" s="145"/>
      <c r="AD618" s="145"/>
      <c r="AE618" s="145"/>
      <c r="AF618" s="145"/>
      <c r="AG618" s="145"/>
      <c r="AH618" s="145"/>
      <c r="AI618" s="145"/>
      <c r="AJ618" s="145"/>
      <c r="AK618" s="145"/>
      <c r="AL618" s="145"/>
      <c r="AM618" s="145"/>
      <c r="AN618" s="145"/>
      <c r="AO618" s="145"/>
      <c r="AP618" s="145"/>
      <c r="AQ618" s="145"/>
      <c r="AR618" s="145"/>
      <c r="AS618" s="145"/>
      <c r="AT618" s="124"/>
      <c r="AU618" s="124"/>
      <c r="AV618" s="124"/>
      <c r="AW618" s="124"/>
      <c r="AX618" s="124"/>
      <c r="AY618" s="124"/>
      <c r="AZ618" s="124"/>
      <c r="BA618" s="124"/>
      <c r="BB618" s="88"/>
      <c r="BC618" s="88"/>
      <c r="BD618" s="88"/>
      <c r="BE618" s="88"/>
      <c r="BF618" s="88"/>
      <c r="BG618" s="88"/>
      <c r="BH618" s="88"/>
      <c r="BI618" s="88"/>
      <c r="BJ618" s="88"/>
      <c r="BK618" s="88"/>
      <c r="BL618" s="88"/>
      <c r="BM618" s="88"/>
      <c r="BN618" s="88"/>
      <c r="BO618" s="88"/>
      <c r="BP618" s="88"/>
      <c r="BQ618" s="88"/>
      <c r="BR618" s="88"/>
      <c r="BS618" s="88"/>
    </row>
    <row r="619">
      <c r="J619" s="73"/>
      <c r="K619" s="74"/>
      <c r="L619" s="74"/>
      <c r="M619" s="74"/>
      <c r="N619" s="74"/>
      <c r="S619" s="75"/>
      <c r="T619" s="145"/>
      <c r="U619" s="145"/>
      <c r="V619" s="145"/>
      <c r="W619" s="145"/>
      <c r="X619" s="145"/>
      <c r="Y619" s="145"/>
      <c r="Z619" s="145"/>
      <c r="AA619" s="145"/>
      <c r="AB619" s="145"/>
      <c r="AC619" s="145"/>
      <c r="AD619" s="145"/>
      <c r="AE619" s="145"/>
      <c r="AF619" s="145"/>
      <c r="AG619" s="145"/>
      <c r="AH619" s="145"/>
      <c r="AI619" s="145"/>
      <c r="AJ619" s="145"/>
      <c r="AK619" s="145"/>
      <c r="AL619" s="145"/>
      <c r="AM619" s="145"/>
      <c r="AN619" s="145"/>
      <c r="AO619" s="145"/>
      <c r="AP619" s="145"/>
      <c r="AQ619" s="145"/>
      <c r="AR619" s="145"/>
      <c r="AS619" s="145"/>
      <c r="AT619" s="124"/>
      <c r="AU619" s="124"/>
      <c r="AV619" s="124"/>
      <c r="AW619" s="124"/>
      <c r="AX619" s="124"/>
      <c r="AY619" s="124"/>
      <c r="AZ619" s="124"/>
      <c r="BA619" s="124"/>
      <c r="BB619" s="88"/>
      <c r="BC619" s="88"/>
      <c r="BD619" s="88"/>
      <c r="BE619" s="88"/>
      <c r="BF619" s="88"/>
      <c r="BG619" s="88"/>
      <c r="BH619" s="88"/>
      <c r="BI619" s="88"/>
      <c r="BJ619" s="88"/>
      <c r="BK619" s="88"/>
      <c r="BL619" s="88"/>
      <c r="BM619" s="88"/>
      <c r="BN619" s="88"/>
      <c r="BO619" s="88"/>
      <c r="BP619" s="88"/>
      <c r="BQ619" s="88"/>
      <c r="BR619" s="88"/>
      <c r="BS619" s="88"/>
    </row>
    <row r="620">
      <c r="J620" s="73"/>
      <c r="K620" s="74"/>
      <c r="L620" s="74"/>
      <c r="M620" s="74"/>
      <c r="N620" s="74"/>
      <c r="S620" s="75"/>
      <c r="T620" s="145"/>
      <c r="U620" s="145"/>
      <c r="V620" s="145"/>
      <c r="W620" s="145"/>
      <c r="X620" s="145"/>
      <c r="Y620" s="145"/>
      <c r="Z620" s="145"/>
      <c r="AA620" s="145"/>
      <c r="AB620" s="145"/>
      <c r="AC620" s="145"/>
      <c r="AD620" s="145"/>
      <c r="AE620" s="145"/>
      <c r="AF620" s="145"/>
      <c r="AG620" s="145"/>
      <c r="AH620" s="145"/>
      <c r="AI620" s="145"/>
      <c r="AJ620" s="145"/>
      <c r="AK620" s="145"/>
      <c r="AL620" s="145"/>
      <c r="AM620" s="145"/>
      <c r="AN620" s="145"/>
      <c r="AO620" s="145"/>
      <c r="AP620" s="145"/>
      <c r="AQ620" s="145"/>
      <c r="AR620" s="145"/>
      <c r="AS620" s="145"/>
      <c r="AT620" s="124"/>
      <c r="AU620" s="124"/>
      <c r="AV620" s="124"/>
      <c r="AW620" s="124"/>
      <c r="AX620" s="124"/>
      <c r="AY620" s="124"/>
      <c r="AZ620" s="124"/>
      <c r="BA620" s="124"/>
      <c r="BB620" s="88"/>
      <c r="BC620" s="88"/>
      <c r="BD620" s="88"/>
      <c r="BE620" s="88"/>
      <c r="BF620" s="88"/>
      <c r="BG620" s="88"/>
      <c r="BH620" s="88"/>
      <c r="BI620" s="88"/>
      <c r="BJ620" s="88"/>
      <c r="BK620" s="88"/>
      <c r="BL620" s="88"/>
      <c r="BM620" s="88"/>
      <c r="BN620" s="88"/>
      <c r="BO620" s="88"/>
      <c r="BP620" s="88"/>
      <c r="BQ620" s="88"/>
      <c r="BR620" s="88"/>
      <c r="BS620" s="88"/>
    </row>
    <row r="621">
      <c r="J621" s="73"/>
      <c r="K621" s="74"/>
      <c r="L621" s="74"/>
      <c r="M621" s="74"/>
      <c r="N621" s="74"/>
      <c r="S621" s="75"/>
      <c r="T621" s="145"/>
      <c r="U621" s="145"/>
      <c r="V621" s="145"/>
      <c r="W621" s="145"/>
      <c r="X621" s="145"/>
      <c r="Y621" s="145"/>
      <c r="Z621" s="145"/>
      <c r="AA621" s="145"/>
      <c r="AB621" s="145"/>
      <c r="AC621" s="145"/>
      <c r="AD621" s="145"/>
      <c r="AE621" s="145"/>
      <c r="AF621" s="145"/>
      <c r="AG621" s="145"/>
      <c r="AH621" s="145"/>
      <c r="AI621" s="145"/>
      <c r="AJ621" s="145"/>
      <c r="AK621" s="145"/>
      <c r="AL621" s="145"/>
      <c r="AM621" s="145"/>
      <c r="AN621" s="145"/>
      <c r="AO621" s="145"/>
      <c r="AP621" s="145"/>
      <c r="AQ621" s="145"/>
      <c r="AR621" s="145"/>
      <c r="AS621" s="145"/>
      <c r="AT621" s="124"/>
      <c r="AU621" s="124"/>
      <c r="AV621" s="124"/>
      <c r="AW621" s="124"/>
      <c r="AX621" s="124"/>
      <c r="AY621" s="124"/>
      <c r="AZ621" s="124"/>
      <c r="BA621" s="124"/>
      <c r="BB621" s="88"/>
      <c r="BC621" s="88"/>
      <c r="BD621" s="88"/>
      <c r="BE621" s="88"/>
      <c r="BF621" s="88"/>
      <c r="BG621" s="88"/>
      <c r="BH621" s="88"/>
      <c r="BI621" s="88"/>
      <c r="BJ621" s="88"/>
      <c r="BK621" s="88"/>
      <c r="BL621" s="88"/>
      <c r="BM621" s="88"/>
      <c r="BN621" s="88"/>
      <c r="BO621" s="88"/>
      <c r="BP621" s="88"/>
      <c r="BQ621" s="88"/>
      <c r="BR621" s="88"/>
      <c r="BS621" s="88"/>
    </row>
    <row r="622">
      <c r="J622" s="73"/>
      <c r="K622" s="74"/>
      <c r="L622" s="74"/>
      <c r="M622" s="74"/>
      <c r="N622" s="74"/>
      <c r="S622" s="75"/>
      <c r="T622" s="145"/>
      <c r="U622" s="145"/>
      <c r="V622" s="145"/>
      <c r="W622" s="145"/>
      <c r="X622" s="145"/>
      <c r="Y622" s="145"/>
      <c r="Z622" s="145"/>
      <c r="AA622" s="145"/>
      <c r="AB622" s="145"/>
      <c r="AC622" s="145"/>
      <c r="AD622" s="145"/>
      <c r="AE622" s="145"/>
      <c r="AF622" s="145"/>
      <c r="AG622" s="145"/>
      <c r="AH622" s="145"/>
      <c r="AI622" s="145"/>
      <c r="AJ622" s="145"/>
      <c r="AK622" s="145"/>
      <c r="AL622" s="145"/>
      <c r="AM622" s="145"/>
      <c r="AN622" s="145"/>
      <c r="AO622" s="145"/>
      <c r="AP622" s="145"/>
      <c r="AQ622" s="145"/>
      <c r="AR622" s="145"/>
      <c r="AS622" s="145"/>
      <c r="AT622" s="124"/>
      <c r="AU622" s="124"/>
      <c r="AV622" s="124"/>
      <c r="AW622" s="124"/>
      <c r="AX622" s="124"/>
      <c r="AY622" s="124"/>
      <c r="AZ622" s="124"/>
      <c r="BA622" s="124"/>
      <c r="BB622" s="88"/>
      <c r="BC622" s="88"/>
      <c r="BD622" s="88"/>
      <c r="BE622" s="88"/>
      <c r="BF622" s="88"/>
      <c r="BG622" s="88"/>
      <c r="BH622" s="88"/>
      <c r="BI622" s="88"/>
      <c r="BJ622" s="88"/>
      <c r="BK622" s="88"/>
      <c r="BL622" s="88"/>
      <c r="BM622" s="88"/>
      <c r="BN622" s="88"/>
      <c r="BO622" s="88"/>
      <c r="BP622" s="88"/>
      <c r="BQ622" s="88"/>
      <c r="BR622" s="88"/>
      <c r="BS622" s="88"/>
    </row>
    <row r="623">
      <c r="J623" s="73"/>
      <c r="K623" s="74"/>
      <c r="L623" s="74"/>
      <c r="M623" s="74"/>
      <c r="N623" s="74"/>
      <c r="S623" s="75"/>
      <c r="T623" s="145"/>
      <c r="U623" s="145"/>
      <c r="V623" s="145"/>
      <c r="W623" s="145"/>
      <c r="X623" s="145"/>
      <c r="Y623" s="145"/>
      <c r="Z623" s="145"/>
      <c r="AA623" s="145"/>
      <c r="AB623" s="145"/>
      <c r="AC623" s="145"/>
      <c r="AD623" s="145"/>
      <c r="AE623" s="145"/>
      <c r="AF623" s="145"/>
      <c r="AG623" s="145"/>
      <c r="AH623" s="145"/>
      <c r="AI623" s="145"/>
      <c r="AJ623" s="145"/>
      <c r="AK623" s="145"/>
      <c r="AL623" s="145"/>
      <c r="AM623" s="145"/>
      <c r="AN623" s="145"/>
      <c r="AO623" s="145"/>
      <c r="AP623" s="145"/>
      <c r="AQ623" s="145"/>
      <c r="AR623" s="145"/>
      <c r="AS623" s="145"/>
      <c r="AT623" s="124"/>
      <c r="AU623" s="124"/>
      <c r="AV623" s="124"/>
      <c r="AW623" s="124"/>
      <c r="AX623" s="124"/>
      <c r="AY623" s="124"/>
      <c r="AZ623" s="124"/>
      <c r="BA623" s="124"/>
      <c r="BB623" s="88"/>
      <c r="BC623" s="88"/>
      <c r="BD623" s="88"/>
      <c r="BE623" s="88"/>
      <c r="BF623" s="88"/>
      <c r="BG623" s="88"/>
      <c r="BH623" s="88"/>
      <c r="BI623" s="88"/>
      <c r="BJ623" s="88"/>
      <c r="BK623" s="88"/>
      <c r="BL623" s="88"/>
      <c r="BM623" s="88"/>
      <c r="BN623" s="88"/>
      <c r="BO623" s="88"/>
      <c r="BP623" s="88"/>
      <c r="BQ623" s="88"/>
      <c r="BR623" s="88"/>
      <c r="BS623" s="88"/>
    </row>
    <row r="624">
      <c r="J624" s="73"/>
      <c r="K624" s="74"/>
      <c r="L624" s="74"/>
      <c r="M624" s="74"/>
      <c r="N624" s="74"/>
      <c r="S624" s="75"/>
      <c r="T624" s="145"/>
      <c r="U624" s="145"/>
      <c r="V624" s="145"/>
      <c r="W624" s="145"/>
      <c r="X624" s="145"/>
      <c r="Y624" s="145"/>
      <c r="Z624" s="145"/>
      <c r="AA624" s="145"/>
      <c r="AB624" s="145"/>
      <c r="AC624" s="145"/>
      <c r="AD624" s="145"/>
      <c r="AE624" s="145"/>
      <c r="AF624" s="145"/>
      <c r="AG624" s="145"/>
      <c r="AH624" s="145"/>
      <c r="AI624" s="145"/>
      <c r="AJ624" s="145"/>
      <c r="AK624" s="145"/>
      <c r="AL624" s="145"/>
      <c r="AM624" s="145"/>
      <c r="AN624" s="145"/>
      <c r="AO624" s="145"/>
      <c r="AP624" s="145"/>
      <c r="AQ624" s="145"/>
      <c r="AR624" s="145"/>
      <c r="AS624" s="145"/>
      <c r="AT624" s="124"/>
      <c r="AU624" s="124"/>
      <c r="AV624" s="124"/>
      <c r="AW624" s="124"/>
      <c r="AX624" s="124"/>
      <c r="AY624" s="124"/>
      <c r="AZ624" s="124"/>
      <c r="BA624" s="124"/>
      <c r="BB624" s="88"/>
      <c r="BC624" s="88"/>
      <c r="BD624" s="88"/>
      <c r="BE624" s="88"/>
      <c r="BF624" s="88"/>
      <c r="BG624" s="88"/>
      <c r="BH624" s="88"/>
      <c r="BI624" s="88"/>
      <c r="BJ624" s="88"/>
      <c r="BK624" s="88"/>
      <c r="BL624" s="88"/>
      <c r="BM624" s="88"/>
      <c r="BN624" s="88"/>
      <c r="BO624" s="88"/>
      <c r="BP624" s="88"/>
      <c r="BQ624" s="88"/>
      <c r="BR624" s="88"/>
      <c r="BS624" s="88"/>
    </row>
    <row r="625">
      <c r="J625" s="73"/>
      <c r="K625" s="74"/>
      <c r="L625" s="74"/>
      <c r="M625" s="74"/>
      <c r="N625" s="74"/>
      <c r="S625" s="75"/>
      <c r="T625" s="145"/>
      <c r="U625" s="145"/>
      <c r="V625" s="145"/>
      <c r="W625" s="145"/>
      <c r="X625" s="145"/>
      <c r="Y625" s="145"/>
      <c r="Z625" s="145"/>
      <c r="AA625" s="145"/>
      <c r="AB625" s="145"/>
      <c r="AC625" s="145"/>
      <c r="AD625" s="145"/>
      <c r="AE625" s="145"/>
      <c r="AF625" s="145"/>
      <c r="AG625" s="145"/>
      <c r="AH625" s="145"/>
      <c r="AI625" s="145"/>
      <c r="AJ625" s="145"/>
      <c r="AK625" s="145"/>
      <c r="AL625" s="145"/>
      <c r="AM625" s="145"/>
      <c r="AN625" s="145"/>
      <c r="AO625" s="145"/>
      <c r="AP625" s="145"/>
      <c r="AQ625" s="145"/>
      <c r="AR625" s="145"/>
      <c r="AS625" s="145"/>
      <c r="AT625" s="124"/>
      <c r="AU625" s="124"/>
      <c r="AV625" s="124"/>
      <c r="AW625" s="124"/>
      <c r="AX625" s="124"/>
      <c r="AY625" s="124"/>
      <c r="AZ625" s="124"/>
      <c r="BA625" s="124"/>
      <c r="BB625" s="88"/>
      <c r="BC625" s="88"/>
      <c r="BD625" s="88"/>
      <c r="BE625" s="88"/>
      <c r="BF625" s="88"/>
      <c r="BG625" s="88"/>
      <c r="BH625" s="88"/>
      <c r="BI625" s="88"/>
      <c r="BJ625" s="88"/>
      <c r="BK625" s="88"/>
      <c r="BL625" s="88"/>
      <c r="BM625" s="88"/>
      <c r="BN625" s="88"/>
      <c r="BO625" s="88"/>
      <c r="BP625" s="88"/>
      <c r="BQ625" s="88"/>
      <c r="BR625" s="88"/>
      <c r="BS625" s="88"/>
    </row>
    <row r="626">
      <c r="J626" s="73"/>
      <c r="K626" s="74"/>
      <c r="L626" s="74"/>
      <c r="M626" s="74"/>
      <c r="N626" s="74"/>
      <c r="S626" s="75"/>
      <c r="T626" s="145"/>
      <c r="U626" s="145"/>
      <c r="V626" s="145"/>
      <c r="W626" s="145"/>
      <c r="X626" s="145"/>
      <c r="Y626" s="145"/>
      <c r="Z626" s="145"/>
      <c r="AA626" s="145"/>
      <c r="AB626" s="145"/>
      <c r="AC626" s="145"/>
      <c r="AD626" s="145"/>
      <c r="AE626" s="145"/>
      <c r="AF626" s="145"/>
      <c r="AG626" s="145"/>
      <c r="AH626" s="145"/>
      <c r="AI626" s="145"/>
      <c r="AJ626" s="145"/>
      <c r="AK626" s="145"/>
      <c r="AL626" s="145"/>
      <c r="AM626" s="145"/>
      <c r="AN626" s="145"/>
      <c r="AO626" s="145"/>
      <c r="AP626" s="145"/>
      <c r="AQ626" s="145"/>
      <c r="AR626" s="145"/>
      <c r="AS626" s="145"/>
      <c r="AT626" s="124"/>
      <c r="AU626" s="124"/>
      <c r="AV626" s="124"/>
      <c r="AW626" s="124"/>
      <c r="AX626" s="124"/>
      <c r="AY626" s="124"/>
      <c r="AZ626" s="124"/>
      <c r="BA626" s="124"/>
      <c r="BB626" s="88"/>
      <c r="BC626" s="88"/>
      <c r="BD626" s="88"/>
      <c r="BE626" s="88"/>
      <c r="BF626" s="88"/>
      <c r="BG626" s="88"/>
      <c r="BH626" s="88"/>
      <c r="BI626" s="88"/>
      <c r="BJ626" s="88"/>
      <c r="BK626" s="88"/>
      <c r="BL626" s="88"/>
      <c r="BM626" s="88"/>
      <c r="BN626" s="88"/>
      <c r="BO626" s="88"/>
      <c r="BP626" s="88"/>
      <c r="BQ626" s="88"/>
      <c r="BR626" s="88"/>
      <c r="BS626" s="88"/>
    </row>
    <row r="627">
      <c r="J627" s="73"/>
      <c r="K627" s="74"/>
      <c r="L627" s="74"/>
      <c r="M627" s="74"/>
      <c r="N627" s="74"/>
      <c r="S627" s="75"/>
      <c r="T627" s="145"/>
      <c r="U627" s="145"/>
      <c r="V627" s="145"/>
      <c r="W627" s="145"/>
      <c r="X627" s="145"/>
      <c r="Y627" s="145"/>
      <c r="Z627" s="145"/>
      <c r="AA627" s="145"/>
      <c r="AB627" s="145"/>
      <c r="AC627" s="145"/>
      <c r="AD627" s="145"/>
      <c r="AE627" s="145"/>
      <c r="AF627" s="145"/>
      <c r="AG627" s="145"/>
      <c r="AH627" s="145"/>
      <c r="AI627" s="145"/>
      <c r="AJ627" s="145"/>
      <c r="AK627" s="145"/>
      <c r="AL627" s="145"/>
      <c r="AM627" s="145"/>
      <c r="AN627" s="145"/>
      <c r="AO627" s="145"/>
      <c r="AP627" s="145"/>
      <c r="AQ627" s="145"/>
      <c r="AR627" s="145"/>
      <c r="AS627" s="145"/>
      <c r="AT627" s="124"/>
      <c r="AU627" s="124"/>
      <c r="AV627" s="124"/>
      <c r="AW627" s="124"/>
      <c r="AX627" s="124"/>
      <c r="AY627" s="124"/>
      <c r="AZ627" s="124"/>
      <c r="BA627" s="124"/>
      <c r="BB627" s="88"/>
      <c r="BC627" s="88"/>
      <c r="BD627" s="88"/>
      <c r="BE627" s="88"/>
      <c r="BF627" s="88"/>
      <c r="BG627" s="88"/>
      <c r="BH627" s="88"/>
      <c r="BI627" s="88"/>
      <c r="BJ627" s="88"/>
      <c r="BK627" s="88"/>
      <c r="BL627" s="88"/>
      <c r="BM627" s="88"/>
      <c r="BN627" s="88"/>
      <c r="BO627" s="88"/>
      <c r="BP627" s="88"/>
      <c r="BQ627" s="88"/>
      <c r="BR627" s="88"/>
      <c r="BS627" s="88"/>
    </row>
    <row r="628">
      <c r="J628" s="73"/>
      <c r="K628" s="74"/>
      <c r="L628" s="74"/>
      <c r="M628" s="74"/>
      <c r="N628" s="74"/>
      <c r="S628" s="75"/>
      <c r="T628" s="145"/>
      <c r="U628" s="145"/>
      <c r="V628" s="145"/>
      <c r="W628" s="145"/>
      <c r="X628" s="145"/>
      <c r="Y628" s="145"/>
      <c r="Z628" s="145"/>
      <c r="AA628" s="145"/>
      <c r="AB628" s="145"/>
      <c r="AC628" s="145"/>
      <c r="AD628" s="145"/>
      <c r="AE628" s="145"/>
      <c r="AF628" s="145"/>
      <c r="AG628" s="145"/>
      <c r="AH628" s="145"/>
      <c r="AI628" s="145"/>
      <c r="AJ628" s="145"/>
      <c r="AK628" s="145"/>
      <c r="AL628" s="145"/>
      <c r="AM628" s="145"/>
      <c r="AN628" s="145"/>
      <c r="AO628" s="145"/>
      <c r="AP628" s="145"/>
      <c r="AQ628" s="145"/>
      <c r="AR628" s="145"/>
      <c r="AS628" s="145"/>
      <c r="AT628" s="124"/>
      <c r="AU628" s="124"/>
      <c r="AV628" s="124"/>
      <c r="AW628" s="124"/>
      <c r="AX628" s="124"/>
      <c r="AY628" s="124"/>
      <c r="AZ628" s="124"/>
      <c r="BA628" s="124"/>
      <c r="BB628" s="88"/>
      <c r="BC628" s="88"/>
      <c r="BD628" s="88"/>
      <c r="BE628" s="88"/>
      <c r="BF628" s="88"/>
      <c r="BG628" s="88"/>
      <c r="BH628" s="88"/>
      <c r="BI628" s="88"/>
      <c r="BJ628" s="88"/>
      <c r="BK628" s="88"/>
      <c r="BL628" s="88"/>
      <c r="BM628" s="88"/>
      <c r="BN628" s="88"/>
      <c r="BO628" s="88"/>
      <c r="BP628" s="88"/>
      <c r="BQ628" s="88"/>
      <c r="BR628" s="88"/>
      <c r="BS628" s="88"/>
    </row>
    <row r="629">
      <c r="J629" s="73"/>
      <c r="K629" s="74"/>
      <c r="L629" s="74"/>
      <c r="M629" s="74"/>
      <c r="N629" s="74"/>
      <c r="S629" s="75"/>
      <c r="T629" s="145"/>
      <c r="U629" s="145"/>
      <c r="V629" s="145"/>
      <c r="W629" s="145"/>
      <c r="X629" s="145"/>
      <c r="Y629" s="145"/>
      <c r="Z629" s="145"/>
      <c r="AA629" s="145"/>
      <c r="AB629" s="145"/>
      <c r="AC629" s="145"/>
      <c r="AD629" s="145"/>
      <c r="AE629" s="145"/>
      <c r="AF629" s="145"/>
      <c r="AG629" s="145"/>
      <c r="AH629" s="145"/>
      <c r="AI629" s="145"/>
      <c r="AJ629" s="145"/>
      <c r="AK629" s="145"/>
      <c r="AL629" s="145"/>
      <c r="AM629" s="145"/>
      <c r="AN629" s="145"/>
      <c r="AO629" s="145"/>
      <c r="AP629" s="145"/>
      <c r="AQ629" s="145"/>
      <c r="AR629" s="145"/>
      <c r="AS629" s="145"/>
      <c r="AT629" s="124"/>
      <c r="AU629" s="124"/>
      <c r="AV629" s="124"/>
      <c r="AW629" s="124"/>
      <c r="AX629" s="124"/>
      <c r="AY629" s="124"/>
      <c r="AZ629" s="124"/>
      <c r="BA629" s="124"/>
      <c r="BB629" s="88"/>
      <c r="BC629" s="88"/>
      <c r="BD629" s="88"/>
      <c r="BE629" s="88"/>
      <c r="BF629" s="88"/>
      <c r="BG629" s="88"/>
      <c r="BH629" s="88"/>
      <c r="BI629" s="88"/>
      <c r="BJ629" s="88"/>
      <c r="BK629" s="88"/>
      <c r="BL629" s="88"/>
      <c r="BM629" s="88"/>
      <c r="BN629" s="88"/>
      <c r="BO629" s="88"/>
      <c r="BP629" s="88"/>
      <c r="BQ629" s="88"/>
      <c r="BR629" s="88"/>
      <c r="BS629" s="88"/>
    </row>
    <row r="630">
      <c r="J630" s="73"/>
      <c r="K630" s="74"/>
      <c r="L630" s="74"/>
      <c r="M630" s="74"/>
      <c r="N630" s="74"/>
      <c r="S630" s="75"/>
      <c r="T630" s="145"/>
      <c r="U630" s="145"/>
      <c r="V630" s="145"/>
      <c r="W630" s="145"/>
      <c r="X630" s="145"/>
      <c r="Y630" s="145"/>
      <c r="Z630" s="145"/>
      <c r="AA630" s="145"/>
      <c r="AB630" s="145"/>
      <c r="AC630" s="145"/>
      <c r="AD630" s="145"/>
      <c r="AE630" s="145"/>
      <c r="AF630" s="145"/>
      <c r="AG630" s="145"/>
      <c r="AH630" s="145"/>
      <c r="AI630" s="145"/>
      <c r="AJ630" s="145"/>
      <c r="AK630" s="145"/>
      <c r="AL630" s="145"/>
      <c r="AM630" s="145"/>
      <c r="AN630" s="145"/>
      <c r="AO630" s="145"/>
      <c r="AP630" s="145"/>
      <c r="AQ630" s="145"/>
      <c r="AR630" s="145"/>
      <c r="AS630" s="145"/>
      <c r="AT630" s="124"/>
      <c r="AU630" s="124"/>
      <c r="AV630" s="124"/>
      <c r="AW630" s="124"/>
      <c r="AX630" s="124"/>
      <c r="AY630" s="124"/>
      <c r="AZ630" s="124"/>
      <c r="BA630" s="124"/>
      <c r="BB630" s="88"/>
      <c r="BC630" s="88"/>
      <c r="BD630" s="88"/>
      <c r="BE630" s="88"/>
      <c r="BF630" s="88"/>
      <c r="BG630" s="88"/>
      <c r="BH630" s="88"/>
      <c r="BI630" s="88"/>
      <c r="BJ630" s="88"/>
      <c r="BK630" s="88"/>
      <c r="BL630" s="88"/>
      <c r="BM630" s="88"/>
      <c r="BN630" s="88"/>
      <c r="BO630" s="88"/>
      <c r="BP630" s="88"/>
      <c r="BQ630" s="88"/>
      <c r="BR630" s="88"/>
      <c r="BS630" s="88"/>
    </row>
    <row r="631">
      <c r="J631" s="73"/>
      <c r="K631" s="74"/>
      <c r="L631" s="74"/>
      <c r="M631" s="74"/>
      <c r="N631" s="74"/>
      <c r="S631" s="75"/>
      <c r="T631" s="145"/>
      <c r="U631" s="145"/>
      <c r="V631" s="145"/>
      <c r="W631" s="145"/>
      <c r="X631" s="145"/>
      <c r="Y631" s="145"/>
      <c r="Z631" s="145"/>
      <c r="AA631" s="145"/>
      <c r="AB631" s="145"/>
      <c r="AC631" s="145"/>
      <c r="AD631" s="145"/>
      <c r="AE631" s="145"/>
      <c r="AF631" s="145"/>
      <c r="AG631" s="145"/>
      <c r="AH631" s="145"/>
      <c r="AI631" s="145"/>
      <c r="AJ631" s="145"/>
      <c r="AK631" s="145"/>
      <c r="AL631" s="145"/>
      <c r="AM631" s="145"/>
      <c r="AN631" s="145"/>
      <c r="AO631" s="145"/>
      <c r="AP631" s="145"/>
      <c r="AQ631" s="145"/>
      <c r="AR631" s="145"/>
      <c r="AS631" s="145"/>
      <c r="AT631" s="124"/>
      <c r="AU631" s="124"/>
      <c r="AV631" s="124"/>
      <c r="AW631" s="124"/>
      <c r="AX631" s="124"/>
      <c r="AY631" s="124"/>
      <c r="AZ631" s="124"/>
      <c r="BA631" s="124"/>
      <c r="BB631" s="88"/>
      <c r="BC631" s="88"/>
      <c r="BD631" s="88"/>
      <c r="BE631" s="88"/>
      <c r="BF631" s="88"/>
      <c r="BG631" s="88"/>
      <c r="BH631" s="88"/>
      <c r="BI631" s="88"/>
      <c r="BJ631" s="88"/>
      <c r="BK631" s="88"/>
      <c r="BL631" s="88"/>
      <c r="BM631" s="88"/>
      <c r="BN631" s="88"/>
      <c r="BO631" s="88"/>
      <c r="BP631" s="88"/>
      <c r="BQ631" s="88"/>
      <c r="BR631" s="88"/>
      <c r="BS631" s="88"/>
    </row>
    <row r="632">
      <c r="J632" s="73"/>
      <c r="K632" s="74"/>
      <c r="L632" s="74"/>
      <c r="M632" s="74"/>
      <c r="N632" s="74"/>
      <c r="S632" s="75"/>
      <c r="T632" s="145"/>
      <c r="U632" s="145"/>
      <c r="V632" s="145"/>
      <c r="W632" s="145"/>
      <c r="X632" s="145"/>
      <c r="Y632" s="145"/>
      <c r="Z632" s="145"/>
      <c r="AA632" s="145"/>
      <c r="AB632" s="145"/>
      <c r="AC632" s="145"/>
      <c r="AD632" s="145"/>
      <c r="AE632" s="145"/>
      <c r="AF632" s="145"/>
      <c r="AG632" s="145"/>
      <c r="AH632" s="145"/>
      <c r="AI632" s="145"/>
      <c r="AJ632" s="145"/>
      <c r="AK632" s="145"/>
      <c r="AL632" s="145"/>
      <c r="AM632" s="145"/>
      <c r="AN632" s="145"/>
      <c r="AO632" s="145"/>
      <c r="AP632" s="145"/>
      <c r="AQ632" s="145"/>
      <c r="AR632" s="145"/>
      <c r="AS632" s="145"/>
      <c r="AT632" s="124"/>
      <c r="AU632" s="124"/>
      <c r="AV632" s="124"/>
      <c r="AW632" s="124"/>
      <c r="AX632" s="124"/>
      <c r="AY632" s="124"/>
      <c r="AZ632" s="124"/>
      <c r="BA632" s="124"/>
      <c r="BB632" s="88"/>
      <c r="BC632" s="88"/>
      <c r="BD632" s="88"/>
      <c r="BE632" s="88"/>
      <c r="BF632" s="88"/>
      <c r="BG632" s="88"/>
      <c r="BH632" s="88"/>
      <c r="BI632" s="88"/>
      <c r="BJ632" s="88"/>
      <c r="BK632" s="88"/>
      <c r="BL632" s="88"/>
      <c r="BM632" s="88"/>
      <c r="BN632" s="88"/>
      <c r="BO632" s="88"/>
      <c r="BP632" s="88"/>
      <c r="BQ632" s="88"/>
      <c r="BR632" s="88"/>
      <c r="BS632" s="88"/>
    </row>
    <row r="633">
      <c r="J633" s="73"/>
      <c r="K633" s="74"/>
      <c r="L633" s="74"/>
      <c r="M633" s="74"/>
      <c r="N633" s="74"/>
      <c r="S633" s="75"/>
      <c r="T633" s="145"/>
      <c r="U633" s="145"/>
      <c r="V633" s="145"/>
      <c r="W633" s="145"/>
      <c r="X633" s="145"/>
      <c r="Y633" s="145"/>
      <c r="Z633" s="145"/>
      <c r="AA633" s="145"/>
      <c r="AB633" s="145"/>
      <c r="AC633" s="145"/>
      <c r="AD633" s="145"/>
      <c r="AE633" s="145"/>
      <c r="AF633" s="145"/>
      <c r="AG633" s="145"/>
      <c r="AH633" s="145"/>
      <c r="AI633" s="145"/>
      <c r="AJ633" s="145"/>
      <c r="AK633" s="145"/>
      <c r="AL633" s="145"/>
      <c r="AM633" s="145"/>
      <c r="AN633" s="145"/>
      <c r="AO633" s="145"/>
      <c r="AP633" s="145"/>
      <c r="AQ633" s="145"/>
      <c r="AR633" s="145"/>
      <c r="AS633" s="145"/>
      <c r="AT633" s="124"/>
      <c r="AU633" s="124"/>
      <c r="AV633" s="124"/>
      <c r="AW633" s="124"/>
      <c r="AX633" s="124"/>
      <c r="AY633" s="124"/>
      <c r="AZ633" s="124"/>
      <c r="BA633" s="124"/>
      <c r="BB633" s="88"/>
      <c r="BC633" s="88"/>
      <c r="BD633" s="88"/>
      <c r="BE633" s="88"/>
      <c r="BF633" s="88"/>
      <c r="BG633" s="88"/>
      <c r="BH633" s="88"/>
      <c r="BI633" s="88"/>
      <c r="BJ633" s="88"/>
      <c r="BK633" s="88"/>
      <c r="BL633" s="88"/>
      <c r="BM633" s="88"/>
      <c r="BN633" s="88"/>
      <c r="BO633" s="88"/>
      <c r="BP633" s="88"/>
      <c r="BQ633" s="88"/>
      <c r="BR633" s="88"/>
      <c r="BS633" s="88"/>
    </row>
    <row r="634">
      <c r="J634" s="73"/>
      <c r="K634" s="74"/>
      <c r="L634" s="74"/>
      <c r="M634" s="74"/>
      <c r="N634" s="74"/>
      <c r="S634" s="75"/>
      <c r="T634" s="145"/>
      <c r="U634" s="145"/>
      <c r="V634" s="145"/>
      <c r="W634" s="145"/>
      <c r="X634" s="145"/>
      <c r="Y634" s="145"/>
      <c r="Z634" s="145"/>
      <c r="AA634" s="145"/>
      <c r="AB634" s="145"/>
      <c r="AC634" s="145"/>
      <c r="AD634" s="145"/>
      <c r="AE634" s="145"/>
      <c r="AF634" s="145"/>
      <c r="AG634" s="145"/>
      <c r="AH634" s="145"/>
      <c r="AI634" s="145"/>
      <c r="AJ634" s="145"/>
      <c r="AK634" s="145"/>
      <c r="AL634" s="145"/>
      <c r="AM634" s="145"/>
      <c r="AN634" s="145"/>
      <c r="AO634" s="145"/>
      <c r="AP634" s="145"/>
      <c r="AQ634" s="145"/>
      <c r="AR634" s="145"/>
      <c r="AS634" s="145"/>
      <c r="AT634" s="124"/>
      <c r="AU634" s="124"/>
      <c r="AV634" s="124"/>
      <c r="AW634" s="124"/>
      <c r="AX634" s="124"/>
      <c r="AY634" s="124"/>
      <c r="AZ634" s="124"/>
      <c r="BA634" s="124"/>
      <c r="BB634" s="88"/>
      <c r="BC634" s="88"/>
      <c r="BD634" s="88"/>
      <c r="BE634" s="88"/>
      <c r="BF634" s="88"/>
      <c r="BG634" s="88"/>
      <c r="BH634" s="88"/>
      <c r="BI634" s="88"/>
      <c r="BJ634" s="88"/>
      <c r="BK634" s="88"/>
      <c r="BL634" s="88"/>
      <c r="BM634" s="88"/>
      <c r="BN634" s="88"/>
      <c r="BO634" s="88"/>
      <c r="BP634" s="88"/>
      <c r="BQ634" s="88"/>
      <c r="BR634" s="88"/>
      <c r="BS634" s="88"/>
    </row>
    <row r="635">
      <c r="J635" s="73"/>
      <c r="K635" s="74"/>
      <c r="L635" s="74"/>
      <c r="M635" s="74"/>
      <c r="N635" s="74"/>
      <c r="S635" s="75"/>
      <c r="T635" s="145"/>
      <c r="U635" s="145"/>
      <c r="V635" s="145"/>
      <c r="W635" s="145"/>
      <c r="X635" s="145"/>
      <c r="Y635" s="145"/>
      <c r="Z635" s="145"/>
      <c r="AA635" s="145"/>
      <c r="AB635" s="145"/>
      <c r="AC635" s="145"/>
      <c r="AD635" s="145"/>
      <c r="AE635" s="145"/>
      <c r="AF635" s="145"/>
      <c r="AG635" s="145"/>
      <c r="AH635" s="145"/>
      <c r="AI635" s="145"/>
      <c r="AJ635" s="145"/>
      <c r="AK635" s="145"/>
      <c r="AL635" s="145"/>
      <c r="AM635" s="145"/>
      <c r="AN635" s="145"/>
      <c r="AO635" s="145"/>
      <c r="AP635" s="145"/>
      <c r="AQ635" s="145"/>
      <c r="AR635" s="145"/>
      <c r="AS635" s="145"/>
      <c r="AT635" s="124"/>
      <c r="AU635" s="124"/>
      <c r="AV635" s="124"/>
      <c r="AW635" s="124"/>
      <c r="AX635" s="124"/>
      <c r="AY635" s="124"/>
      <c r="AZ635" s="124"/>
      <c r="BA635" s="124"/>
      <c r="BB635" s="88"/>
      <c r="BC635" s="88"/>
      <c r="BD635" s="88"/>
      <c r="BE635" s="88"/>
      <c r="BF635" s="88"/>
      <c r="BG635" s="88"/>
      <c r="BH635" s="88"/>
      <c r="BI635" s="88"/>
      <c r="BJ635" s="88"/>
      <c r="BK635" s="88"/>
      <c r="BL635" s="88"/>
      <c r="BM635" s="88"/>
      <c r="BN635" s="88"/>
      <c r="BO635" s="88"/>
      <c r="BP635" s="88"/>
      <c r="BQ635" s="88"/>
      <c r="BR635" s="88"/>
      <c r="BS635" s="88"/>
    </row>
    <row r="636">
      <c r="J636" s="73"/>
      <c r="K636" s="74"/>
      <c r="L636" s="74"/>
      <c r="M636" s="74"/>
      <c r="N636" s="74"/>
      <c r="S636" s="75"/>
      <c r="T636" s="145"/>
      <c r="U636" s="145"/>
      <c r="V636" s="145"/>
      <c r="W636" s="145"/>
      <c r="X636" s="145"/>
      <c r="Y636" s="145"/>
      <c r="Z636" s="145"/>
      <c r="AA636" s="145"/>
      <c r="AB636" s="145"/>
      <c r="AC636" s="145"/>
      <c r="AD636" s="145"/>
      <c r="AE636" s="145"/>
      <c r="AF636" s="145"/>
      <c r="AG636" s="145"/>
      <c r="AH636" s="145"/>
      <c r="AI636" s="145"/>
      <c r="AJ636" s="145"/>
      <c r="AK636" s="145"/>
      <c r="AL636" s="145"/>
      <c r="AM636" s="145"/>
      <c r="AN636" s="145"/>
      <c r="AO636" s="145"/>
      <c r="AP636" s="145"/>
      <c r="AQ636" s="145"/>
      <c r="AR636" s="145"/>
      <c r="AS636" s="145"/>
      <c r="AT636" s="124"/>
      <c r="AU636" s="124"/>
      <c r="AV636" s="124"/>
      <c r="AW636" s="124"/>
      <c r="AX636" s="124"/>
      <c r="AY636" s="124"/>
      <c r="AZ636" s="124"/>
      <c r="BA636" s="124"/>
      <c r="BB636" s="88"/>
      <c r="BC636" s="88"/>
      <c r="BD636" s="88"/>
      <c r="BE636" s="88"/>
      <c r="BF636" s="88"/>
      <c r="BG636" s="88"/>
      <c r="BH636" s="88"/>
      <c r="BI636" s="88"/>
      <c r="BJ636" s="88"/>
      <c r="BK636" s="88"/>
      <c r="BL636" s="88"/>
      <c r="BM636" s="88"/>
      <c r="BN636" s="88"/>
      <c r="BO636" s="88"/>
      <c r="BP636" s="88"/>
      <c r="BQ636" s="88"/>
      <c r="BR636" s="88"/>
      <c r="BS636" s="88"/>
    </row>
    <row r="637">
      <c r="J637" s="73"/>
      <c r="K637" s="74"/>
      <c r="L637" s="74"/>
      <c r="M637" s="74"/>
      <c r="N637" s="74"/>
      <c r="S637" s="75"/>
      <c r="T637" s="145"/>
      <c r="U637" s="145"/>
      <c r="V637" s="145"/>
      <c r="W637" s="145"/>
      <c r="X637" s="145"/>
      <c r="Y637" s="145"/>
      <c r="Z637" s="145"/>
      <c r="AA637" s="145"/>
      <c r="AB637" s="145"/>
      <c r="AC637" s="145"/>
      <c r="AD637" s="145"/>
      <c r="AE637" s="145"/>
      <c r="AF637" s="145"/>
      <c r="AG637" s="145"/>
      <c r="AH637" s="145"/>
      <c r="AI637" s="145"/>
      <c r="AJ637" s="145"/>
      <c r="AK637" s="145"/>
      <c r="AL637" s="145"/>
      <c r="AM637" s="145"/>
      <c r="AN637" s="145"/>
      <c r="AO637" s="145"/>
      <c r="AP637" s="145"/>
      <c r="AQ637" s="145"/>
      <c r="AR637" s="145"/>
      <c r="AS637" s="145"/>
      <c r="AT637" s="124"/>
      <c r="AU637" s="124"/>
      <c r="AV637" s="124"/>
      <c r="AW637" s="124"/>
      <c r="AX637" s="124"/>
      <c r="AY637" s="124"/>
      <c r="AZ637" s="124"/>
      <c r="BA637" s="124"/>
      <c r="BB637" s="88"/>
      <c r="BC637" s="88"/>
      <c r="BD637" s="88"/>
      <c r="BE637" s="88"/>
      <c r="BF637" s="88"/>
      <c r="BG637" s="88"/>
      <c r="BH637" s="88"/>
      <c r="BI637" s="88"/>
      <c r="BJ637" s="88"/>
      <c r="BK637" s="88"/>
      <c r="BL637" s="88"/>
      <c r="BM637" s="88"/>
      <c r="BN637" s="88"/>
      <c r="BO637" s="88"/>
      <c r="BP637" s="88"/>
      <c r="BQ637" s="88"/>
      <c r="BR637" s="88"/>
      <c r="BS637" s="88"/>
    </row>
    <row r="638">
      <c r="J638" s="73"/>
      <c r="K638" s="74"/>
      <c r="L638" s="74"/>
      <c r="M638" s="74"/>
      <c r="N638" s="74"/>
      <c r="S638" s="75"/>
      <c r="T638" s="145"/>
      <c r="U638" s="145"/>
      <c r="V638" s="145"/>
      <c r="W638" s="145"/>
      <c r="X638" s="145"/>
      <c r="Y638" s="145"/>
      <c r="Z638" s="145"/>
      <c r="AA638" s="145"/>
      <c r="AB638" s="145"/>
      <c r="AC638" s="145"/>
      <c r="AD638" s="145"/>
      <c r="AE638" s="145"/>
      <c r="AF638" s="145"/>
      <c r="AG638" s="145"/>
      <c r="AH638" s="145"/>
      <c r="AI638" s="145"/>
      <c r="AJ638" s="145"/>
      <c r="AK638" s="145"/>
      <c r="AL638" s="145"/>
      <c r="AM638" s="145"/>
      <c r="AN638" s="145"/>
      <c r="AO638" s="145"/>
      <c r="AP638" s="145"/>
      <c r="AQ638" s="145"/>
      <c r="AR638" s="145"/>
      <c r="AS638" s="145"/>
      <c r="AT638" s="124"/>
      <c r="AU638" s="124"/>
      <c r="AV638" s="124"/>
      <c r="AW638" s="124"/>
      <c r="AX638" s="124"/>
      <c r="AY638" s="124"/>
      <c r="AZ638" s="124"/>
      <c r="BA638" s="124"/>
      <c r="BB638" s="88"/>
      <c r="BC638" s="88"/>
      <c r="BD638" s="88"/>
      <c r="BE638" s="88"/>
      <c r="BF638" s="88"/>
      <c r="BG638" s="88"/>
      <c r="BH638" s="88"/>
      <c r="BI638" s="88"/>
      <c r="BJ638" s="88"/>
      <c r="BK638" s="88"/>
      <c r="BL638" s="88"/>
      <c r="BM638" s="88"/>
      <c r="BN638" s="88"/>
      <c r="BO638" s="88"/>
      <c r="BP638" s="88"/>
      <c r="BQ638" s="88"/>
      <c r="BR638" s="88"/>
      <c r="BS638" s="88"/>
    </row>
    <row r="639">
      <c r="J639" s="73"/>
      <c r="K639" s="74"/>
      <c r="L639" s="74"/>
      <c r="M639" s="74"/>
      <c r="N639" s="74"/>
      <c r="S639" s="75"/>
      <c r="T639" s="145"/>
      <c r="U639" s="145"/>
      <c r="V639" s="145"/>
      <c r="W639" s="145"/>
      <c r="X639" s="145"/>
      <c r="Y639" s="145"/>
      <c r="Z639" s="145"/>
      <c r="AA639" s="145"/>
      <c r="AB639" s="145"/>
      <c r="AC639" s="145"/>
      <c r="AD639" s="145"/>
      <c r="AE639" s="145"/>
      <c r="AF639" s="145"/>
      <c r="AG639" s="145"/>
      <c r="AH639" s="145"/>
      <c r="AI639" s="145"/>
      <c r="AJ639" s="145"/>
      <c r="AK639" s="145"/>
      <c r="AL639" s="145"/>
      <c r="AM639" s="145"/>
      <c r="AN639" s="145"/>
      <c r="AO639" s="145"/>
      <c r="AP639" s="145"/>
      <c r="AQ639" s="145"/>
      <c r="AR639" s="145"/>
      <c r="AS639" s="145"/>
      <c r="AT639" s="124"/>
      <c r="AU639" s="124"/>
      <c r="AV639" s="124"/>
      <c r="AW639" s="124"/>
      <c r="AX639" s="124"/>
      <c r="AY639" s="124"/>
      <c r="AZ639" s="124"/>
      <c r="BA639" s="124"/>
      <c r="BB639" s="88"/>
      <c r="BC639" s="88"/>
      <c r="BD639" s="88"/>
      <c r="BE639" s="88"/>
      <c r="BF639" s="88"/>
      <c r="BG639" s="88"/>
      <c r="BH639" s="88"/>
      <c r="BI639" s="88"/>
      <c r="BJ639" s="88"/>
      <c r="BK639" s="88"/>
      <c r="BL639" s="88"/>
      <c r="BM639" s="88"/>
      <c r="BN639" s="88"/>
      <c r="BO639" s="88"/>
      <c r="BP639" s="88"/>
      <c r="BQ639" s="88"/>
      <c r="BR639" s="88"/>
      <c r="BS639" s="88"/>
    </row>
    <row r="640">
      <c r="J640" s="73"/>
      <c r="K640" s="74"/>
      <c r="L640" s="74"/>
      <c r="M640" s="74"/>
      <c r="N640" s="74"/>
      <c r="S640" s="75"/>
      <c r="T640" s="145"/>
      <c r="U640" s="145"/>
      <c r="V640" s="145"/>
      <c r="W640" s="145"/>
      <c r="X640" s="145"/>
      <c r="Y640" s="145"/>
      <c r="Z640" s="145"/>
      <c r="AA640" s="145"/>
      <c r="AB640" s="145"/>
      <c r="AC640" s="145"/>
      <c r="AD640" s="145"/>
      <c r="AE640" s="145"/>
      <c r="AF640" s="145"/>
      <c r="AG640" s="145"/>
      <c r="AH640" s="145"/>
      <c r="AI640" s="145"/>
      <c r="AJ640" s="145"/>
      <c r="AK640" s="145"/>
      <c r="AL640" s="145"/>
      <c r="AM640" s="145"/>
      <c r="AN640" s="145"/>
      <c r="AO640" s="145"/>
      <c r="AP640" s="145"/>
      <c r="AQ640" s="145"/>
      <c r="AR640" s="145"/>
      <c r="AS640" s="145"/>
      <c r="AT640" s="124"/>
      <c r="AU640" s="124"/>
      <c r="AV640" s="124"/>
      <c r="AW640" s="124"/>
      <c r="AX640" s="124"/>
      <c r="AY640" s="124"/>
      <c r="AZ640" s="124"/>
      <c r="BA640" s="124"/>
      <c r="BB640" s="88"/>
      <c r="BC640" s="88"/>
      <c r="BD640" s="88"/>
      <c r="BE640" s="88"/>
      <c r="BF640" s="88"/>
      <c r="BG640" s="88"/>
      <c r="BH640" s="88"/>
      <c r="BI640" s="88"/>
      <c r="BJ640" s="88"/>
      <c r="BK640" s="88"/>
      <c r="BL640" s="88"/>
      <c r="BM640" s="88"/>
      <c r="BN640" s="88"/>
      <c r="BO640" s="88"/>
      <c r="BP640" s="88"/>
      <c r="BQ640" s="88"/>
      <c r="BR640" s="88"/>
      <c r="BS640" s="88"/>
    </row>
    <row r="641">
      <c r="J641" s="73"/>
      <c r="K641" s="74"/>
      <c r="L641" s="74"/>
      <c r="M641" s="74"/>
      <c r="N641" s="74"/>
      <c r="S641" s="75"/>
      <c r="T641" s="145"/>
      <c r="U641" s="145"/>
      <c r="V641" s="145"/>
      <c r="W641" s="145"/>
      <c r="X641" s="145"/>
      <c r="Y641" s="145"/>
      <c r="Z641" s="145"/>
      <c r="AA641" s="145"/>
      <c r="AB641" s="145"/>
      <c r="AC641" s="145"/>
      <c r="AD641" s="145"/>
      <c r="AE641" s="145"/>
      <c r="AF641" s="145"/>
      <c r="AG641" s="145"/>
      <c r="AH641" s="145"/>
      <c r="AI641" s="145"/>
      <c r="AJ641" s="145"/>
      <c r="AK641" s="145"/>
      <c r="AL641" s="145"/>
      <c r="AM641" s="145"/>
      <c r="AN641" s="145"/>
      <c r="AO641" s="145"/>
      <c r="AP641" s="145"/>
      <c r="AQ641" s="145"/>
      <c r="AR641" s="145"/>
      <c r="AS641" s="145"/>
      <c r="AT641" s="124"/>
      <c r="AU641" s="124"/>
      <c r="AV641" s="124"/>
      <c r="AW641" s="124"/>
      <c r="AX641" s="124"/>
      <c r="AY641" s="124"/>
      <c r="AZ641" s="124"/>
      <c r="BA641" s="124"/>
      <c r="BB641" s="88"/>
      <c r="BC641" s="88"/>
      <c r="BD641" s="88"/>
      <c r="BE641" s="88"/>
      <c r="BF641" s="88"/>
      <c r="BG641" s="88"/>
      <c r="BH641" s="88"/>
      <c r="BI641" s="88"/>
      <c r="BJ641" s="88"/>
      <c r="BK641" s="88"/>
      <c r="BL641" s="88"/>
      <c r="BM641" s="88"/>
      <c r="BN641" s="88"/>
      <c r="BO641" s="88"/>
      <c r="BP641" s="88"/>
      <c r="BQ641" s="88"/>
      <c r="BR641" s="88"/>
      <c r="BS641" s="88"/>
    </row>
    <row r="642">
      <c r="J642" s="73"/>
      <c r="K642" s="74"/>
      <c r="L642" s="74"/>
      <c r="M642" s="74"/>
      <c r="N642" s="74"/>
      <c r="S642" s="75"/>
      <c r="T642" s="145"/>
      <c r="U642" s="145"/>
      <c r="V642" s="145"/>
      <c r="W642" s="145"/>
      <c r="X642" s="145"/>
      <c r="Y642" s="145"/>
      <c r="Z642" s="145"/>
      <c r="AA642" s="145"/>
      <c r="AB642" s="145"/>
      <c r="AC642" s="145"/>
      <c r="AD642" s="145"/>
      <c r="AE642" s="145"/>
      <c r="AF642" s="145"/>
      <c r="AG642" s="145"/>
      <c r="AH642" s="145"/>
      <c r="AI642" s="145"/>
      <c r="AJ642" s="145"/>
      <c r="AK642" s="145"/>
      <c r="AL642" s="145"/>
      <c r="AM642" s="145"/>
      <c r="AN642" s="145"/>
      <c r="AO642" s="145"/>
      <c r="AP642" s="145"/>
      <c r="AQ642" s="145"/>
      <c r="AR642" s="145"/>
      <c r="AS642" s="145"/>
      <c r="AT642" s="124"/>
      <c r="AU642" s="124"/>
      <c r="AV642" s="124"/>
      <c r="AW642" s="124"/>
      <c r="AX642" s="124"/>
      <c r="AY642" s="124"/>
      <c r="AZ642" s="124"/>
      <c r="BA642" s="124"/>
      <c r="BB642" s="88"/>
      <c r="BC642" s="88"/>
      <c r="BD642" s="88"/>
      <c r="BE642" s="88"/>
      <c r="BF642" s="88"/>
      <c r="BG642" s="88"/>
      <c r="BH642" s="88"/>
      <c r="BI642" s="88"/>
      <c r="BJ642" s="88"/>
      <c r="BK642" s="88"/>
      <c r="BL642" s="88"/>
      <c r="BM642" s="88"/>
      <c r="BN642" s="88"/>
      <c r="BO642" s="88"/>
      <c r="BP642" s="88"/>
      <c r="BQ642" s="88"/>
      <c r="BR642" s="88"/>
      <c r="BS642" s="88"/>
    </row>
    <row r="643">
      <c r="J643" s="73"/>
      <c r="K643" s="74"/>
      <c r="L643" s="74"/>
      <c r="M643" s="74"/>
      <c r="N643" s="74"/>
      <c r="S643" s="75"/>
      <c r="T643" s="145"/>
      <c r="U643" s="145"/>
      <c r="V643" s="145"/>
      <c r="W643" s="145"/>
      <c r="X643" s="145"/>
      <c r="Y643" s="145"/>
      <c r="Z643" s="145"/>
      <c r="AA643" s="145"/>
      <c r="AB643" s="145"/>
      <c r="AC643" s="145"/>
      <c r="AD643" s="145"/>
      <c r="AE643" s="145"/>
      <c r="AF643" s="145"/>
      <c r="AG643" s="145"/>
      <c r="AH643" s="145"/>
      <c r="AI643" s="145"/>
      <c r="AJ643" s="145"/>
      <c r="AK643" s="145"/>
      <c r="AL643" s="145"/>
      <c r="AM643" s="145"/>
      <c r="AN643" s="145"/>
      <c r="AO643" s="145"/>
      <c r="AP643" s="145"/>
      <c r="AQ643" s="145"/>
      <c r="AR643" s="145"/>
      <c r="AS643" s="145"/>
      <c r="AT643" s="124"/>
      <c r="AU643" s="124"/>
      <c r="AV643" s="124"/>
      <c r="AW643" s="124"/>
      <c r="AX643" s="124"/>
      <c r="AY643" s="124"/>
      <c r="AZ643" s="124"/>
      <c r="BA643" s="124"/>
      <c r="BB643" s="88"/>
      <c r="BC643" s="88"/>
      <c r="BD643" s="88"/>
      <c r="BE643" s="88"/>
      <c r="BF643" s="88"/>
      <c r="BG643" s="88"/>
      <c r="BH643" s="88"/>
      <c r="BI643" s="88"/>
      <c r="BJ643" s="88"/>
      <c r="BK643" s="88"/>
      <c r="BL643" s="88"/>
      <c r="BM643" s="88"/>
      <c r="BN643" s="88"/>
      <c r="BO643" s="88"/>
      <c r="BP643" s="88"/>
      <c r="BQ643" s="88"/>
      <c r="BR643" s="88"/>
      <c r="BS643" s="88"/>
    </row>
    <row r="644">
      <c r="J644" s="73"/>
      <c r="K644" s="74"/>
      <c r="L644" s="74"/>
      <c r="M644" s="74"/>
      <c r="N644" s="74"/>
      <c r="S644" s="75"/>
      <c r="T644" s="145"/>
      <c r="U644" s="145"/>
      <c r="V644" s="145"/>
      <c r="W644" s="145"/>
      <c r="X644" s="145"/>
      <c r="Y644" s="145"/>
      <c r="Z644" s="145"/>
      <c r="AA644" s="145"/>
      <c r="AB644" s="145"/>
      <c r="AC644" s="145"/>
      <c r="AD644" s="145"/>
      <c r="AE644" s="145"/>
      <c r="AF644" s="145"/>
      <c r="AG644" s="145"/>
      <c r="AH644" s="145"/>
      <c r="AI644" s="145"/>
      <c r="AJ644" s="145"/>
      <c r="AK644" s="145"/>
      <c r="AL644" s="145"/>
      <c r="AM644" s="145"/>
      <c r="AN644" s="145"/>
      <c r="AO644" s="145"/>
      <c r="AP644" s="145"/>
      <c r="AQ644" s="145"/>
      <c r="AR644" s="145"/>
      <c r="AS644" s="145"/>
      <c r="AT644" s="124"/>
      <c r="AU644" s="124"/>
      <c r="AV644" s="124"/>
      <c r="AW644" s="124"/>
      <c r="AX644" s="124"/>
      <c r="AY644" s="124"/>
      <c r="AZ644" s="124"/>
      <c r="BA644" s="124"/>
      <c r="BB644" s="88"/>
      <c r="BC644" s="88"/>
      <c r="BD644" s="88"/>
      <c r="BE644" s="88"/>
      <c r="BF644" s="88"/>
      <c r="BG644" s="88"/>
      <c r="BH644" s="88"/>
      <c r="BI644" s="88"/>
      <c r="BJ644" s="88"/>
      <c r="BK644" s="88"/>
      <c r="BL644" s="88"/>
      <c r="BM644" s="88"/>
      <c r="BN644" s="88"/>
      <c r="BO644" s="88"/>
      <c r="BP644" s="88"/>
      <c r="BQ644" s="88"/>
      <c r="BR644" s="88"/>
      <c r="BS644" s="88"/>
    </row>
    <row r="645">
      <c r="J645" s="73"/>
      <c r="K645" s="74"/>
      <c r="L645" s="74"/>
      <c r="M645" s="74"/>
      <c r="N645" s="74"/>
      <c r="S645" s="75"/>
      <c r="T645" s="145"/>
      <c r="U645" s="145"/>
      <c r="V645" s="145"/>
      <c r="W645" s="145"/>
      <c r="X645" s="145"/>
      <c r="Y645" s="145"/>
      <c r="Z645" s="145"/>
      <c r="AA645" s="145"/>
      <c r="AB645" s="145"/>
      <c r="AC645" s="145"/>
      <c r="AD645" s="145"/>
      <c r="AE645" s="145"/>
      <c r="AF645" s="145"/>
      <c r="AG645" s="145"/>
      <c r="AH645" s="145"/>
      <c r="AI645" s="145"/>
      <c r="AJ645" s="145"/>
      <c r="AK645" s="145"/>
      <c r="AL645" s="145"/>
      <c r="AM645" s="145"/>
      <c r="AN645" s="145"/>
      <c r="AO645" s="145"/>
      <c r="AP645" s="145"/>
      <c r="AQ645" s="145"/>
      <c r="AR645" s="145"/>
      <c r="AS645" s="145"/>
      <c r="AT645" s="124"/>
      <c r="AU645" s="124"/>
      <c r="AV645" s="124"/>
      <c r="AW645" s="124"/>
      <c r="AX645" s="124"/>
      <c r="AY645" s="124"/>
      <c r="AZ645" s="124"/>
      <c r="BA645" s="124"/>
      <c r="BB645" s="88"/>
      <c r="BC645" s="88"/>
      <c r="BD645" s="88"/>
      <c r="BE645" s="88"/>
      <c r="BF645" s="88"/>
      <c r="BG645" s="88"/>
      <c r="BH645" s="88"/>
      <c r="BI645" s="88"/>
      <c r="BJ645" s="88"/>
      <c r="BK645" s="88"/>
      <c r="BL645" s="88"/>
      <c r="BM645" s="88"/>
      <c r="BN645" s="88"/>
      <c r="BO645" s="88"/>
      <c r="BP645" s="88"/>
      <c r="BQ645" s="88"/>
      <c r="BR645" s="88"/>
      <c r="BS645" s="88"/>
    </row>
    <row r="646">
      <c r="J646" s="73"/>
      <c r="K646" s="74"/>
      <c r="L646" s="74"/>
      <c r="M646" s="74"/>
      <c r="N646" s="74"/>
      <c r="S646" s="75"/>
      <c r="T646" s="145"/>
      <c r="U646" s="145"/>
      <c r="V646" s="145"/>
      <c r="W646" s="145"/>
      <c r="X646" s="145"/>
      <c r="Y646" s="145"/>
      <c r="Z646" s="145"/>
      <c r="AA646" s="145"/>
      <c r="AB646" s="145"/>
      <c r="AC646" s="145"/>
      <c r="AD646" s="145"/>
      <c r="AE646" s="145"/>
      <c r="AF646" s="145"/>
      <c r="AG646" s="145"/>
      <c r="AH646" s="145"/>
      <c r="AI646" s="145"/>
      <c r="AJ646" s="145"/>
      <c r="AK646" s="145"/>
      <c r="AL646" s="145"/>
      <c r="AM646" s="145"/>
      <c r="AN646" s="145"/>
      <c r="AO646" s="145"/>
      <c r="AP646" s="145"/>
      <c r="AQ646" s="145"/>
      <c r="AR646" s="145"/>
      <c r="AS646" s="145"/>
      <c r="AT646" s="124"/>
      <c r="AU646" s="124"/>
      <c r="AV646" s="124"/>
      <c r="AW646" s="124"/>
      <c r="AX646" s="124"/>
      <c r="AY646" s="124"/>
      <c r="AZ646" s="124"/>
      <c r="BA646" s="124"/>
      <c r="BB646" s="88"/>
      <c r="BC646" s="88"/>
      <c r="BD646" s="88"/>
      <c r="BE646" s="88"/>
      <c r="BF646" s="88"/>
      <c r="BG646" s="88"/>
      <c r="BH646" s="88"/>
      <c r="BI646" s="88"/>
      <c r="BJ646" s="88"/>
      <c r="BK646" s="88"/>
      <c r="BL646" s="88"/>
      <c r="BM646" s="88"/>
      <c r="BN646" s="88"/>
      <c r="BO646" s="88"/>
      <c r="BP646" s="88"/>
      <c r="BQ646" s="88"/>
      <c r="BR646" s="88"/>
      <c r="BS646" s="88"/>
    </row>
    <row r="647">
      <c r="J647" s="73"/>
      <c r="K647" s="74"/>
      <c r="L647" s="74"/>
      <c r="M647" s="74"/>
      <c r="N647" s="74"/>
      <c r="S647" s="75"/>
      <c r="T647" s="145"/>
      <c r="U647" s="145"/>
      <c r="V647" s="145"/>
      <c r="W647" s="145"/>
      <c r="X647" s="145"/>
      <c r="Y647" s="145"/>
      <c r="Z647" s="145"/>
      <c r="AA647" s="145"/>
      <c r="AB647" s="145"/>
      <c r="AC647" s="145"/>
      <c r="AD647" s="145"/>
      <c r="AE647" s="145"/>
      <c r="AF647" s="145"/>
      <c r="AG647" s="145"/>
      <c r="AH647" s="145"/>
      <c r="AI647" s="145"/>
      <c r="AJ647" s="145"/>
      <c r="AK647" s="145"/>
      <c r="AL647" s="145"/>
      <c r="AM647" s="145"/>
      <c r="AN647" s="145"/>
      <c r="AO647" s="145"/>
      <c r="AP647" s="145"/>
      <c r="AQ647" s="145"/>
      <c r="AR647" s="145"/>
      <c r="AS647" s="145"/>
      <c r="AT647" s="124"/>
      <c r="AU647" s="124"/>
      <c r="AV647" s="124"/>
      <c r="AW647" s="124"/>
      <c r="AX647" s="124"/>
      <c r="AY647" s="124"/>
      <c r="AZ647" s="124"/>
      <c r="BA647" s="124"/>
      <c r="BB647" s="88"/>
      <c r="BC647" s="88"/>
      <c r="BD647" s="88"/>
      <c r="BE647" s="88"/>
      <c r="BF647" s="88"/>
      <c r="BG647" s="88"/>
      <c r="BH647" s="88"/>
      <c r="BI647" s="88"/>
      <c r="BJ647" s="88"/>
      <c r="BK647" s="88"/>
      <c r="BL647" s="88"/>
      <c r="BM647" s="88"/>
      <c r="BN647" s="88"/>
      <c r="BO647" s="88"/>
      <c r="BP647" s="88"/>
      <c r="BQ647" s="88"/>
      <c r="BR647" s="88"/>
      <c r="BS647" s="88"/>
    </row>
    <row r="648">
      <c r="J648" s="73"/>
      <c r="K648" s="74"/>
      <c r="L648" s="74"/>
      <c r="M648" s="74"/>
      <c r="N648" s="74"/>
      <c r="S648" s="75"/>
      <c r="T648" s="145"/>
      <c r="U648" s="145"/>
      <c r="V648" s="145"/>
      <c r="W648" s="145"/>
      <c r="X648" s="145"/>
      <c r="Y648" s="145"/>
      <c r="Z648" s="145"/>
      <c r="AA648" s="145"/>
      <c r="AB648" s="145"/>
      <c r="AC648" s="145"/>
      <c r="AD648" s="145"/>
      <c r="AE648" s="145"/>
      <c r="AF648" s="145"/>
      <c r="AG648" s="145"/>
      <c r="AH648" s="145"/>
      <c r="AI648" s="145"/>
      <c r="AJ648" s="145"/>
      <c r="AK648" s="145"/>
      <c r="AL648" s="145"/>
      <c r="AM648" s="145"/>
      <c r="AN648" s="145"/>
      <c r="AO648" s="145"/>
      <c r="AP648" s="145"/>
      <c r="AQ648" s="145"/>
      <c r="AR648" s="145"/>
      <c r="AS648" s="145"/>
      <c r="AT648" s="124"/>
      <c r="AU648" s="124"/>
      <c r="AV648" s="124"/>
      <c r="AW648" s="124"/>
      <c r="AX648" s="124"/>
      <c r="AY648" s="124"/>
      <c r="AZ648" s="124"/>
      <c r="BA648" s="124"/>
      <c r="BB648" s="88"/>
      <c r="BC648" s="88"/>
      <c r="BD648" s="88"/>
      <c r="BE648" s="88"/>
      <c r="BF648" s="88"/>
      <c r="BG648" s="88"/>
      <c r="BH648" s="88"/>
      <c r="BI648" s="88"/>
      <c r="BJ648" s="88"/>
      <c r="BK648" s="88"/>
      <c r="BL648" s="88"/>
      <c r="BM648" s="88"/>
      <c r="BN648" s="88"/>
      <c r="BO648" s="88"/>
      <c r="BP648" s="88"/>
      <c r="BQ648" s="88"/>
      <c r="BR648" s="88"/>
      <c r="BS648" s="88"/>
    </row>
    <row r="649">
      <c r="J649" s="73"/>
      <c r="K649" s="74"/>
      <c r="L649" s="74"/>
      <c r="M649" s="74"/>
      <c r="N649" s="74"/>
      <c r="S649" s="75"/>
      <c r="T649" s="145"/>
      <c r="U649" s="145"/>
      <c r="V649" s="145"/>
      <c r="W649" s="145"/>
      <c r="X649" s="145"/>
      <c r="Y649" s="145"/>
      <c r="Z649" s="145"/>
      <c r="AA649" s="145"/>
      <c r="AB649" s="145"/>
      <c r="AC649" s="145"/>
      <c r="AD649" s="145"/>
      <c r="AE649" s="145"/>
      <c r="AF649" s="145"/>
      <c r="AG649" s="145"/>
      <c r="AH649" s="145"/>
      <c r="AI649" s="145"/>
      <c r="AJ649" s="145"/>
      <c r="AK649" s="145"/>
      <c r="AL649" s="145"/>
      <c r="AM649" s="145"/>
      <c r="AN649" s="145"/>
      <c r="AO649" s="145"/>
      <c r="AP649" s="145"/>
      <c r="AQ649" s="145"/>
      <c r="AR649" s="145"/>
      <c r="AS649" s="145"/>
      <c r="AT649" s="124"/>
      <c r="AU649" s="124"/>
      <c r="AV649" s="124"/>
      <c r="AW649" s="124"/>
      <c r="AX649" s="124"/>
      <c r="AY649" s="124"/>
      <c r="AZ649" s="124"/>
      <c r="BA649" s="124"/>
      <c r="BB649" s="88"/>
      <c r="BC649" s="88"/>
      <c r="BD649" s="88"/>
      <c r="BE649" s="88"/>
      <c r="BF649" s="88"/>
      <c r="BG649" s="88"/>
      <c r="BH649" s="88"/>
      <c r="BI649" s="88"/>
      <c r="BJ649" s="88"/>
      <c r="BK649" s="88"/>
      <c r="BL649" s="88"/>
      <c r="BM649" s="88"/>
      <c r="BN649" s="88"/>
      <c r="BO649" s="88"/>
      <c r="BP649" s="88"/>
      <c r="BQ649" s="88"/>
      <c r="BR649" s="88"/>
      <c r="BS649" s="88"/>
    </row>
    <row r="650">
      <c r="J650" s="73"/>
      <c r="K650" s="74"/>
      <c r="L650" s="74"/>
      <c r="M650" s="74"/>
      <c r="N650" s="74"/>
      <c r="S650" s="75"/>
      <c r="T650" s="145"/>
      <c r="U650" s="145"/>
      <c r="V650" s="145"/>
      <c r="W650" s="145"/>
      <c r="X650" s="145"/>
      <c r="Y650" s="145"/>
      <c r="Z650" s="145"/>
      <c r="AA650" s="145"/>
      <c r="AB650" s="145"/>
      <c r="AC650" s="145"/>
      <c r="AD650" s="145"/>
      <c r="AE650" s="145"/>
      <c r="AF650" s="145"/>
      <c r="AG650" s="145"/>
      <c r="AH650" s="145"/>
      <c r="AI650" s="145"/>
      <c r="AJ650" s="145"/>
      <c r="AK650" s="145"/>
      <c r="AL650" s="145"/>
      <c r="AM650" s="145"/>
      <c r="AN650" s="145"/>
      <c r="AO650" s="145"/>
      <c r="AP650" s="145"/>
      <c r="AQ650" s="145"/>
      <c r="AR650" s="145"/>
      <c r="AS650" s="145"/>
      <c r="AT650" s="124"/>
      <c r="AU650" s="124"/>
      <c r="AV650" s="124"/>
      <c r="AW650" s="124"/>
      <c r="AX650" s="124"/>
      <c r="AY650" s="124"/>
      <c r="AZ650" s="124"/>
      <c r="BA650" s="124"/>
      <c r="BB650" s="88"/>
      <c r="BC650" s="88"/>
      <c r="BD650" s="88"/>
      <c r="BE650" s="88"/>
      <c r="BF650" s="88"/>
      <c r="BG650" s="88"/>
      <c r="BH650" s="88"/>
      <c r="BI650" s="88"/>
      <c r="BJ650" s="88"/>
      <c r="BK650" s="88"/>
      <c r="BL650" s="88"/>
      <c r="BM650" s="88"/>
      <c r="BN650" s="88"/>
      <c r="BO650" s="88"/>
      <c r="BP650" s="88"/>
      <c r="BQ650" s="88"/>
      <c r="BR650" s="88"/>
      <c r="BS650" s="88"/>
    </row>
    <row r="651">
      <c r="J651" s="73"/>
      <c r="K651" s="74"/>
      <c r="L651" s="74"/>
      <c r="M651" s="74"/>
      <c r="N651" s="74"/>
      <c r="S651" s="75"/>
      <c r="T651" s="145"/>
      <c r="U651" s="145"/>
      <c r="V651" s="145"/>
      <c r="W651" s="145"/>
      <c r="X651" s="145"/>
      <c r="Y651" s="145"/>
      <c r="Z651" s="145"/>
      <c r="AA651" s="145"/>
      <c r="AB651" s="145"/>
      <c r="AC651" s="145"/>
      <c r="AD651" s="145"/>
      <c r="AE651" s="145"/>
      <c r="AF651" s="145"/>
      <c r="AG651" s="145"/>
      <c r="AH651" s="145"/>
      <c r="AI651" s="145"/>
      <c r="AJ651" s="145"/>
      <c r="AK651" s="145"/>
      <c r="AL651" s="145"/>
      <c r="AM651" s="145"/>
      <c r="AN651" s="145"/>
      <c r="AO651" s="145"/>
      <c r="AP651" s="145"/>
      <c r="AQ651" s="145"/>
      <c r="AR651" s="145"/>
      <c r="AS651" s="145"/>
      <c r="AT651" s="124"/>
      <c r="AU651" s="124"/>
      <c r="AV651" s="124"/>
      <c r="AW651" s="124"/>
      <c r="AX651" s="124"/>
      <c r="AY651" s="124"/>
      <c r="AZ651" s="124"/>
      <c r="BA651" s="124"/>
      <c r="BB651" s="88"/>
      <c r="BC651" s="88"/>
      <c r="BD651" s="88"/>
      <c r="BE651" s="88"/>
      <c r="BF651" s="88"/>
      <c r="BG651" s="88"/>
      <c r="BH651" s="88"/>
      <c r="BI651" s="88"/>
      <c r="BJ651" s="88"/>
      <c r="BK651" s="88"/>
      <c r="BL651" s="88"/>
      <c r="BM651" s="88"/>
      <c r="BN651" s="88"/>
      <c r="BO651" s="88"/>
      <c r="BP651" s="88"/>
      <c r="BQ651" s="88"/>
      <c r="BR651" s="88"/>
      <c r="BS651" s="88"/>
    </row>
    <row r="652">
      <c r="J652" s="73"/>
      <c r="K652" s="74"/>
      <c r="L652" s="74"/>
      <c r="M652" s="74"/>
      <c r="N652" s="74"/>
      <c r="S652" s="75"/>
      <c r="T652" s="145"/>
      <c r="U652" s="145"/>
      <c r="V652" s="145"/>
      <c r="W652" s="145"/>
      <c r="X652" s="145"/>
      <c r="Y652" s="145"/>
      <c r="Z652" s="145"/>
      <c r="AA652" s="145"/>
      <c r="AB652" s="145"/>
      <c r="AC652" s="145"/>
      <c r="AD652" s="145"/>
      <c r="AE652" s="145"/>
      <c r="AF652" s="145"/>
      <c r="AG652" s="145"/>
      <c r="AH652" s="145"/>
      <c r="AI652" s="145"/>
      <c r="AJ652" s="145"/>
      <c r="AK652" s="145"/>
      <c r="AL652" s="145"/>
      <c r="AM652" s="145"/>
      <c r="AN652" s="145"/>
      <c r="AO652" s="145"/>
      <c r="AP652" s="145"/>
      <c r="AQ652" s="145"/>
      <c r="AR652" s="145"/>
      <c r="AS652" s="145"/>
      <c r="AT652" s="124"/>
      <c r="AU652" s="124"/>
      <c r="AV652" s="124"/>
      <c r="AW652" s="124"/>
      <c r="AX652" s="124"/>
      <c r="AY652" s="124"/>
      <c r="AZ652" s="124"/>
      <c r="BA652" s="124"/>
      <c r="BB652" s="88"/>
      <c r="BC652" s="88"/>
      <c r="BD652" s="88"/>
      <c r="BE652" s="88"/>
      <c r="BF652" s="88"/>
      <c r="BG652" s="88"/>
      <c r="BH652" s="88"/>
      <c r="BI652" s="88"/>
      <c r="BJ652" s="88"/>
      <c r="BK652" s="88"/>
      <c r="BL652" s="88"/>
      <c r="BM652" s="88"/>
      <c r="BN652" s="88"/>
      <c r="BO652" s="88"/>
      <c r="BP652" s="88"/>
      <c r="BQ652" s="88"/>
      <c r="BR652" s="88"/>
      <c r="BS652" s="88"/>
    </row>
    <row r="653">
      <c r="J653" s="73"/>
      <c r="K653" s="74"/>
      <c r="L653" s="74"/>
      <c r="M653" s="74"/>
      <c r="N653" s="74"/>
      <c r="S653" s="75"/>
      <c r="T653" s="145"/>
      <c r="U653" s="145"/>
      <c r="V653" s="145"/>
      <c r="W653" s="145"/>
      <c r="X653" s="145"/>
      <c r="Y653" s="145"/>
      <c r="Z653" s="145"/>
      <c r="AA653" s="145"/>
      <c r="AB653" s="145"/>
      <c r="AC653" s="145"/>
      <c r="AD653" s="145"/>
      <c r="AE653" s="145"/>
      <c r="AF653" s="145"/>
      <c r="AG653" s="145"/>
      <c r="AH653" s="145"/>
      <c r="AI653" s="145"/>
      <c r="AJ653" s="145"/>
      <c r="AK653" s="145"/>
      <c r="AL653" s="145"/>
      <c r="AM653" s="145"/>
      <c r="AN653" s="145"/>
      <c r="AO653" s="145"/>
      <c r="AP653" s="145"/>
      <c r="AQ653" s="145"/>
      <c r="AR653" s="145"/>
      <c r="AS653" s="145"/>
      <c r="AT653" s="124"/>
      <c r="AU653" s="124"/>
      <c r="AV653" s="124"/>
      <c r="AW653" s="124"/>
      <c r="AX653" s="124"/>
      <c r="AY653" s="124"/>
      <c r="AZ653" s="124"/>
      <c r="BA653" s="124"/>
      <c r="BB653" s="88"/>
      <c r="BC653" s="88"/>
      <c r="BD653" s="88"/>
      <c r="BE653" s="88"/>
      <c r="BF653" s="88"/>
      <c r="BG653" s="88"/>
      <c r="BH653" s="88"/>
      <c r="BI653" s="88"/>
      <c r="BJ653" s="88"/>
      <c r="BK653" s="88"/>
      <c r="BL653" s="88"/>
      <c r="BM653" s="88"/>
      <c r="BN653" s="88"/>
      <c r="BO653" s="88"/>
      <c r="BP653" s="88"/>
      <c r="BQ653" s="88"/>
      <c r="BR653" s="88"/>
      <c r="BS653" s="88"/>
    </row>
    <row r="654">
      <c r="J654" s="73"/>
      <c r="K654" s="74"/>
      <c r="L654" s="74"/>
      <c r="M654" s="74"/>
      <c r="N654" s="74"/>
      <c r="S654" s="75"/>
      <c r="T654" s="145"/>
      <c r="U654" s="145"/>
      <c r="V654" s="145"/>
      <c r="W654" s="145"/>
      <c r="X654" s="145"/>
      <c r="Y654" s="145"/>
      <c r="Z654" s="145"/>
      <c r="AA654" s="145"/>
      <c r="AB654" s="145"/>
      <c r="AC654" s="145"/>
      <c r="AD654" s="145"/>
      <c r="AE654" s="145"/>
      <c r="AF654" s="145"/>
      <c r="AG654" s="145"/>
      <c r="AH654" s="145"/>
      <c r="AI654" s="145"/>
      <c r="AJ654" s="145"/>
      <c r="AK654" s="145"/>
      <c r="AL654" s="145"/>
      <c r="AM654" s="145"/>
      <c r="AN654" s="145"/>
      <c r="AO654" s="145"/>
      <c r="AP654" s="145"/>
      <c r="AQ654" s="145"/>
      <c r="AR654" s="145"/>
      <c r="AS654" s="145"/>
      <c r="AT654" s="124"/>
      <c r="AU654" s="124"/>
      <c r="AV654" s="124"/>
      <c r="AW654" s="124"/>
      <c r="AX654" s="124"/>
      <c r="AY654" s="124"/>
      <c r="AZ654" s="124"/>
      <c r="BA654" s="124"/>
      <c r="BB654" s="88"/>
      <c r="BC654" s="88"/>
      <c r="BD654" s="88"/>
      <c r="BE654" s="88"/>
      <c r="BF654" s="88"/>
      <c r="BG654" s="88"/>
      <c r="BH654" s="88"/>
      <c r="BI654" s="88"/>
      <c r="BJ654" s="88"/>
      <c r="BK654" s="88"/>
      <c r="BL654" s="88"/>
      <c r="BM654" s="88"/>
      <c r="BN654" s="88"/>
      <c r="BO654" s="88"/>
      <c r="BP654" s="88"/>
      <c r="BQ654" s="88"/>
      <c r="BR654" s="88"/>
      <c r="BS654" s="88"/>
    </row>
    <row r="655">
      <c r="J655" s="73"/>
      <c r="K655" s="74"/>
      <c r="L655" s="74"/>
      <c r="M655" s="74"/>
      <c r="N655" s="74"/>
      <c r="S655" s="75"/>
      <c r="T655" s="145"/>
      <c r="U655" s="145"/>
      <c r="V655" s="145"/>
      <c r="W655" s="145"/>
      <c r="X655" s="145"/>
      <c r="Y655" s="145"/>
      <c r="Z655" s="145"/>
      <c r="AA655" s="145"/>
      <c r="AB655" s="145"/>
      <c r="AC655" s="145"/>
      <c r="AD655" s="145"/>
      <c r="AE655" s="145"/>
      <c r="AF655" s="145"/>
      <c r="AG655" s="145"/>
      <c r="AH655" s="145"/>
      <c r="AI655" s="145"/>
      <c r="AJ655" s="145"/>
      <c r="AK655" s="145"/>
      <c r="AL655" s="145"/>
      <c r="AM655" s="145"/>
      <c r="AN655" s="145"/>
      <c r="AO655" s="145"/>
      <c r="AP655" s="145"/>
      <c r="AQ655" s="145"/>
      <c r="AR655" s="145"/>
      <c r="AS655" s="145"/>
      <c r="AT655" s="124"/>
      <c r="AU655" s="124"/>
      <c r="AV655" s="124"/>
      <c r="AW655" s="124"/>
      <c r="AX655" s="124"/>
      <c r="AY655" s="124"/>
      <c r="AZ655" s="124"/>
      <c r="BA655" s="124"/>
      <c r="BB655" s="88"/>
      <c r="BC655" s="88"/>
      <c r="BD655" s="88"/>
      <c r="BE655" s="88"/>
      <c r="BF655" s="88"/>
      <c r="BG655" s="88"/>
      <c r="BH655" s="88"/>
      <c r="BI655" s="88"/>
      <c r="BJ655" s="88"/>
      <c r="BK655" s="88"/>
      <c r="BL655" s="88"/>
      <c r="BM655" s="88"/>
      <c r="BN655" s="88"/>
      <c r="BO655" s="88"/>
      <c r="BP655" s="88"/>
      <c r="BQ655" s="88"/>
      <c r="BR655" s="88"/>
      <c r="BS655" s="88"/>
    </row>
    <row r="656">
      <c r="J656" s="73"/>
      <c r="K656" s="74"/>
      <c r="L656" s="74"/>
      <c r="M656" s="74"/>
      <c r="N656" s="74"/>
      <c r="S656" s="75"/>
      <c r="T656" s="145"/>
      <c r="U656" s="145"/>
      <c r="V656" s="145"/>
      <c r="W656" s="145"/>
      <c r="X656" s="145"/>
      <c r="Y656" s="145"/>
      <c r="Z656" s="145"/>
      <c r="AA656" s="145"/>
      <c r="AB656" s="145"/>
      <c r="AC656" s="145"/>
      <c r="AD656" s="145"/>
      <c r="AE656" s="145"/>
      <c r="AF656" s="145"/>
      <c r="AG656" s="145"/>
      <c r="AH656" s="145"/>
      <c r="AI656" s="145"/>
      <c r="AJ656" s="145"/>
      <c r="AK656" s="145"/>
      <c r="AL656" s="145"/>
      <c r="AM656" s="145"/>
      <c r="AN656" s="145"/>
      <c r="AO656" s="145"/>
      <c r="AP656" s="145"/>
      <c r="AQ656" s="145"/>
      <c r="AR656" s="145"/>
      <c r="AS656" s="145"/>
      <c r="AT656" s="124"/>
      <c r="AU656" s="124"/>
      <c r="AV656" s="124"/>
      <c r="AW656" s="124"/>
      <c r="AX656" s="124"/>
      <c r="AY656" s="124"/>
      <c r="AZ656" s="124"/>
      <c r="BA656" s="124"/>
      <c r="BB656" s="88"/>
      <c r="BC656" s="88"/>
      <c r="BD656" s="88"/>
      <c r="BE656" s="88"/>
      <c r="BF656" s="88"/>
      <c r="BG656" s="88"/>
      <c r="BH656" s="88"/>
      <c r="BI656" s="88"/>
      <c r="BJ656" s="88"/>
      <c r="BK656" s="88"/>
      <c r="BL656" s="88"/>
      <c r="BM656" s="88"/>
      <c r="BN656" s="88"/>
      <c r="BO656" s="88"/>
      <c r="BP656" s="88"/>
      <c r="BQ656" s="88"/>
      <c r="BR656" s="88"/>
      <c r="BS656" s="88"/>
    </row>
    <row r="657">
      <c r="J657" s="73"/>
      <c r="K657" s="74"/>
      <c r="L657" s="74"/>
      <c r="M657" s="74"/>
      <c r="N657" s="74"/>
      <c r="S657" s="75"/>
      <c r="T657" s="145"/>
      <c r="U657" s="145"/>
      <c r="V657" s="145"/>
      <c r="W657" s="145"/>
      <c r="X657" s="145"/>
      <c r="Y657" s="145"/>
      <c r="Z657" s="145"/>
      <c r="AA657" s="145"/>
      <c r="AB657" s="145"/>
      <c r="AC657" s="145"/>
      <c r="AD657" s="145"/>
      <c r="AE657" s="145"/>
      <c r="AF657" s="145"/>
      <c r="AG657" s="145"/>
      <c r="AH657" s="145"/>
      <c r="AI657" s="145"/>
      <c r="AJ657" s="145"/>
      <c r="AK657" s="145"/>
      <c r="AL657" s="145"/>
      <c r="AM657" s="145"/>
      <c r="AN657" s="145"/>
      <c r="AO657" s="145"/>
      <c r="AP657" s="145"/>
      <c r="AQ657" s="145"/>
      <c r="AR657" s="145"/>
      <c r="AS657" s="145"/>
      <c r="AT657" s="124"/>
      <c r="AU657" s="124"/>
      <c r="AV657" s="124"/>
      <c r="AW657" s="124"/>
      <c r="AX657" s="124"/>
      <c r="AY657" s="124"/>
      <c r="AZ657" s="124"/>
      <c r="BA657" s="124"/>
      <c r="BB657" s="88"/>
      <c r="BC657" s="88"/>
      <c r="BD657" s="88"/>
      <c r="BE657" s="88"/>
      <c r="BF657" s="88"/>
      <c r="BG657" s="88"/>
      <c r="BH657" s="88"/>
      <c r="BI657" s="88"/>
      <c r="BJ657" s="88"/>
      <c r="BK657" s="88"/>
      <c r="BL657" s="88"/>
      <c r="BM657" s="88"/>
      <c r="BN657" s="88"/>
      <c r="BO657" s="88"/>
      <c r="BP657" s="88"/>
      <c r="BQ657" s="88"/>
      <c r="BR657" s="88"/>
      <c r="BS657" s="88"/>
    </row>
    <row r="658">
      <c r="J658" s="73"/>
      <c r="K658" s="74"/>
      <c r="L658" s="74"/>
      <c r="M658" s="74"/>
      <c r="N658" s="74"/>
      <c r="S658" s="75"/>
      <c r="T658" s="145"/>
      <c r="U658" s="145"/>
      <c r="V658" s="145"/>
      <c r="W658" s="145"/>
      <c r="X658" s="145"/>
      <c r="Y658" s="145"/>
      <c r="Z658" s="145"/>
      <c r="AA658" s="145"/>
      <c r="AB658" s="145"/>
      <c r="AC658" s="145"/>
      <c r="AD658" s="145"/>
      <c r="AE658" s="145"/>
      <c r="AF658" s="145"/>
      <c r="AG658" s="145"/>
      <c r="AH658" s="145"/>
      <c r="AI658" s="145"/>
      <c r="AJ658" s="145"/>
      <c r="AK658" s="145"/>
      <c r="AL658" s="145"/>
      <c r="AM658" s="145"/>
      <c r="AN658" s="145"/>
      <c r="AO658" s="145"/>
      <c r="AP658" s="145"/>
      <c r="AQ658" s="145"/>
      <c r="AR658" s="145"/>
      <c r="AS658" s="145"/>
      <c r="AT658" s="124"/>
      <c r="AU658" s="124"/>
      <c r="AV658" s="124"/>
      <c r="AW658" s="124"/>
      <c r="AX658" s="124"/>
      <c r="AY658" s="124"/>
      <c r="AZ658" s="124"/>
      <c r="BA658" s="124"/>
      <c r="BB658" s="88"/>
      <c r="BC658" s="88"/>
      <c r="BD658" s="88"/>
      <c r="BE658" s="88"/>
      <c r="BF658" s="88"/>
      <c r="BG658" s="88"/>
      <c r="BH658" s="88"/>
      <c r="BI658" s="88"/>
      <c r="BJ658" s="88"/>
      <c r="BK658" s="88"/>
      <c r="BL658" s="88"/>
      <c r="BM658" s="88"/>
      <c r="BN658" s="88"/>
      <c r="BO658" s="88"/>
      <c r="BP658" s="88"/>
      <c r="BQ658" s="88"/>
      <c r="BR658" s="88"/>
      <c r="BS658" s="88"/>
    </row>
    <row r="659">
      <c r="J659" s="73"/>
      <c r="K659" s="74"/>
      <c r="L659" s="74"/>
      <c r="M659" s="74"/>
      <c r="N659" s="74"/>
      <c r="S659" s="75"/>
      <c r="T659" s="145"/>
      <c r="U659" s="145"/>
      <c r="V659" s="145"/>
      <c r="W659" s="145"/>
      <c r="X659" s="145"/>
      <c r="Y659" s="145"/>
      <c r="Z659" s="145"/>
      <c r="AA659" s="145"/>
      <c r="AB659" s="145"/>
      <c r="AC659" s="145"/>
      <c r="AD659" s="145"/>
      <c r="AE659" s="145"/>
      <c r="AF659" s="145"/>
      <c r="AG659" s="145"/>
      <c r="AH659" s="145"/>
      <c r="AI659" s="145"/>
      <c r="AJ659" s="145"/>
      <c r="AK659" s="145"/>
      <c r="AL659" s="145"/>
      <c r="AM659" s="145"/>
      <c r="AN659" s="145"/>
      <c r="AO659" s="145"/>
      <c r="AP659" s="145"/>
      <c r="AQ659" s="145"/>
      <c r="AR659" s="145"/>
      <c r="AS659" s="145"/>
      <c r="AT659" s="124"/>
      <c r="AU659" s="124"/>
      <c r="AV659" s="124"/>
      <c r="AW659" s="124"/>
      <c r="AX659" s="124"/>
      <c r="AY659" s="124"/>
      <c r="AZ659" s="124"/>
      <c r="BA659" s="124"/>
      <c r="BB659" s="88"/>
      <c r="BC659" s="88"/>
      <c r="BD659" s="88"/>
      <c r="BE659" s="88"/>
      <c r="BF659" s="88"/>
      <c r="BG659" s="88"/>
      <c r="BH659" s="88"/>
      <c r="BI659" s="88"/>
      <c r="BJ659" s="88"/>
      <c r="BK659" s="88"/>
      <c r="BL659" s="88"/>
      <c r="BM659" s="88"/>
      <c r="BN659" s="88"/>
      <c r="BO659" s="88"/>
      <c r="BP659" s="88"/>
      <c r="BQ659" s="88"/>
      <c r="BR659" s="88"/>
      <c r="BS659" s="88"/>
    </row>
    <row r="660">
      <c r="J660" s="73"/>
      <c r="K660" s="74"/>
      <c r="L660" s="74"/>
      <c r="M660" s="74"/>
      <c r="N660" s="74"/>
      <c r="S660" s="75"/>
      <c r="T660" s="145"/>
      <c r="U660" s="145"/>
      <c r="V660" s="145"/>
      <c r="W660" s="145"/>
      <c r="X660" s="145"/>
      <c r="Y660" s="145"/>
      <c r="Z660" s="145"/>
      <c r="AA660" s="145"/>
      <c r="AB660" s="145"/>
      <c r="AC660" s="145"/>
      <c r="AD660" s="145"/>
      <c r="AE660" s="145"/>
      <c r="AF660" s="145"/>
      <c r="AG660" s="145"/>
      <c r="AH660" s="145"/>
      <c r="AI660" s="145"/>
      <c r="AJ660" s="145"/>
      <c r="AK660" s="145"/>
      <c r="AL660" s="145"/>
      <c r="AM660" s="145"/>
      <c r="AN660" s="145"/>
      <c r="AO660" s="145"/>
      <c r="AP660" s="145"/>
      <c r="AQ660" s="145"/>
      <c r="AR660" s="145"/>
      <c r="AS660" s="145"/>
      <c r="AT660" s="124"/>
      <c r="AU660" s="124"/>
      <c r="AV660" s="124"/>
      <c r="AW660" s="124"/>
      <c r="AX660" s="124"/>
      <c r="AY660" s="124"/>
      <c r="AZ660" s="124"/>
      <c r="BA660" s="124"/>
      <c r="BB660" s="88"/>
      <c r="BC660" s="88"/>
      <c r="BD660" s="88"/>
      <c r="BE660" s="88"/>
      <c r="BF660" s="88"/>
      <c r="BG660" s="88"/>
      <c r="BH660" s="88"/>
      <c r="BI660" s="88"/>
      <c r="BJ660" s="88"/>
      <c r="BK660" s="88"/>
      <c r="BL660" s="88"/>
      <c r="BM660" s="88"/>
      <c r="BN660" s="88"/>
      <c r="BO660" s="88"/>
      <c r="BP660" s="88"/>
      <c r="BQ660" s="88"/>
      <c r="BR660" s="88"/>
      <c r="BS660" s="88"/>
    </row>
    <row r="661">
      <c r="J661" s="73"/>
      <c r="K661" s="74"/>
      <c r="L661" s="74"/>
      <c r="M661" s="74"/>
      <c r="N661" s="74"/>
      <c r="S661" s="75"/>
      <c r="T661" s="145"/>
      <c r="U661" s="145"/>
      <c r="V661" s="145"/>
      <c r="W661" s="145"/>
      <c r="X661" s="145"/>
      <c r="Y661" s="145"/>
      <c r="Z661" s="145"/>
      <c r="AA661" s="145"/>
      <c r="AB661" s="145"/>
      <c r="AC661" s="145"/>
      <c r="AD661" s="145"/>
      <c r="AE661" s="145"/>
      <c r="AF661" s="145"/>
      <c r="AG661" s="145"/>
      <c r="AH661" s="145"/>
      <c r="AI661" s="145"/>
      <c r="AJ661" s="145"/>
      <c r="AK661" s="145"/>
      <c r="AL661" s="145"/>
      <c r="AM661" s="145"/>
      <c r="AN661" s="145"/>
      <c r="AO661" s="145"/>
      <c r="AP661" s="145"/>
      <c r="AQ661" s="145"/>
      <c r="AR661" s="145"/>
      <c r="AS661" s="145"/>
      <c r="AT661" s="124"/>
      <c r="AU661" s="124"/>
      <c r="AV661" s="124"/>
      <c r="AW661" s="124"/>
      <c r="AX661" s="124"/>
      <c r="AY661" s="124"/>
      <c r="AZ661" s="124"/>
      <c r="BA661" s="124"/>
      <c r="BB661" s="88"/>
      <c r="BC661" s="88"/>
      <c r="BD661" s="88"/>
      <c r="BE661" s="88"/>
      <c r="BF661" s="88"/>
      <c r="BG661" s="88"/>
      <c r="BH661" s="88"/>
      <c r="BI661" s="88"/>
      <c r="BJ661" s="88"/>
      <c r="BK661" s="88"/>
      <c r="BL661" s="88"/>
      <c r="BM661" s="88"/>
      <c r="BN661" s="88"/>
      <c r="BO661" s="88"/>
      <c r="BP661" s="88"/>
      <c r="BQ661" s="88"/>
      <c r="BR661" s="88"/>
      <c r="BS661" s="88"/>
    </row>
    <row r="662">
      <c r="J662" s="73"/>
      <c r="K662" s="74"/>
      <c r="L662" s="74"/>
      <c r="M662" s="74"/>
      <c r="N662" s="74"/>
      <c r="S662" s="75"/>
      <c r="T662" s="145"/>
      <c r="U662" s="145"/>
      <c r="V662" s="145"/>
      <c r="W662" s="145"/>
      <c r="X662" s="145"/>
      <c r="Y662" s="145"/>
      <c r="Z662" s="145"/>
      <c r="AA662" s="145"/>
      <c r="AB662" s="145"/>
      <c r="AC662" s="145"/>
      <c r="AD662" s="145"/>
      <c r="AE662" s="145"/>
      <c r="AF662" s="145"/>
      <c r="AG662" s="145"/>
      <c r="AH662" s="145"/>
      <c r="AI662" s="145"/>
      <c r="AJ662" s="145"/>
      <c r="AK662" s="145"/>
      <c r="AL662" s="145"/>
      <c r="AM662" s="145"/>
      <c r="AN662" s="145"/>
      <c r="AO662" s="145"/>
      <c r="AP662" s="145"/>
      <c r="AQ662" s="145"/>
      <c r="AR662" s="145"/>
      <c r="AS662" s="145"/>
      <c r="AT662" s="124"/>
      <c r="AU662" s="124"/>
      <c r="AV662" s="124"/>
      <c r="AW662" s="124"/>
      <c r="AX662" s="124"/>
      <c r="AY662" s="124"/>
      <c r="AZ662" s="124"/>
      <c r="BA662" s="124"/>
      <c r="BB662" s="88"/>
      <c r="BC662" s="88"/>
      <c r="BD662" s="88"/>
      <c r="BE662" s="88"/>
      <c r="BF662" s="88"/>
      <c r="BG662" s="88"/>
      <c r="BH662" s="88"/>
      <c r="BI662" s="88"/>
      <c r="BJ662" s="88"/>
      <c r="BK662" s="88"/>
      <c r="BL662" s="88"/>
      <c r="BM662" s="88"/>
      <c r="BN662" s="88"/>
      <c r="BO662" s="88"/>
      <c r="BP662" s="88"/>
      <c r="BQ662" s="88"/>
      <c r="BR662" s="88"/>
      <c r="BS662" s="88"/>
    </row>
    <row r="663">
      <c r="J663" s="73"/>
      <c r="K663" s="74"/>
      <c r="L663" s="74"/>
      <c r="M663" s="74"/>
      <c r="N663" s="74"/>
      <c r="S663" s="75"/>
      <c r="T663" s="145"/>
      <c r="U663" s="145"/>
      <c r="V663" s="145"/>
      <c r="W663" s="145"/>
      <c r="X663" s="145"/>
      <c r="Y663" s="145"/>
      <c r="Z663" s="145"/>
      <c r="AA663" s="145"/>
      <c r="AB663" s="145"/>
      <c r="AC663" s="145"/>
      <c r="AD663" s="145"/>
      <c r="AE663" s="145"/>
      <c r="AF663" s="145"/>
      <c r="AG663" s="145"/>
      <c r="AH663" s="145"/>
      <c r="AI663" s="145"/>
      <c r="AJ663" s="145"/>
      <c r="AK663" s="145"/>
      <c r="AL663" s="145"/>
      <c r="AM663" s="145"/>
      <c r="AN663" s="145"/>
      <c r="AO663" s="145"/>
      <c r="AP663" s="145"/>
      <c r="AQ663" s="145"/>
      <c r="AR663" s="145"/>
      <c r="AS663" s="145"/>
      <c r="AT663" s="124"/>
      <c r="AU663" s="124"/>
      <c r="AV663" s="124"/>
      <c r="AW663" s="124"/>
      <c r="AX663" s="124"/>
      <c r="AY663" s="124"/>
      <c r="AZ663" s="124"/>
      <c r="BA663" s="124"/>
      <c r="BB663" s="88"/>
      <c r="BC663" s="88"/>
      <c r="BD663" s="88"/>
      <c r="BE663" s="88"/>
      <c r="BF663" s="88"/>
      <c r="BG663" s="88"/>
      <c r="BH663" s="88"/>
      <c r="BI663" s="88"/>
      <c r="BJ663" s="88"/>
      <c r="BK663" s="88"/>
      <c r="BL663" s="88"/>
      <c r="BM663" s="88"/>
      <c r="BN663" s="88"/>
      <c r="BO663" s="88"/>
      <c r="BP663" s="88"/>
      <c r="BQ663" s="88"/>
      <c r="BR663" s="88"/>
      <c r="BS663" s="88"/>
    </row>
    <row r="664">
      <c r="J664" s="73"/>
      <c r="K664" s="74"/>
      <c r="L664" s="74"/>
      <c r="M664" s="74"/>
      <c r="N664" s="74"/>
      <c r="S664" s="75"/>
      <c r="T664" s="145"/>
      <c r="U664" s="145"/>
      <c r="V664" s="145"/>
      <c r="W664" s="145"/>
      <c r="X664" s="145"/>
      <c r="Y664" s="145"/>
      <c r="Z664" s="145"/>
      <c r="AA664" s="145"/>
      <c r="AB664" s="145"/>
      <c r="AC664" s="145"/>
      <c r="AD664" s="145"/>
      <c r="AE664" s="145"/>
      <c r="AF664" s="145"/>
      <c r="AG664" s="145"/>
      <c r="AH664" s="145"/>
      <c r="AI664" s="145"/>
      <c r="AJ664" s="145"/>
      <c r="AK664" s="145"/>
      <c r="AL664" s="145"/>
      <c r="AM664" s="145"/>
      <c r="AN664" s="145"/>
      <c r="AO664" s="145"/>
      <c r="AP664" s="145"/>
      <c r="AQ664" s="145"/>
      <c r="AR664" s="145"/>
      <c r="AS664" s="145"/>
      <c r="AT664" s="124"/>
      <c r="AU664" s="124"/>
      <c r="AV664" s="124"/>
      <c r="AW664" s="124"/>
      <c r="AX664" s="124"/>
      <c r="AY664" s="124"/>
      <c r="AZ664" s="124"/>
      <c r="BA664" s="124"/>
      <c r="BB664" s="88"/>
      <c r="BC664" s="88"/>
      <c r="BD664" s="88"/>
      <c r="BE664" s="88"/>
      <c r="BF664" s="88"/>
      <c r="BG664" s="88"/>
      <c r="BH664" s="88"/>
      <c r="BI664" s="88"/>
      <c r="BJ664" s="88"/>
      <c r="BK664" s="88"/>
      <c r="BL664" s="88"/>
      <c r="BM664" s="88"/>
      <c r="BN664" s="88"/>
      <c r="BO664" s="88"/>
      <c r="BP664" s="88"/>
      <c r="BQ664" s="88"/>
      <c r="BR664" s="88"/>
      <c r="BS664" s="88"/>
    </row>
    <row r="665">
      <c r="J665" s="73"/>
      <c r="K665" s="74"/>
      <c r="L665" s="74"/>
      <c r="M665" s="74"/>
      <c r="N665" s="74"/>
      <c r="S665" s="75"/>
      <c r="T665" s="145"/>
      <c r="U665" s="145"/>
      <c r="V665" s="145"/>
      <c r="W665" s="145"/>
      <c r="X665" s="145"/>
      <c r="Y665" s="145"/>
      <c r="Z665" s="145"/>
      <c r="AA665" s="145"/>
      <c r="AB665" s="145"/>
      <c r="AC665" s="145"/>
      <c r="AD665" s="145"/>
      <c r="AE665" s="145"/>
      <c r="AF665" s="145"/>
      <c r="AG665" s="145"/>
      <c r="AH665" s="145"/>
      <c r="AI665" s="145"/>
      <c r="AJ665" s="145"/>
      <c r="AK665" s="145"/>
      <c r="AL665" s="145"/>
      <c r="AM665" s="145"/>
      <c r="AN665" s="145"/>
      <c r="AO665" s="145"/>
      <c r="AP665" s="145"/>
      <c r="AQ665" s="145"/>
      <c r="AR665" s="145"/>
      <c r="AS665" s="145"/>
      <c r="AT665" s="124"/>
      <c r="AU665" s="124"/>
      <c r="AV665" s="124"/>
      <c r="AW665" s="124"/>
      <c r="AX665" s="124"/>
      <c r="AY665" s="124"/>
      <c r="AZ665" s="124"/>
      <c r="BA665" s="124"/>
      <c r="BB665" s="88"/>
      <c r="BC665" s="88"/>
      <c r="BD665" s="88"/>
      <c r="BE665" s="88"/>
      <c r="BF665" s="88"/>
      <c r="BG665" s="88"/>
      <c r="BH665" s="88"/>
      <c r="BI665" s="88"/>
      <c r="BJ665" s="88"/>
      <c r="BK665" s="88"/>
      <c r="BL665" s="88"/>
      <c r="BM665" s="88"/>
      <c r="BN665" s="88"/>
      <c r="BO665" s="88"/>
      <c r="BP665" s="88"/>
      <c r="BQ665" s="88"/>
      <c r="BR665" s="88"/>
      <c r="BS665" s="88"/>
    </row>
    <row r="666">
      <c r="J666" s="73"/>
      <c r="K666" s="74"/>
      <c r="L666" s="74"/>
      <c r="M666" s="74"/>
      <c r="N666" s="74"/>
      <c r="S666" s="75"/>
      <c r="T666" s="145"/>
      <c r="U666" s="145"/>
      <c r="V666" s="145"/>
      <c r="W666" s="145"/>
      <c r="X666" s="145"/>
      <c r="Y666" s="145"/>
      <c r="Z666" s="145"/>
      <c r="AA666" s="145"/>
      <c r="AB666" s="145"/>
      <c r="AC666" s="145"/>
      <c r="AD666" s="145"/>
      <c r="AE666" s="145"/>
      <c r="AF666" s="145"/>
      <c r="AG666" s="145"/>
      <c r="AH666" s="145"/>
      <c r="AI666" s="145"/>
      <c r="AJ666" s="145"/>
      <c r="AK666" s="145"/>
      <c r="AL666" s="145"/>
      <c r="AM666" s="145"/>
      <c r="AN666" s="145"/>
      <c r="AO666" s="145"/>
      <c r="AP666" s="145"/>
      <c r="AQ666" s="145"/>
      <c r="AR666" s="145"/>
      <c r="AS666" s="145"/>
      <c r="AT666" s="124"/>
      <c r="AU666" s="124"/>
      <c r="AV666" s="124"/>
      <c r="AW666" s="124"/>
      <c r="AX666" s="124"/>
      <c r="AY666" s="124"/>
      <c r="AZ666" s="124"/>
      <c r="BA666" s="124"/>
      <c r="BB666" s="88"/>
      <c r="BC666" s="88"/>
      <c r="BD666" s="88"/>
      <c r="BE666" s="88"/>
      <c r="BF666" s="88"/>
      <c r="BG666" s="88"/>
      <c r="BH666" s="88"/>
      <c r="BI666" s="88"/>
      <c r="BJ666" s="88"/>
      <c r="BK666" s="88"/>
      <c r="BL666" s="88"/>
      <c r="BM666" s="88"/>
      <c r="BN666" s="88"/>
      <c r="BO666" s="88"/>
      <c r="BP666" s="88"/>
      <c r="BQ666" s="88"/>
      <c r="BR666" s="88"/>
      <c r="BS666" s="88"/>
    </row>
    <row r="667">
      <c r="J667" s="73"/>
      <c r="K667" s="74"/>
      <c r="L667" s="74"/>
      <c r="M667" s="74"/>
      <c r="N667" s="74"/>
      <c r="S667" s="75"/>
      <c r="T667" s="145"/>
      <c r="U667" s="145"/>
      <c r="V667" s="145"/>
      <c r="W667" s="145"/>
      <c r="X667" s="145"/>
      <c r="Y667" s="145"/>
      <c r="Z667" s="145"/>
      <c r="AA667" s="145"/>
      <c r="AB667" s="145"/>
      <c r="AC667" s="145"/>
      <c r="AD667" s="145"/>
      <c r="AE667" s="145"/>
      <c r="AF667" s="145"/>
      <c r="AG667" s="145"/>
      <c r="AH667" s="145"/>
      <c r="AI667" s="145"/>
      <c r="AJ667" s="145"/>
      <c r="AK667" s="145"/>
      <c r="AL667" s="145"/>
      <c r="AM667" s="145"/>
      <c r="AN667" s="145"/>
      <c r="AO667" s="145"/>
      <c r="AP667" s="145"/>
      <c r="AQ667" s="145"/>
      <c r="AR667" s="145"/>
      <c r="AS667" s="145"/>
      <c r="AT667" s="124"/>
      <c r="AU667" s="124"/>
      <c r="AV667" s="124"/>
      <c r="AW667" s="124"/>
      <c r="AX667" s="124"/>
      <c r="AY667" s="124"/>
      <c r="AZ667" s="124"/>
      <c r="BA667" s="124"/>
      <c r="BB667" s="88"/>
      <c r="BC667" s="88"/>
      <c r="BD667" s="88"/>
      <c r="BE667" s="88"/>
      <c r="BF667" s="88"/>
      <c r="BG667" s="88"/>
      <c r="BH667" s="88"/>
      <c r="BI667" s="88"/>
      <c r="BJ667" s="88"/>
      <c r="BK667" s="88"/>
      <c r="BL667" s="88"/>
      <c r="BM667" s="88"/>
      <c r="BN667" s="88"/>
      <c r="BO667" s="88"/>
      <c r="BP667" s="88"/>
      <c r="BQ667" s="88"/>
      <c r="BR667" s="88"/>
      <c r="BS667" s="88"/>
    </row>
    <row r="668">
      <c r="J668" s="73"/>
      <c r="K668" s="74"/>
      <c r="L668" s="74"/>
      <c r="M668" s="74"/>
      <c r="N668" s="74"/>
      <c r="S668" s="75"/>
      <c r="T668" s="145"/>
      <c r="U668" s="145"/>
      <c r="V668" s="145"/>
      <c r="W668" s="145"/>
      <c r="X668" s="145"/>
      <c r="Y668" s="145"/>
      <c r="Z668" s="145"/>
      <c r="AA668" s="145"/>
      <c r="AB668" s="145"/>
      <c r="AC668" s="145"/>
      <c r="AD668" s="145"/>
      <c r="AE668" s="145"/>
      <c r="AF668" s="145"/>
      <c r="AG668" s="145"/>
      <c r="AH668" s="145"/>
      <c r="AI668" s="145"/>
      <c r="AJ668" s="145"/>
      <c r="AK668" s="145"/>
      <c r="AL668" s="145"/>
      <c r="AM668" s="145"/>
      <c r="AN668" s="145"/>
      <c r="AO668" s="145"/>
      <c r="AP668" s="145"/>
      <c r="AQ668" s="145"/>
      <c r="AR668" s="145"/>
      <c r="AS668" s="145"/>
      <c r="AT668" s="124"/>
      <c r="AU668" s="124"/>
      <c r="AV668" s="124"/>
      <c r="AW668" s="124"/>
      <c r="AX668" s="124"/>
      <c r="AY668" s="124"/>
      <c r="AZ668" s="124"/>
      <c r="BA668" s="124"/>
      <c r="BB668" s="88"/>
      <c r="BC668" s="88"/>
      <c r="BD668" s="88"/>
      <c r="BE668" s="88"/>
      <c r="BF668" s="88"/>
      <c r="BG668" s="88"/>
      <c r="BH668" s="88"/>
      <c r="BI668" s="88"/>
      <c r="BJ668" s="88"/>
      <c r="BK668" s="88"/>
      <c r="BL668" s="88"/>
      <c r="BM668" s="88"/>
      <c r="BN668" s="88"/>
      <c r="BO668" s="88"/>
      <c r="BP668" s="88"/>
      <c r="BQ668" s="88"/>
      <c r="BR668" s="88"/>
      <c r="BS668" s="88"/>
    </row>
    <row r="669">
      <c r="J669" s="73"/>
      <c r="K669" s="74"/>
      <c r="L669" s="74"/>
      <c r="M669" s="74"/>
      <c r="N669" s="74"/>
      <c r="S669" s="75"/>
      <c r="T669" s="145"/>
      <c r="U669" s="145"/>
      <c r="V669" s="145"/>
      <c r="W669" s="145"/>
      <c r="X669" s="145"/>
      <c r="Y669" s="145"/>
      <c r="Z669" s="145"/>
      <c r="AA669" s="145"/>
      <c r="AB669" s="145"/>
      <c r="AC669" s="145"/>
      <c r="AD669" s="145"/>
      <c r="AE669" s="145"/>
      <c r="AF669" s="145"/>
      <c r="AG669" s="145"/>
      <c r="AH669" s="145"/>
      <c r="AI669" s="145"/>
      <c r="AJ669" s="145"/>
      <c r="AK669" s="145"/>
      <c r="AL669" s="145"/>
      <c r="AM669" s="145"/>
      <c r="AN669" s="145"/>
      <c r="AO669" s="145"/>
      <c r="AP669" s="145"/>
      <c r="AQ669" s="145"/>
      <c r="AR669" s="145"/>
      <c r="AS669" s="145"/>
      <c r="AT669" s="124"/>
      <c r="AU669" s="124"/>
      <c r="AV669" s="124"/>
      <c r="AW669" s="124"/>
      <c r="AX669" s="124"/>
      <c r="AY669" s="124"/>
      <c r="AZ669" s="124"/>
      <c r="BA669" s="124"/>
      <c r="BB669" s="88"/>
      <c r="BC669" s="88"/>
      <c r="BD669" s="88"/>
      <c r="BE669" s="88"/>
      <c r="BF669" s="88"/>
      <c r="BG669" s="88"/>
      <c r="BH669" s="88"/>
      <c r="BI669" s="88"/>
      <c r="BJ669" s="88"/>
      <c r="BK669" s="88"/>
      <c r="BL669" s="88"/>
      <c r="BM669" s="88"/>
      <c r="BN669" s="88"/>
      <c r="BO669" s="88"/>
      <c r="BP669" s="88"/>
      <c r="BQ669" s="88"/>
      <c r="BR669" s="88"/>
      <c r="BS669" s="88"/>
    </row>
    <row r="670">
      <c r="J670" s="73"/>
      <c r="K670" s="74"/>
      <c r="L670" s="74"/>
      <c r="M670" s="74"/>
      <c r="N670" s="74"/>
      <c r="S670" s="75"/>
      <c r="T670" s="145"/>
      <c r="U670" s="145"/>
      <c r="V670" s="145"/>
      <c r="W670" s="145"/>
      <c r="X670" s="145"/>
      <c r="Y670" s="145"/>
      <c r="Z670" s="145"/>
      <c r="AA670" s="145"/>
      <c r="AB670" s="145"/>
      <c r="AC670" s="145"/>
      <c r="AD670" s="145"/>
      <c r="AE670" s="145"/>
      <c r="AF670" s="145"/>
      <c r="AG670" s="145"/>
      <c r="AH670" s="145"/>
      <c r="AI670" s="145"/>
      <c r="AJ670" s="145"/>
      <c r="AK670" s="145"/>
      <c r="AL670" s="145"/>
      <c r="AM670" s="145"/>
      <c r="AN670" s="145"/>
      <c r="AO670" s="145"/>
      <c r="AP670" s="145"/>
      <c r="AQ670" s="145"/>
      <c r="AR670" s="145"/>
      <c r="AS670" s="145"/>
      <c r="AT670" s="124"/>
      <c r="AU670" s="124"/>
      <c r="AV670" s="124"/>
      <c r="AW670" s="124"/>
      <c r="AX670" s="124"/>
      <c r="AY670" s="124"/>
      <c r="AZ670" s="124"/>
      <c r="BA670" s="124"/>
      <c r="BB670" s="88"/>
      <c r="BC670" s="88"/>
      <c r="BD670" s="88"/>
      <c r="BE670" s="88"/>
      <c r="BF670" s="88"/>
      <c r="BG670" s="88"/>
      <c r="BH670" s="88"/>
      <c r="BI670" s="88"/>
      <c r="BJ670" s="88"/>
      <c r="BK670" s="88"/>
      <c r="BL670" s="88"/>
      <c r="BM670" s="88"/>
      <c r="BN670" s="88"/>
      <c r="BO670" s="88"/>
      <c r="BP670" s="88"/>
      <c r="BQ670" s="88"/>
      <c r="BR670" s="88"/>
      <c r="BS670" s="88"/>
    </row>
    <row r="671">
      <c r="J671" s="73"/>
      <c r="K671" s="74"/>
      <c r="L671" s="74"/>
      <c r="M671" s="74"/>
      <c r="N671" s="74"/>
      <c r="S671" s="75"/>
      <c r="T671" s="145"/>
      <c r="U671" s="145"/>
      <c r="V671" s="145"/>
      <c r="W671" s="145"/>
      <c r="X671" s="145"/>
      <c r="Y671" s="145"/>
      <c r="Z671" s="145"/>
      <c r="AA671" s="145"/>
      <c r="AB671" s="145"/>
      <c r="AC671" s="145"/>
      <c r="AD671" s="145"/>
      <c r="AE671" s="145"/>
      <c r="AF671" s="145"/>
      <c r="AG671" s="145"/>
      <c r="AH671" s="145"/>
      <c r="AI671" s="145"/>
      <c r="AJ671" s="145"/>
      <c r="AK671" s="145"/>
      <c r="AL671" s="145"/>
      <c r="AM671" s="145"/>
      <c r="AN671" s="145"/>
      <c r="AO671" s="145"/>
      <c r="AP671" s="145"/>
      <c r="AQ671" s="145"/>
      <c r="AR671" s="145"/>
      <c r="AS671" s="145"/>
      <c r="AT671" s="124"/>
      <c r="AU671" s="124"/>
      <c r="AV671" s="124"/>
      <c r="AW671" s="124"/>
      <c r="AX671" s="124"/>
      <c r="AY671" s="124"/>
      <c r="AZ671" s="124"/>
      <c r="BA671" s="124"/>
      <c r="BB671" s="88"/>
      <c r="BC671" s="88"/>
      <c r="BD671" s="88"/>
      <c r="BE671" s="88"/>
      <c r="BF671" s="88"/>
      <c r="BG671" s="88"/>
      <c r="BH671" s="88"/>
      <c r="BI671" s="88"/>
      <c r="BJ671" s="88"/>
      <c r="BK671" s="88"/>
      <c r="BL671" s="88"/>
      <c r="BM671" s="88"/>
      <c r="BN671" s="88"/>
      <c r="BO671" s="88"/>
      <c r="BP671" s="88"/>
      <c r="BQ671" s="88"/>
      <c r="BR671" s="88"/>
      <c r="BS671" s="88"/>
    </row>
    <row r="672">
      <c r="J672" s="73"/>
      <c r="K672" s="74"/>
      <c r="L672" s="74"/>
      <c r="M672" s="74"/>
      <c r="N672" s="74"/>
      <c r="S672" s="75"/>
      <c r="T672" s="145"/>
      <c r="U672" s="145"/>
      <c r="V672" s="145"/>
      <c r="W672" s="145"/>
      <c r="X672" s="145"/>
      <c r="Y672" s="145"/>
      <c r="Z672" s="145"/>
      <c r="AA672" s="145"/>
      <c r="AB672" s="145"/>
      <c r="AC672" s="145"/>
      <c r="AD672" s="145"/>
      <c r="AE672" s="145"/>
      <c r="AF672" s="145"/>
      <c r="AG672" s="145"/>
      <c r="AH672" s="145"/>
      <c r="AI672" s="145"/>
      <c r="AJ672" s="145"/>
      <c r="AK672" s="145"/>
      <c r="AL672" s="145"/>
      <c r="AM672" s="145"/>
      <c r="AN672" s="145"/>
      <c r="AO672" s="145"/>
      <c r="AP672" s="145"/>
      <c r="AQ672" s="145"/>
      <c r="AR672" s="145"/>
      <c r="AS672" s="145"/>
      <c r="AT672" s="124"/>
      <c r="AU672" s="124"/>
      <c r="AV672" s="124"/>
      <c r="AW672" s="124"/>
      <c r="AX672" s="124"/>
      <c r="AY672" s="124"/>
      <c r="AZ672" s="124"/>
      <c r="BA672" s="124"/>
      <c r="BB672" s="88"/>
      <c r="BC672" s="88"/>
      <c r="BD672" s="88"/>
      <c r="BE672" s="88"/>
      <c r="BF672" s="88"/>
      <c r="BG672" s="88"/>
      <c r="BH672" s="88"/>
      <c r="BI672" s="88"/>
      <c r="BJ672" s="88"/>
      <c r="BK672" s="88"/>
      <c r="BL672" s="88"/>
      <c r="BM672" s="88"/>
      <c r="BN672" s="88"/>
      <c r="BO672" s="88"/>
      <c r="BP672" s="88"/>
      <c r="BQ672" s="88"/>
      <c r="BR672" s="88"/>
      <c r="BS672" s="88"/>
    </row>
    <row r="673">
      <c r="J673" s="73"/>
      <c r="K673" s="74"/>
      <c r="L673" s="74"/>
      <c r="M673" s="74"/>
      <c r="N673" s="74"/>
      <c r="S673" s="75"/>
      <c r="T673" s="145"/>
      <c r="U673" s="145"/>
      <c r="V673" s="145"/>
      <c r="W673" s="145"/>
      <c r="X673" s="145"/>
      <c r="Y673" s="145"/>
      <c r="Z673" s="145"/>
      <c r="AA673" s="145"/>
      <c r="AB673" s="145"/>
      <c r="AC673" s="145"/>
      <c r="AD673" s="145"/>
      <c r="AE673" s="145"/>
      <c r="AF673" s="145"/>
      <c r="AG673" s="145"/>
      <c r="AH673" s="145"/>
      <c r="AI673" s="145"/>
      <c r="AJ673" s="145"/>
      <c r="AK673" s="145"/>
      <c r="AL673" s="145"/>
      <c r="AM673" s="145"/>
      <c r="AN673" s="145"/>
      <c r="AO673" s="145"/>
      <c r="AP673" s="145"/>
      <c r="AQ673" s="145"/>
      <c r="AR673" s="145"/>
      <c r="AS673" s="145"/>
      <c r="AT673" s="124"/>
      <c r="AU673" s="124"/>
      <c r="AV673" s="124"/>
      <c r="AW673" s="124"/>
      <c r="AX673" s="124"/>
      <c r="AY673" s="124"/>
      <c r="AZ673" s="124"/>
      <c r="BA673" s="124"/>
      <c r="BB673" s="88"/>
      <c r="BC673" s="88"/>
      <c r="BD673" s="88"/>
      <c r="BE673" s="88"/>
      <c r="BF673" s="88"/>
      <c r="BG673" s="88"/>
      <c r="BH673" s="88"/>
      <c r="BI673" s="88"/>
      <c r="BJ673" s="88"/>
      <c r="BK673" s="88"/>
      <c r="BL673" s="88"/>
      <c r="BM673" s="88"/>
      <c r="BN673" s="88"/>
      <c r="BO673" s="88"/>
      <c r="BP673" s="88"/>
      <c r="BQ673" s="88"/>
      <c r="BR673" s="88"/>
      <c r="BS673" s="88"/>
    </row>
    <row r="674">
      <c r="J674" s="73"/>
      <c r="K674" s="74"/>
      <c r="L674" s="74"/>
      <c r="M674" s="74"/>
      <c r="N674" s="74"/>
      <c r="S674" s="75"/>
      <c r="T674" s="145"/>
      <c r="U674" s="145"/>
      <c r="V674" s="145"/>
      <c r="W674" s="145"/>
      <c r="X674" s="145"/>
      <c r="Y674" s="145"/>
      <c r="Z674" s="145"/>
      <c r="AA674" s="145"/>
      <c r="AB674" s="145"/>
      <c r="AC674" s="145"/>
      <c r="AD674" s="145"/>
      <c r="AE674" s="145"/>
      <c r="AF674" s="145"/>
      <c r="AG674" s="145"/>
      <c r="AH674" s="145"/>
      <c r="AI674" s="145"/>
      <c r="AJ674" s="145"/>
      <c r="AK674" s="145"/>
      <c r="AL674" s="145"/>
      <c r="AM674" s="145"/>
      <c r="AN674" s="145"/>
      <c r="AO674" s="145"/>
      <c r="AP674" s="145"/>
      <c r="AQ674" s="145"/>
      <c r="AR674" s="145"/>
      <c r="AS674" s="145"/>
      <c r="AT674" s="124"/>
      <c r="AU674" s="124"/>
      <c r="AV674" s="124"/>
      <c r="AW674" s="124"/>
      <c r="AX674" s="124"/>
      <c r="AY674" s="124"/>
      <c r="AZ674" s="124"/>
      <c r="BA674" s="124"/>
      <c r="BB674" s="88"/>
      <c r="BC674" s="88"/>
      <c r="BD674" s="88"/>
      <c r="BE674" s="88"/>
      <c r="BF674" s="88"/>
      <c r="BG674" s="88"/>
      <c r="BH674" s="88"/>
      <c r="BI674" s="88"/>
      <c r="BJ674" s="88"/>
      <c r="BK674" s="88"/>
      <c r="BL674" s="88"/>
      <c r="BM674" s="88"/>
      <c r="BN674" s="88"/>
      <c r="BO674" s="88"/>
      <c r="BP674" s="88"/>
      <c r="BQ674" s="88"/>
      <c r="BR674" s="88"/>
      <c r="BS674" s="88"/>
    </row>
    <row r="675">
      <c r="J675" s="73"/>
      <c r="K675" s="74"/>
      <c r="L675" s="74"/>
      <c r="M675" s="74"/>
      <c r="N675" s="74"/>
      <c r="S675" s="75"/>
      <c r="T675" s="145"/>
      <c r="U675" s="145"/>
      <c r="V675" s="145"/>
      <c r="W675" s="145"/>
      <c r="X675" s="145"/>
      <c r="Y675" s="145"/>
      <c r="Z675" s="145"/>
      <c r="AA675" s="145"/>
      <c r="AB675" s="145"/>
      <c r="AC675" s="145"/>
      <c r="AD675" s="145"/>
      <c r="AE675" s="145"/>
      <c r="AF675" s="145"/>
      <c r="AG675" s="145"/>
      <c r="AH675" s="145"/>
      <c r="AI675" s="145"/>
      <c r="AJ675" s="145"/>
      <c r="AK675" s="145"/>
      <c r="AL675" s="145"/>
      <c r="AM675" s="145"/>
      <c r="AN675" s="145"/>
      <c r="AO675" s="145"/>
      <c r="AP675" s="145"/>
      <c r="AQ675" s="145"/>
      <c r="AR675" s="145"/>
      <c r="AS675" s="145"/>
      <c r="AT675" s="124"/>
      <c r="AU675" s="124"/>
      <c r="AV675" s="124"/>
      <c r="AW675" s="124"/>
      <c r="AX675" s="124"/>
      <c r="AY675" s="124"/>
      <c r="AZ675" s="124"/>
      <c r="BA675" s="124"/>
      <c r="BB675" s="88"/>
      <c r="BC675" s="88"/>
      <c r="BD675" s="88"/>
      <c r="BE675" s="88"/>
      <c r="BF675" s="88"/>
      <c r="BG675" s="88"/>
      <c r="BH675" s="88"/>
      <c r="BI675" s="88"/>
      <c r="BJ675" s="88"/>
      <c r="BK675" s="88"/>
      <c r="BL675" s="88"/>
      <c r="BM675" s="88"/>
      <c r="BN675" s="88"/>
      <c r="BO675" s="88"/>
      <c r="BP675" s="88"/>
      <c r="BQ675" s="88"/>
      <c r="BR675" s="88"/>
      <c r="BS675" s="88"/>
    </row>
    <row r="676">
      <c r="J676" s="73"/>
      <c r="K676" s="74"/>
      <c r="L676" s="74"/>
      <c r="M676" s="74"/>
      <c r="N676" s="74"/>
      <c r="S676" s="75"/>
      <c r="T676" s="145"/>
      <c r="U676" s="145"/>
      <c r="V676" s="145"/>
      <c r="W676" s="145"/>
      <c r="X676" s="145"/>
      <c r="Y676" s="145"/>
      <c r="Z676" s="145"/>
      <c r="AA676" s="145"/>
      <c r="AB676" s="145"/>
      <c r="AC676" s="145"/>
      <c r="AD676" s="145"/>
      <c r="AE676" s="145"/>
      <c r="AF676" s="145"/>
      <c r="AG676" s="145"/>
      <c r="AH676" s="145"/>
      <c r="AI676" s="145"/>
      <c r="AJ676" s="145"/>
      <c r="AK676" s="145"/>
      <c r="AL676" s="145"/>
      <c r="AM676" s="145"/>
      <c r="AN676" s="145"/>
      <c r="AO676" s="145"/>
      <c r="AP676" s="145"/>
      <c r="AQ676" s="145"/>
      <c r="AR676" s="145"/>
      <c r="AS676" s="145"/>
      <c r="AT676" s="124"/>
      <c r="AU676" s="124"/>
      <c r="AV676" s="124"/>
      <c r="AW676" s="124"/>
      <c r="AX676" s="124"/>
      <c r="AY676" s="124"/>
      <c r="AZ676" s="124"/>
      <c r="BA676" s="124"/>
      <c r="BB676" s="88"/>
      <c r="BC676" s="88"/>
      <c r="BD676" s="88"/>
      <c r="BE676" s="88"/>
      <c r="BF676" s="88"/>
      <c r="BG676" s="88"/>
      <c r="BH676" s="88"/>
      <c r="BI676" s="88"/>
      <c r="BJ676" s="88"/>
      <c r="BK676" s="88"/>
      <c r="BL676" s="88"/>
      <c r="BM676" s="88"/>
      <c r="BN676" s="88"/>
      <c r="BO676" s="88"/>
      <c r="BP676" s="88"/>
      <c r="BQ676" s="88"/>
      <c r="BR676" s="88"/>
      <c r="BS676" s="88"/>
    </row>
    <row r="677">
      <c r="J677" s="73"/>
      <c r="K677" s="74"/>
      <c r="L677" s="74"/>
      <c r="M677" s="74"/>
      <c r="N677" s="74"/>
      <c r="S677" s="75"/>
      <c r="T677" s="145"/>
      <c r="U677" s="145"/>
      <c r="V677" s="145"/>
      <c r="W677" s="145"/>
      <c r="X677" s="145"/>
      <c r="Y677" s="145"/>
      <c r="Z677" s="145"/>
      <c r="AA677" s="145"/>
      <c r="AB677" s="145"/>
      <c r="AC677" s="145"/>
      <c r="AD677" s="145"/>
      <c r="AE677" s="145"/>
      <c r="AF677" s="145"/>
      <c r="AG677" s="145"/>
      <c r="AH677" s="145"/>
      <c r="AI677" s="145"/>
      <c r="AJ677" s="145"/>
      <c r="AK677" s="145"/>
      <c r="AL677" s="145"/>
      <c r="AM677" s="145"/>
      <c r="AN677" s="145"/>
      <c r="AO677" s="145"/>
      <c r="AP677" s="145"/>
      <c r="AQ677" s="145"/>
      <c r="AR677" s="145"/>
      <c r="AS677" s="145"/>
      <c r="AT677" s="124"/>
      <c r="AU677" s="124"/>
      <c r="AV677" s="124"/>
      <c r="AW677" s="124"/>
      <c r="AX677" s="124"/>
      <c r="AY677" s="124"/>
      <c r="AZ677" s="124"/>
      <c r="BA677" s="124"/>
      <c r="BB677" s="88"/>
      <c r="BC677" s="88"/>
      <c r="BD677" s="88"/>
      <c r="BE677" s="88"/>
      <c r="BF677" s="88"/>
      <c r="BG677" s="88"/>
      <c r="BH677" s="88"/>
      <c r="BI677" s="88"/>
      <c r="BJ677" s="88"/>
      <c r="BK677" s="88"/>
      <c r="BL677" s="88"/>
      <c r="BM677" s="88"/>
      <c r="BN677" s="88"/>
      <c r="BO677" s="88"/>
      <c r="BP677" s="88"/>
      <c r="BQ677" s="88"/>
      <c r="BR677" s="88"/>
      <c r="BS677" s="88"/>
    </row>
    <row r="678">
      <c r="J678" s="73"/>
      <c r="K678" s="74"/>
      <c r="L678" s="74"/>
      <c r="M678" s="74"/>
      <c r="N678" s="74"/>
      <c r="S678" s="75"/>
      <c r="T678" s="145"/>
      <c r="U678" s="145"/>
      <c r="V678" s="145"/>
      <c r="W678" s="145"/>
      <c r="X678" s="145"/>
      <c r="Y678" s="145"/>
      <c r="Z678" s="145"/>
      <c r="AA678" s="145"/>
      <c r="AB678" s="145"/>
      <c r="AC678" s="145"/>
      <c r="AD678" s="145"/>
      <c r="AE678" s="145"/>
      <c r="AF678" s="145"/>
      <c r="AG678" s="145"/>
      <c r="AH678" s="145"/>
      <c r="AI678" s="145"/>
      <c r="AJ678" s="145"/>
      <c r="AK678" s="145"/>
      <c r="AL678" s="145"/>
      <c r="AM678" s="145"/>
      <c r="AN678" s="145"/>
      <c r="AO678" s="145"/>
      <c r="AP678" s="145"/>
      <c r="AQ678" s="145"/>
      <c r="AR678" s="145"/>
      <c r="AS678" s="145"/>
      <c r="AT678" s="124"/>
      <c r="AU678" s="124"/>
      <c r="AV678" s="124"/>
      <c r="AW678" s="124"/>
      <c r="AX678" s="124"/>
      <c r="AY678" s="124"/>
      <c r="AZ678" s="124"/>
      <c r="BA678" s="124"/>
      <c r="BB678" s="88"/>
      <c r="BC678" s="88"/>
      <c r="BD678" s="88"/>
      <c r="BE678" s="88"/>
      <c r="BF678" s="88"/>
      <c r="BG678" s="88"/>
      <c r="BH678" s="88"/>
      <c r="BI678" s="88"/>
      <c r="BJ678" s="88"/>
      <c r="BK678" s="88"/>
      <c r="BL678" s="88"/>
      <c r="BM678" s="88"/>
      <c r="BN678" s="88"/>
      <c r="BO678" s="88"/>
      <c r="BP678" s="88"/>
      <c r="BQ678" s="88"/>
      <c r="BR678" s="88"/>
      <c r="BS678" s="88"/>
    </row>
    <row r="679">
      <c r="J679" s="73"/>
      <c r="K679" s="74"/>
      <c r="L679" s="74"/>
      <c r="M679" s="74"/>
      <c r="N679" s="74"/>
      <c r="S679" s="75"/>
      <c r="T679" s="145"/>
      <c r="U679" s="145"/>
      <c r="V679" s="145"/>
      <c r="W679" s="145"/>
      <c r="X679" s="145"/>
      <c r="Y679" s="145"/>
      <c r="Z679" s="145"/>
      <c r="AA679" s="145"/>
      <c r="AB679" s="145"/>
      <c r="AC679" s="145"/>
      <c r="AD679" s="145"/>
      <c r="AE679" s="145"/>
      <c r="AF679" s="145"/>
      <c r="AG679" s="145"/>
      <c r="AH679" s="145"/>
      <c r="AI679" s="145"/>
      <c r="AJ679" s="145"/>
      <c r="AK679" s="145"/>
      <c r="AL679" s="145"/>
      <c r="AM679" s="145"/>
      <c r="AN679" s="145"/>
      <c r="AO679" s="145"/>
      <c r="AP679" s="145"/>
      <c r="AQ679" s="145"/>
      <c r="AR679" s="145"/>
      <c r="AS679" s="145"/>
      <c r="AT679" s="124"/>
      <c r="AU679" s="124"/>
      <c r="AV679" s="124"/>
      <c r="AW679" s="124"/>
      <c r="AX679" s="124"/>
      <c r="AY679" s="124"/>
      <c r="AZ679" s="124"/>
      <c r="BA679" s="124"/>
      <c r="BB679" s="88"/>
      <c r="BC679" s="88"/>
      <c r="BD679" s="88"/>
      <c r="BE679" s="88"/>
      <c r="BF679" s="88"/>
      <c r="BG679" s="88"/>
      <c r="BH679" s="88"/>
      <c r="BI679" s="88"/>
      <c r="BJ679" s="88"/>
      <c r="BK679" s="88"/>
      <c r="BL679" s="88"/>
      <c r="BM679" s="88"/>
      <c r="BN679" s="88"/>
      <c r="BO679" s="88"/>
      <c r="BP679" s="88"/>
      <c r="BQ679" s="88"/>
      <c r="BR679" s="88"/>
      <c r="BS679" s="88"/>
    </row>
    <row r="680">
      <c r="J680" s="73"/>
      <c r="K680" s="74"/>
      <c r="L680" s="74"/>
      <c r="M680" s="74"/>
      <c r="N680" s="74"/>
      <c r="S680" s="75"/>
      <c r="T680" s="145"/>
      <c r="U680" s="145"/>
      <c r="V680" s="145"/>
      <c r="W680" s="145"/>
      <c r="X680" s="145"/>
      <c r="Y680" s="145"/>
      <c r="Z680" s="145"/>
      <c r="AA680" s="145"/>
      <c r="AB680" s="145"/>
      <c r="AC680" s="145"/>
      <c r="AD680" s="145"/>
      <c r="AE680" s="145"/>
      <c r="AF680" s="145"/>
      <c r="AG680" s="145"/>
      <c r="AH680" s="145"/>
      <c r="AI680" s="145"/>
      <c r="AJ680" s="145"/>
      <c r="AK680" s="145"/>
      <c r="AL680" s="145"/>
      <c r="AM680" s="145"/>
      <c r="AN680" s="145"/>
      <c r="AO680" s="145"/>
      <c r="AP680" s="145"/>
      <c r="AQ680" s="145"/>
      <c r="AR680" s="145"/>
      <c r="AS680" s="145"/>
      <c r="AT680" s="124"/>
      <c r="AU680" s="124"/>
      <c r="AV680" s="124"/>
      <c r="AW680" s="124"/>
      <c r="AX680" s="124"/>
      <c r="AY680" s="124"/>
      <c r="AZ680" s="124"/>
      <c r="BA680" s="124"/>
      <c r="BB680" s="88"/>
      <c r="BC680" s="88"/>
      <c r="BD680" s="88"/>
      <c r="BE680" s="88"/>
      <c r="BF680" s="88"/>
      <c r="BG680" s="88"/>
      <c r="BH680" s="88"/>
      <c r="BI680" s="88"/>
      <c r="BJ680" s="88"/>
      <c r="BK680" s="88"/>
      <c r="BL680" s="88"/>
      <c r="BM680" s="88"/>
      <c r="BN680" s="88"/>
      <c r="BO680" s="88"/>
      <c r="BP680" s="88"/>
      <c r="BQ680" s="88"/>
      <c r="BR680" s="88"/>
      <c r="BS680" s="88"/>
    </row>
    <row r="681">
      <c r="J681" s="73"/>
      <c r="K681" s="74"/>
      <c r="L681" s="74"/>
      <c r="M681" s="74"/>
      <c r="N681" s="74"/>
      <c r="S681" s="75"/>
      <c r="T681" s="145"/>
      <c r="U681" s="145"/>
      <c r="V681" s="145"/>
      <c r="W681" s="145"/>
      <c r="X681" s="145"/>
      <c r="Y681" s="145"/>
      <c r="Z681" s="145"/>
      <c r="AA681" s="145"/>
      <c r="AB681" s="145"/>
      <c r="AC681" s="145"/>
      <c r="AD681" s="145"/>
      <c r="AE681" s="145"/>
      <c r="AF681" s="145"/>
      <c r="AG681" s="145"/>
      <c r="AH681" s="145"/>
      <c r="AI681" s="145"/>
      <c r="AJ681" s="145"/>
      <c r="AK681" s="145"/>
      <c r="AL681" s="145"/>
      <c r="AM681" s="145"/>
      <c r="AN681" s="145"/>
      <c r="AO681" s="145"/>
      <c r="AP681" s="145"/>
      <c r="AQ681" s="145"/>
      <c r="AR681" s="145"/>
      <c r="AS681" s="145"/>
      <c r="AT681" s="124"/>
      <c r="AU681" s="124"/>
      <c r="AV681" s="124"/>
      <c r="AW681" s="124"/>
      <c r="AX681" s="124"/>
      <c r="AY681" s="124"/>
      <c r="AZ681" s="124"/>
      <c r="BA681" s="124"/>
      <c r="BB681" s="88"/>
      <c r="BC681" s="88"/>
      <c r="BD681" s="88"/>
      <c r="BE681" s="88"/>
      <c r="BF681" s="88"/>
      <c r="BG681" s="88"/>
      <c r="BH681" s="88"/>
      <c r="BI681" s="88"/>
      <c r="BJ681" s="88"/>
      <c r="BK681" s="88"/>
      <c r="BL681" s="88"/>
      <c r="BM681" s="88"/>
      <c r="BN681" s="88"/>
      <c r="BO681" s="88"/>
      <c r="BP681" s="88"/>
      <c r="BQ681" s="88"/>
      <c r="BR681" s="88"/>
      <c r="BS681" s="88"/>
    </row>
    <row r="682">
      <c r="J682" s="73"/>
      <c r="K682" s="74"/>
      <c r="L682" s="74"/>
      <c r="M682" s="74"/>
      <c r="N682" s="74"/>
      <c r="S682" s="75"/>
      <c r="T682" s="145"/>
      <c r="U682" s="145"/>
      <c r="V682" s="145"/>
      <c r="W682" s="145"/>
      <c r="X682" s="145"/>
      <c r="Y682" s="145"/>
      <c r="Z682" s="145"/>
      <c r="AA682" s="145"/>
      <c r="AB682" s="145"/>
      <c r="AC682" s="145"/>
      <c r="AD682" s="145"/>
      <c r="AE682" s="145"/>
      <c r="AF682" s="145"/>
      <c r="AG682" s="145"/>
      <c r="AH682" s="145"/>
      <c r="AI682" s="145"/>
      <c r="AJ682" s="145"/>
      <c r="AK682" s="145"/>
      <c r="AL682" s="145"/>
      <c r="AM682" s="145"/>
      <c r="AN682" s="145"/>
      <c r="AO682" s="145"/>
      <c r="AP682" s="145"/>
      <c r="AQ682" s="145"/>
      <c r="AR682" s="145"/>
      <c r="AS682" s="145"/>
      <c r="AT682" s="124"/>
      <c r="AU682" s="124"/>
      <c r="AV682" s="124"/>
      <c r="AW682" s="124"/>
      <c r="AX682" s="124"/>
      <c r="AY682" s="124"/>
      <c r="AZ682" s="124"/>
      <c r="BA682" s="124"/>
      <c r="BB682" s="88"/>
      <c r="BC682" s="88"/>
      <c r="BD682" s="88"/>
      <c r="BE682" s="88"/>
      <c r="BF682" s="88"/>
      <c r="BG682" s="88"/>
      <c r="BH682" s="88"/>
      <c r="BI682" s="88"/>
      <c r="BJ682" s="88"/>
      <c r="BK682" s="88"/>
      <c r="BL682" s="88"/>
      <c r="BM682" s="88"/>
      <c r="BN682" s="88"/>
      <c r="BO682" s="88"/>
      <c r="BP682" s="88"/>
      <c r="BQ682" s="88"/>
      <c r="BR682" s="88"/>
      <c r="BS682" s="88"/>
    </row>
    <row r="683">
      <c r="J683" s="73"/>
      <c r="K683" s="74"/>
      <c r="L683" s="74"/>
      <c r="M683" s="74"/>
      <c r="N683" s="74"/>
      <c r="S683" s="75"/>
      <c r="T683" s="145"/>
      <c r="U683" s="145"/>
      <c r="V683" s="145"/>
      <c r="W683" s="145"/>
      <c r="X683" s="145"/>
      <c r="Y683" s="145"/>
      <c r="Z683" s="145"/>
      <c r="AA683" s="145"/>
      <c r="AB683" s="145"/>
      <c r="AC683" s="145"/>
      <c r="AD683" s="145"/>
      <c r="AE683" s="145"/>
      <c r="AF683" s="145"/>
      <c r="AG683" s="145"/>
      <c r="AH683" s="145"/>
      <c r="AI683" s="145"/>
      <c r="AJ683" s="145"/>
      <c r="AK683" s="145"/>
      <c r="AL683" s="145"/>
      <c r="AM683" s="145"/>
      <c r="AN683" s="145"/>
      <c r="AO683" s="145"/>
      <c r="AP683" s="145"/>
      <c r="AQ683" s="145"/>
      <c r="AR683" s="145"/>
      <c r="AS683" s="145"/>
      <c r="AT683" s="124"/>
      <c r="AU683" s="124"/>
      <c r="AV683" s="124"/>
      <c r="AW683" s="124"/>
      <c r="AX683" s="124"/>
      <c r="AY683" s="124"/>
      <c r="AZ683" s="124"/>
      <c r="BA683" s="124"/>
      <c r="BB683" s="88"/>
      <c r="BC683" s="88"/>
      <c r="BD683" s="88"/>
      <c r="BE683" s="88"/>
      <c r="BF683" s="88"/>
      <c r="BG683" s="88"/>
      <c r="BH683" s="88"/>
      <c r="BI683" s="88"/>
      <c r="BJ683" s="88"/>
      <c r="BK683" s="88"/>
      <c r="BL683" s="88"/>
      <c r="BM683" s="88"/>
      <c r="BN683" s="88"/>
      <c r="BO683" s="88"/>
      <c r="BP683" s="88"/>
      <c r="BQ683" s="88"/>
      <c r="BR683" s="88"/>
      <c r="BS683" s="88"/>
    </row>
    <row r="684">
      <c r="J684" s="73"/>
      <c r="K684" s="74"/>
      <c r="L684" s="74"/>
      <c r="M684" s="74"/>
      <c r="N684" s="74"/>
      <c r="S684" s="75"/>
      <c r="T684" s="145"/>
      <c r="U684" s="145"/>
      <c r="V684" s="145"/>
      <c r="W684" s="145"/>
      <c r="X684" s="145"/>
      <c r="Y684" s="145"/>
      <c r="Z684" s="145"/>
      <c r="AA684" s="145"/>
      <c r="AB684" s="145"/>
      <c r="AC684" s="145"/>
      <c r="AD684" s="145"/>
      <c r="AE684" s="145"/>
      <c r="AF684" s="145"/>
      <c r="AG684" s="145"/>
      <c r="AH684" s="145"/>
      <c r="AI684" s="145"/>
      <c r="AJ684" s="145"/>
      <c r="AK684" s="145"/>
      <c r="AL684" s="145"/>
      <c r="AM684" s="145"/>
      <c r="AN684" s="145"/>
      <c r="AO684" s="145"/>
      <c r="AP684" s="145"/>
      <c r="AQ684" s="145"/>
      <c r="AR684" s="145"/>
      <c r="AS684" s="145"/>
      <c r="AT684" s="124"/>
      <c r="AU684" s="124"/>
      <c r="AV684" s="124"/>
      <c r="AW684" s="124"/>
      <c r="AX684" s="124"/>
      <c r="AY684" s="124"/>
      <c r="AZ684" s="124"/>
      <c r="BA684" s="124"/>
      <c r="BB684" s="88"/>
      <c r="BC684" s="88"/>
      <c r="BD684" s="88"/>
      <c r="BE684" s="88"/>
      <c r="BF684" s="88"/>
      <c r="BG684" s="88"/>
      <c r="BH684" s="88"/>
      <c r="BI684" s="88"/>
      <c r="BJ684" s="88"/>
      <c r="BK684" s="88"/>
      <c r="BL684" s="88"/>
      <c r="BM684" s="88"/>
      <c r="BN684" s="88"/>
      <c r="BO684" s="88"/>
      <c r="BP684" s="88"/>
      <c r="BQ684" s="88"/>
      <c r="BR684" s="88"/>
      <c r="BS684" s="88"/>
    </row>
    <row r="685">
      <c r="J685" s="73"/>
      <c r="K685" s="74"/>
      <c r="L685" s="74"/>
      <c r="M685" s="74"/>
      <c r="N685" s="74"/>
      <c r="S685" s="75"/>
      <c r="T685" s="145"/>
      <c r="U685" s="145"/>
      <c r="V685" s="145"/>
      <c r="W685" s="145"/>
      <c r="X685" s="145"/>
      <c r="Y685" s="145"/>
      <c r="Z685" s="145"/>
      <c r="AA685" s="145"/>
      <c r="AB685" s="145"/>
      <c r="AC685" s="145"/>
      <c r="AD685" s="145"/>
      <c r="AE685" s="145"/>
      <c r="AF685" s="145"/>
      <c r="AG685" s="145"/>
      <c r="AH685" s="145"/>
      <c r="AI685" s="145"/>
      <c r="AJ685" s="145"/>
      <c r="AK685" s="145"/>
      <c r="AL685" s="145"/>
      <c r="AM685" s="145"/>
      <c r="AN685" s="145"/>
      <c r="AO685" s="145"/>
      <c r="AP685" s="145"/>
      <c r="AQ685" s="145"/>
      <c r="AR685" s="145"/>
      <c r="AS685" s="145"/>
      <c r="AT685" s="124"/>
      <c r="AU685" s="124"/>
      <c r="AV685" s="124"/>
      <c r="AW685" s="124"/>
      <c r="AX685" s="124"/>
      <c r="AY685" s="124"/>
      <c r="AZ685" s="124"/>
      <c r="BA685" s="124"/>
      <c r="BB685" s="88"/>
      <c r="BC685" s="88"/>
      <c r="BD685" s="88"/>
      <c r="BE685" s="88"/>
      <c r="BF685" s="88"/>
      <c r="BG685" s="88"/>
      <c r="BH685" s="88"/>
      <c r="BI685" s="88"/>
      <c r="BJ685" s="88"/>
      <c r="BK685" s="88"/>
      <c r="BL685" s="88"/>
      <c r="BM685" s="88"/>
      <c r="BN685" s="88"/>
      <c r="BO685" s="88"/>
      <c r="BP685" s="88"/>
      <c r="BQ685" s="88"/>
      <c r="BR685" s="88"/>
      <c r="BS685" s="88"/>
    </row>
    <row r="686">
      <c r="J686" s="73"/>
      <c r="K686" s="74"/>
      <c r="L686" s="74"/>
      <c r="M686" s="74"/>
      <c r="N686" s="74"/>
      <c r="S686" s="75"/>
      <c r="T686" s="145"/>
      <c r="U686" s="145"/>
      <c r="V686" s="145"/>
      <c r="W686" s="145"/>
      <c r="X686" s="145"/>
      <c r="Y686" s="145"/>
      <c r="Z686" s="145"/>
      <c r="AA686" s="145"/>
      <c r="AB686" s="145"/>
      <c r="AC686" s="145"/>
      <c r="AD686" s="145"/>
      <c r="AE686" s="145"/>
      <c r="AF686" s="145"/>
      <c r="AG686" s="145"/>
      <c r="AH686" s="145"/>
      <c r="AI686" s="145"/>
      <c r="AJ686" s="145"/>
      <c r="AK686" s="145"/>
      <c r="AL686" s="145"/>
      <c r="AM686" s="145"/>
      <c r="AN686" s="145"/>
      <c r="AO686" s="145"/>
      <c r="AP686" s="145"/>
      <c r="AQ686" s="145"/>
      <c r="AR686" s="145"/>
      <c r="AS686" s="145"/>
      <c r="AT686" s="124"/>
      <c r="AU686" s="124"/>
      <c r="AV686" s="124"/>
      <c r="AW686" s="124"/>
      <c r="AX686" s="124"/>
      <c r="AY686" s="124"/>
      <c r="AZ686" s="124"/>
      <c r="BA686" s="124"/>
      <c r="BB686" s="88"/>
      <c r="BC686" s="88"/>
      <c r="BD686" s="88"/>
      <c r="BE686" s="88"/>
      <c r="BF686" s="88"/>
      <c r="BG686" s="88"/>
      <c r="BH686" s="88"/>
      <c r="BI686" s="88"/>
      <c r="BJ686" s="88"/>
      <c r="BK686" s="88"/>
      <c r="BL686" s="88"/>
      <c r="BM686" s="88"/>
      <c r="BN686" s="88"/>
      <c r="BO686" s="88"/>
      <c r="BP686" s="88"/>
      <c r="BQ686" s="88"/>
      <c r="BR686" s="88"/>
      <c r="BS686" s="88"/>
    </row>
    <row r="687">
      <c r="J687" s="73"/>
      <c r="K687" s="74"/>
      <c r="L687" s="74"/>
      <c r="M687" s="74"/>
      <c r="N687" s="74"/>
      <c r="S687" s="75"/>
      <c r="T687" s="145"/>
      <c r="U687" s="145"/>
      <c r="V687" s="145"/>
      <c r="W687" s="145"/>
      <c r="X687" s="145"/>
      <c r="Y687" s="145"/>
      <c r="Z687" s="145"/>
      <c r="AA687" s="145"/>
      <c r="AB687" s="145"/>
      <c r="AC687" s="145"/>
      <c r="AD687" s="145"/>
      <c r="AE687" s="145"/>
      <c r="AF687" s="145"/>
      <c r="AG687" s="145"/>
      <c r="AH687" s="145"/>
      <c r="AI687" s="145"/>
      <c r="AJ687" s="145"/>
      <c r="AK687" s="145"/>
      <c r="AL687" s="145"/>
      <c r="AM687" s="145"/>
      <c r="AN687" s="145"/>
      <c r="AO687" s="145"/>
      <c r="AP687" s="145"/>
      <c r="AQ687" s="145"/>
      <c r="AR687" s="145"/>
      <c r="AS687" s="145"/>
      <c r="AT687" s="124"/>
      <c r="AU687" s="124"/>
      <c r="AV687" s="124"/>
      <c r="AW687" s="124"/>
      <c r="AX687" s="124"/>
      <c r="AY687" s="124"/>
      <c r="AZ687" s="124"/>
      <c r="BA687" s="124"/>
      <c r="BB687" s="88"/>
      <c r="BC687" s="88"/>
      <c r="BD687" s="88"/>
      <c r="BE687" s="88"/>
      <c r="BF687" s="88"/>
      <c r="BG687" s="88"/>
      <c r="BH687" s="88"/>
      <c r="BI687" s="88"/>
      <c r="BJ687" s="88"/>
      <c r="BK687" s="88"/>
      <c r="BL687" s="88"/>
      <c r="BM687" s="88"/>
      <c r="BN687" s="88"/>
      <c r="BO687" s="88"/>
      <c r="BP687" s="88"/>
      <c r="BQ687" s="88"/>
      <c r="BR687" s="88"/>
      <c r="BS687" s="88"/>
    </row>
    <row r="688">
      <c r="J688" s="73"/>
      <c r="K688" s="74"/>
      <c r="L688" s="74"/>
      <c r="M688" s="74"/>
      <c r="N688" s="74"/>
      <c r="S688" s="75"/>
      <c r="T688" s="145"/>
      <c r="U688" s="145"/>
      <c r="V688" s="145"/>
      <c r="W688" s="145"/>
      <c r="X688" s="145"/>
      <c r="Y688" s="145"/>
      <c r="Z688" s="145"/>
      <c r="AA688" s="145"/>
      <c r="AB688" s="145"/>
      <c r="AC688" s="145"/>
      <c r="AD688" s="145"/>
      <c r="AE688" s="145"/>
      <c r="AF688" s="145"/>
      <c r="AG688" s="145"/>
      <c r="AH688" s="145"/>
      <c r="AI688" s="145"/>
      <c r="AJ688" s="145"/>
      <c r="AK688" s="145"/>
      <c r="AL688" s="145"/>
      <c r="AM688" s="145"/>
      <c r="AN688" s="145"/>
      <c r="AO688" s="145"/>
      <c r="AP688" s="145"/>
      <c r="AQ688" s="145"/>
      <c r="AR688" s="145"/>
      <c r="AS688" s="145"/>
      <c r="AT688" s="124"/>
      <c r="AU688" s="124"/>
      <c r="AV688" s="124"/>
      <c r="AW688" s="124"/>
      <c r="AX688" s="124"/>
      <c r="AY688" s="124"/>
      <c r="AZ688" s="124"/>
      <c r="BA688" s="124"/>
      <c r="BB688" s="88"/>
      <c r="BC688" s="88"/>
      <c r="BD688" s="88"/>
      <c r="BE688" s="88"/>
      <c r="BF688" s="88"/>
      <c r="BG688" s="88"/>
      <c r="BH688" s="88"/>
      <c r="BI688" s="88"/>
      <c r="BJ688" s="88"/>
      <c r="BK688" s="88"/>
      <c r="BL688" s="88"/>
      <c r="BM688" s="88"/>
      <c r="BN688" s="88"/>
      <c r="BO688" s="88"/>
      <c r="BP688" s="88"/>
      <c r="BQ688" s="88"/>
      <c r="BR688" s="88"/>
      <c r="BS688" s="88"/>
    </row>
    <row r="689">
      <c r="J689" s="73"/>
      <c r="K689" s="74"/>
      <c r="L689" s="74"/>
      <c r="M689" s="74"/>
      <c r="N689" s="74"/>
      <c r="S689" s="75"/>
      <c r="T689" s="145"/>
      <c r="U689" s="145"/>
      <c r="V689" s="145"/>
      <c r="W689" s="145"/>
      <c r="X689" s="145"/>
      <c r="Y689" s="145"/>
      <c r="Z689" s="145"/>
      <c r="AA689" s="145"/>
      <c r="AB689" s="145"/>
      <c r="AC689" s="145"/>
      <c r="AD689" s="145"/>
      <c r="AE689" s="145"/>
      <c r="AF689" s="145"/>
      <c r="AG689" s="145"/>
      <c r="AH689" s="145"/>
      <c r="AI689" s="145"/>
      <c r="AJ689" s="145"/>
      <c r="AK689" s="145"/>
      <c r="AL689" s="145"/>
      <c r="AM689" s="145"/>
      <c r="AN689" s="145"/>
      <c r="AO689" s="145"/>
      <c r="AP689" s="145"/>
      <c r="AQ689" s="145"/>
      <c r="AR689" s="145"/>
      <c r="AS689" s="145"/>
      <c r="AT689" s="124"/>
      <c r="AU689" s="124"/>
      <c r="AV689" s="124"/>
      <c r="AW689" s="124"/>
      <c r="AX689" s="124"/>
      <c r="AY689" s="124"/>
      <c r="AZ689" s="124"/>
      <c r="BA689" s="124"/>
      <c r="BB689" s="88"/>
      <c r="BC689" s="88"/>
      <c r="BD689" s="88"/>
      <c r="BE689" s="88"/>
      <c r="BF689" s="88"/>
      <c r="BG689" s="88"/>
      <c r="BH689" s="88"/>
      <c r="BI689" s="88"/>
      <c r="BJ689" s="88"/>
      <c r="BK689" s="88"/>
      <c r="BL689" s="88"/>
      <c r="BM689" s="88"/>
      <c r="BN689" s="88"/>
      <c r="BO689" s="88"/>
      <c r="BP689" s="88"/>
      <c r="BQ689" s="88"/>
      <c r="BR689" s="88"/>
      <c r="BS689" s="88"/>
    </row>
    <row r="690">
      <c r="J690" s="73"/>
      <c r="K690" s="74"/>
      <c r="L690" s="74"/>
      <c r="M690" s="74"/>
      <c r="N690" s="74"/>
      <c r="S690" s="75"/>
      <c r="T690" s="145"/>
      <c r="U690" s="145"/>
      <c r="V690" s="145"/>
      <c r="W690" s="145"/>
      <c r="X690" s="145"/>
      <c r="Y690" s="145"/>
      <c r="Z690" s="145"/>
      <c r="AA690" s="145"/>
      <c r="AB690" s="145"/>
      <c r="AC690" s="145"/>
      <c r="AD690" s="145"/>
      <c r="AE690" s="145"/>
      <c r="AF690" s="145"/>
      <c r="AG690" s="145"/>
      <c r="AH690" s="145"/>
      <c r="AI690" s="145"/>
      <c r="AJ690" s="145"/>
      <c r="AK690" s="145"/>
      <c r="AL690" s="145"/>
      <c r="AM690" s="145"/>
      <c r="AN690" s="145"/>
      <c r="AO690" s="145"/>
      <c r="AP690" s="145"/>
      <c r="AQ690" s="145"/>
      <c r="AR690" s="145"/>
      <c r="AS690" s="145"/>
      <c r="AT690" s="124"/>
      <c r="AU690" s="124"/>
      <c r="AV690" s="124"/>
      <c r="AW690" s="124"/>
      <c r="AX690" s="124"/>
      <c r="AY690" s="124"/>
      <c r="AZ690" s="124"/>
      <c r="BA690" s="124"/>
      <c r="BB690" s="88"/>
      <c r="BC690" s="88"/>
      <c r="BD690" s="88"/>
      <c r="BE690" s="88"/>
      <c r="BF690" s="88"/>
      <c r="BG690" s="88"/>
      <c r="BH690" s="88"/>
      <c r="BI690" s="88"/>
      <c r="BJ690" s="88"/>
      <c r="BK690" s="88"/>
      <c r="BL690" s="88"/>
      <c r="BM690" s="88"/>
      <c r="BN690" s="88"/>
      <c r="BO690" s="88"/>
      <c r="BP690" s="88"/>
      <c r="BQ690" s="88"/>
      <c r="BR690" s="88"/>
      <c r="BS690" s="88"/>
    </row>
    <row r="691">
      <c r="J691" s="73"/>
      <c r="K691" s="74"/>
      <c r="L691" s="74"/>
      <c r="M691" s="74"/>
      <c r="N691" s="74"/>
      <c r="S691" s="75"/>
      <c r="T691" s="145"/>
      <c r="U691" s="145"/>
      <c r="V691" s="145"/>
      <c r="W691" s="145"/>
      <c r="X691" s="145"/>
      <c r="Y691" s="145"/>
      <c r="Z691" s="145"/>
      <c r="AA691" s="145"/>
      <c r="AB691" s="145"/>
      <c r="AC691" s="145"/>
      <c r="AD691" s="145"/>
      <c r="AE691" s="145"/>
      <c r="AF691" s="145"/>
      <c r="AG691" s="145"/>
      <c r="AH691" s="145"/>
      <c r="AI691" s="145"/>
      <c r="AJ691" s="145"/>
      <c r="AK691" s="145"/>
      <c r="AL691" s="145"/>
      <c r="AM691" s="145"/>
      <c r="AN691" s="145"/>
      <c r="AO691" s="145"/>
      <c r="AP691" s="145"/>
      <c r="AQ691" s="145"/>
      <c r="AR691" s="145"/>
      <c r="AS691" s="145"/>
      <c r="AT691" s="124"/>
      <c r="AU691" s="124"/>
      <c r="AV691" s="124"/>
      <c r="AW691" s="124"/>
      <c r="AX691" s="124"/>
      <c r="AY691" s="124"/>
      <c r="AZ691" s="124"/>
      <c r="BA691" s="124"/>
      <c r="BB691" s="88"/>
      <c r="BC691" s="88"/>
      <c r="BD691" s="88"/>
      <c r="BE691" s="88"/>
      <c r="BF691" s="88"/>
      <c r="BG691" s="88"/>
      <c r="BH691" s="88"/>
      <c r="BI691" s="88"/>
      <c r="BJ691" s="88"/>
      <c r="BK691" s="88"/>
      <c r="BL691" s="88"/>
      <c r="BM691" s="88"/>
      <c r="BN691" s="88"/>
      <c r="BO691" s="88"/>
      <c r="BP691" s="88"/>
      <c r="BQ691" s="88"/>
      <c r="BR691" s="88"/>
      <c r="BS691" s="88"/>
    </row>
    <row r="692">
      <c r="J692" s="73"/>
      <c r="K692" s="74"/>
      <c r="L692" s="74"/>
      <c r="M692" s="74"/>
      <c r="N692" s="74"/>
      <c r="S692" s="75"/>
      <c r="T692" s="145"/>
      <c r="U692" s="145"/>
      <c r="V692" s="145"/>
      <c r="W692" s="145"/>
      <c r="X692" s="145"/>
      <c r="Y692" s="145"/>
      <c r="Z692" s="145"/>
      <c r="AA692" s="145"/>
      <c r="AB692" s="145"/>
      <c r="AC692" s="145"/>
      <c r="AD692" s="145"/>
      <c r="AE692" s="145"/>
      <c r="AF692" s="145"/>
      <c r="AG692" s="145"/>
      <c r="AH692" s="145"/>
      <c r="AI692" s="145"/>
      <c r="AJ692" s="145"/>
      <c r="AK692" s="145"/>
      <c r="AL692" s="145"/>
      <c r="AM692" s="145"/>
      <c r="AN692" s="145"/>
      <c r="AO692" s="145"/>
      <c r="AP692" s="145"/>
      <c r="AQ692" s="145"/>
      <c r="AR692" s="145"/>
      <c r="AS692" s="145"/>
      <c r="AT692" s="124"/>
      <c r="AU692" s="124"/>
      <c r="AV692" s="124"/>
      <c r="AW692" s="124"/>
      <c r="AX692" s="124"/>
      <c r="AY692" s="124"/>
      <c r="AZ692" s="124"/>
      <c r="BA692" s="124"/>
      <c r="BB692" s="88"/>
      <c r="BC692" s="88"/>
      <c r="BD692" s="88"/>
      <c r="BE692" s="88"/>
      <c r="BF692" s="88"/>
      <c r="BG692" s="88"/>
      <c r="BH692" s="88"/>
      <c r="BI692" s="88"/>
      <c r="BJ692" s="88"/>
      <c r="BK692" s="88"/>
      <c r="BL692" s="88"/>
      <c r="BM692" s="88"/>
      <c r="BN692" s="88"/>
      <c r="BO692" s="88"/>
      <c r="BP692" s="88"/>
      <c r="BQ692" s="88"/>
      <c r="BR692" s="88"/>
      <c r="BS692" s="88"/>
    </row>
    <row r="693">
      <c r="J693" s="73"/>
      <c r="K693" s="74"/>
      <c r="L693" s="74"/>
      <c r="M693" s="74"/>
      <c r="N693" s="74"/>
      <c r="S693" s="75"/>
      <c r="T693" s="145"/>
      <c r="U693" s="145"/>
      <c r="V693" s="145"/>
      <c r="W693" s="145"/>
      <c r="X693" s="145"/>
      <c r="Y693" s="145"/>
      <c r="Z693" s="145"/>
      <c r="AA693" s="145"/>
      <c r="AB693" s="145"/>
      <c r="AC693" s="145"/>
      <c r="AD693" s="145"/>
      <c r="AE693" s="145"/>
      <c r="AF693" s="145"/>
      <c r="AG693" s="145"/>
      <c r="AH693" s="145"/>
      <c r="AI693" s="145"/>
      <c r="AJ693" s="145"/>
      <c r="AK693" s="145"/>
      <c r="AL693" s="145"/>
      <c r="AM693" s="145"/>
      <c r="AN693" s="145"/>
      <c r="AO693" s="145"/>
      <c r="AP693" s="145"/>
      <c r="AQ693" s="145"/>
      <c r="AR693" s="145"/>
      <c r="AS693" s="145"/>
      <c r="AT693" s="124"/>
      <c r="AU693" s="124"/>
      <c r="AV693" s="124"/>
      <c r="AW693" s="124"/>
      <c r="AX693" s="124"/>
      <c r="AY693" s="124"/>
      <c r="AZ693" s="124"/>
      <c r="BA693" s="124"/>
      <c r="BB693" s="88"/>
      <c r="BC693" s="88"/>
      <c r="BD693" s="88"/>
      <c r="BE693" s="88"/>
      <c r="BF693" s="88"/>
      <c r="BG693" s="88"/>
      <c r="BH693" s="88"/>
      <c r="BI693" s="88"/>
      <c r="BJ693" s="88"/>
      <c r="BK693" s="88"/>
      <c r="BL693" s="88"/>
      <c r="BM693" s="88"/>
      <c r="BN693" s="88"/>
      <c r="BO693" s="88"/>
      <c r="BP693" s="88"/>
      <c r="BQ693" s="88"/>
      <c r="BR693" s="88"/>
      <c r="BS693" s="88"/>
    </row>
    <row r="694">
      <c r="J694" s="73"/>
      <c r="K694" s="74"/>
      <c r="L694" s="74"/>
      <c r="M694" s="74"/>
      <c r="N694" s="74"/>
      <c r="S694" s="75"/>
      <c r="T694" s="145"/>
      <c r="U694" s="145"/>
      <c r="V694" s="145"/>
      <c r="W694" s="145"/>
      <c r="X694" s="145"/>
      <c r="Y694" s="145"/>
      <c r="Z694" s="145"/>
      <c r="AA694" s="145"/>
      <c r="AB694" s="145"/>
      <c r="AC694" s="145"/>
      <c r="AD694" s="145"/>
      <c r="AE694" s="145"/>
      <c r="AF694" s="145"/>
      <c r="AG694" s="145"/>
      <c r="AH694" s="145"/>
      <c r="AI694" s="145"/>
      <c r="AJ694" s="145"/>
      <c r="AK694" s="145"/>
      <c r="AL694" s="145"/>
      <c r="AM694" s="145"/>
      <c r="AN694" s="145"/>
      <c r="AO694" s="145"/>
      <c r="AP694" s="145"/>
      <c r="AQ694" s="145"/>
      <c r="AR694" s="145"/>
      <c r="AS694" s="145"/>
      <c r="AT694" s="124"/>
      <c r="AU694" s="124"/>
      <c r="AV694" s="124"/>
      <c r="AW694" s="124"/>
      <c r="AX694" s="124"/>
      <c r="AY694" s="124"/>
      <c r="AZ694" s="124"/>
      <c r="BA694" s="124"/>
      <c r="BB694" s="88"/>
      <c r="BC694" s="88"/>
      <c r="BD694" s="88"/>
      <c r="BE694" s="88"/>
      <c r="BF694" s="88"/>
      <c r="BG694" s="88"/>
      <c r="BH694" s="88"/>
      <c r="BI694" s="88"/>
      <c r="BJ694" s="88"/>
      <c r="BK694" s="88"/>
      <c r="BL694" s="88"/>
      <c r="BM694" s="88"/>
      <c r="BN694" s="88"/>
      <c r="BO694" s="88"/>
      <c r="BP694" s="88"/>
      <c r="BQ694" s="88"/>
      <c r="BR694" s="88"/>
      <c r="BS694" s="88"/>
    </row>
    <row r="695">
      <c r="J695" s="73"/>
      <c r="K695" s="74"/>
      <c r="L695" s="74"/>
      <c r="M695" s="74"/>
      <c r="N695" s="74"/>
      <c r="S695" s="75"/>
      <c r="T695" s="145"/>
      <c r="U695" s="145"/>
      <c r="V695" s="145"/>
      <c r="W695" s="145"/>
      <c r="X695" s="145"/>
      <c r="Y695" s="145"/>
      <c r="Z695" s="145"/>
      <c r="AA695" s="145"/>
      <c r="AB695" s="145"/>
      <c r="AC695" s="145"/>
      <c r="AD695" s="145"/>
      <c r="AE695" s="145"/>
      <c r="AF695" s="145"/>
      <c r="AG695" s="145"/>
      <c r="AH695" s="145"/>
      <c r="AI695" s="145"/>
      <c r="AJ695" s="145"/>
      <c r="AK695" s="145"/>
      <c r="AL695" s="145"/>
      <c r="AM695" s="145"/>
      <c r="AN695" s="145"/>
      <c r="AO695" s="145"/>
      <c r="AP695" s="145"/>
      <c r="AQ695" s="145"/>
      <c r="AR695" s="145"/>
      <c r="AS695" s="145"/>
      <c r="AT695" s="124"/>
      <c r="AU695" s="124"/>
      <c r="AV695" s="124"/>
      <c r="AW695" s="124"/>
      <c r="AX695" s="124"/>
      <c r="AY695" s="124"/>
      <c r="AZ695" s="124"/>
      <c r="BA695" s="124"/>
      <c r="BB695" s="88"/>
      <c r="BC695" s="88"/>
      <c r="BD695" s="88"/>
      <c r="BE695" s="88"/>
      <c r="BF695" s="88"/>
      <c r="BG695" s="88"/>
      <c r="BH695" s="88"/>
      <c r="BI695" s="88"/>
      <c r="BJ695" s="88"/>
      <c r="BK695" s="88"/>
      <c r="BL695" s="88"/>
      <c r="BM695" s="88"/>
      <c r="BN695" s="88"/>
      <c r="BO695" s="88"/>
      <c r="BP695" s="88"/>
      <c r="BQ695" s="88"/>
      <c r="BR695" s="88"/>
      <c r="BS695" s="88"/>
    </row>
    <row r="696">
      <c r="J696" s="73"/>
      <c r="K696" s="74"/>
      <c r="L696" s="74"/>
      <c r="M696" s="74"/>
      <c r="N696" s="74"/>
      <c r="S696" s="75"/>
      <c r="T696" s="145"/>
      <c r="U696" s="145"/>
      <c r="V696" s="145"/>
      <c r="W696" s="145"/>
      <c r="X696" s="145"/>
      <c r="Y696" s="145"/>
      <c r="Z696" s="145"/>
      <c r="AA696" s="145"/>
      <c r="AB696" s="145"/>
      <c r="AC696" s="145"/>
      <c r="AD696" s="145"/>
      <c r="AE696" s="145"/>
      <c r="AF696" s="145"/>
      <c r="AG696" s="145"/>
      <c r="AH696" s="145"/>
      <c r="AI696" s="145"/>
      <c r="AJ696" s="145"/>
      <c r="AK696" s="145"/>
      <c r="AL696" s="145"/>
      <c r="AM696" s="145"/>
      <c r="AN696" s="145"/>
      <c r="AO696" s="145"/>
      <c r="AP696" s="145"/>
      <c r="AQ696" s="145"/>
      <c r="AR696" s="145"/>
      <c r="AS696" s="145"/>
      <c r="AT696" s="124"/>
      <c r="AU696" s="124"/>
      <c r="AV696" s="124"/>
      <c r="AW696" s="124"/>
      <c r="AX696" s="124"/>
      <c r="AY696" s="124"/>
      <c r="AZ696" s="124"/>
      <c r="BA696" s="124"/>
      <c r="BB696" s="88"/>
      <c r="BC696" s="88"/>
      <c r="BD696" s="88"/>
      <c r="BE696" s="88"/>
      <c r="BF696" s="88"/>
      <c r="BG696" s="88"/>
      <c r="BH696" s="88"/>
      <c r="BI696" s="88"/>
      <c r="BJ696" s="88"/>
      <c r="BK696" s="88"/>
      <c r="BL696" s="88"/>
      <c r="BM696" s="88"/>
      <c r="BN696" s="88"/>
      <c r="BO696" s="88"/>
      <c r="BP696" s="88"/>
      <c r="BQ696" s="88"/>
      <c r="BR696" s="88"/>
      <c r="BS696" s="88"/>
    </row>
    <row r="697">
      <c r="J697" s="73"/>
      <c r="K697" s="74"/>
      <c r="L697" s="74"/>
      <c r="M697" s="74"/>
      <c r="N697" s="74"/>
      <c r="S697" s="75"/>
      <c r="T697" s="145"/>
      <c r="U697" s="145"/>
      <c r="V697" s="145"/>
      <c r="W697" s="145"/>
      <c r="X697" s="145"/>
      <c r="Y697" s="145"/>
      <c r="Z697" s="145"/>
      <c r="AA697" s="145"/>
      <c r="AB697" s="145"/>
      <c r="AC697" s="145"/>
      <c r="AD697" s="145"/>
      <c r="AE697" s="145"/>
      <c r="AF697" s="145"/>
      <c r="AG697" s="145"/>
      <c r="AH697" s="145"/>
      <c r="AI697" s="145"/>
      <c r="AJ697" s="145"/>
      <c r="AK697" s="145"/>
      <c r="AL697" s="145"/>
      <c r="AM697" s="145"/>
      <c r="AN697" s="145"/>
      <c r="AO697" s="145"/>
      <c r="AP697" s="145"/>
      <c r="AQ697" s="145"/>
      <c r="AR697" s="145"/>
      <c r="AS697" s="145"/>
      <c r="AT697" s="124"/>
      <c r="AU697" s="124"/>
      <c r="AV697" s="124"/>
      <c r="AW697" s="124"/>
      <c r="AX697" s="124"/>
      <c r="AY697" s="124"/>
      <c r="AZ697" s="124"/>
      <c r="BA697" s="124"/>
      <c r="BB697" s="88"/>
      <c r="BC697" s="88"/>
      <c r="BD697" s="88"/>
      <c r="BE697" s="88"/>
      <c r="BF697" s="88"/>
      <c r="BG697" s="88"/>
      <c r="BH697" s="88"/>
      <c r="BI697" s="88"/>
      <c r="BJ697" s="88"/>
      <c r="BK697" s="88"/>
      <c r="BL697" s="88"/>
      <c r="BM697" s="88"/>
      <c r="BN697" s="88"/>
      <c r="BO697" s="88"/>
      <c r="BP697" s="88"/>
      <c r="BQ697" s="88"/>
      <c r="BR697" s="88"/>
      <c r="BS697" s="88"/>
    </row>
    <row r="698">
      <c r="J698" s="73"/>
      <c r="K698" s="74"/>
      <c r="L698" s="74"/>
      <c r="M698" s="74"/>
      <c r="N698" s="74"/>
      <c r="S698" s="75"/>
      <c r="T698" s="145"/>
      <c r="U698" s="145"/>
      <c r="V698" s="145"/>
      <c r="W698" s="145"/>
      <c r="X698" s="145"/>
      <c r="Y698" s="145"/>
      <c r="Z698" s="145"/>
      <c r="AA698" s="145"/>
      <c r="AB698" s="145"/>
      <c r="AC698" s="145"/>
      <c r="AD698" s="145"/>
      <c r="AE698" s="145"/>
      <c r="AF698" s="145"/>
      <c r="AG698" s="145"/>
      <c r="AH698" s="145"/>
      <c r="AI698" s="145"/>
      <c r="AJ698" s="145"/>
      <c r="AK698" s="145"/>
      <c r="AL698" s="145"/>
      <c r="AM698" s="145"/>
      <c r="AN698" s="145"/>
      <c r="AO698" s="145"/>
      <c r="AP698" s="145"/>
      <c r="AQ698" s="145"/>
      <c r="AR698" s="145"/>
      <c r="AS698" s="145"/>
      <c r="AT698" s="124"/>
      <c r="AU698" s="124"/>
      <c r="AV698" s="124"/>
      <c r="AW698" s="124"/>
      <c r="AX698" s="124"/>
      <c r="AY698" s="124"/>
      <c r="AZ698" s="124"/>
      <c r="BA698" s="124"/>
      <c r="BB698" s="88"/>
      <c r="BC698" s="88"/>
      <c r="BD698" s="88"/>
      <c r="BE698" s="88"/>
      <c r="BF698" s="88"/>
      <c r="BG698" s="88"/>
      <c r="BH698" s="88"/>
      <c r="BI698" s="88"/>
      <c r="BJ698" s="88"/>
      <c r="BK698" s="88"/>
      <c r="BL698" s="88"/>
      <c r="BM698" s="88"/>
      <c r="BN698" s="88"/>
      <c r="BO698" s="88"/>
      <c r="BP698" s="88"/>
      <c r="BQ698" s="88"/>
      <c r="BR698" s="88"/>
      <c r="BS698" s="88"/>
    </row>
    <row r="699">
      <c r="J699" s="73"/>
      <c r="K699" s="74"/>
      <c r="L699" s="74"/>
      <c r="M699" s="74"/>
      <c r="N699" s="74"/>
      <c r="S699" s="75"/>
      <c r="T699" s="145"/>
      <c r="U699" s="145"/>
      <c r="V699" s="145"/>
      <c r="W699" s="145"/>
      <c r="X699" s="145"/>
      <c r="Y699" s="145"/>
      <c r="Z699" s="145"/>
      <c r="AA699" s="145"/>
      <c r="AB699" s="145"/>
      <c r="AC699" s="145"/>
      <c r="AD699" s="145"/>
      <c r="AE699" s="145"/>
      <c r="AF699" s="145"/>
      <c r="AG699" s="145"/>
      <c r="AH699" s="145"/>
      <c r="AI699" s="145"/>
      <c r="AJ699" s="145"/>
      <c r="AK699" s="145"/>
      <c r="AL699" s="145"/>
      <c r="AM699" s="145"/>
      <c r="AN699" s="145"/>
      <c r="AO699" s="145"/>
      <c r="AP699" s="145"/>
      <c r="AQ699" s="145"/>
      <c r="AR699" s="145"/>
      <c r="AS699" s="145"/>
      <c r="AT699" s="124"/>
      <c r="AU699" s="124"/>
      <c r="AV699" s="124"/>
      <c r="AW699" s="124"/>
      <c r="AX699" s="124"/>
      <c r="AY699" s="124"/>
      <c r="AZ699" s="124"/>
      <c r="BA699" s="124"/>
      <c r="BB699" s="88"/>
      <c r="BC699" s="88"/>
      <c r="BD699" s="88"/>
      <c r="BE699" s="88"/>
      <c r="BF699" s="88"/>
      <c r="BG699" s="88"/>
      <c r="BH699" s="88"/>
      <c r="BI699" s="88"/>
      <c r="BJ699" s="88"/>
      <c r="BK699" s="88"/>
      <c r="BL699" s="88"/>
      <c r="BM699" s="88"/>
      <c r="BN699" s="88"/>
      <c r="BO699" s="88"/>
      <c r="BP699" s="88"/>
      <c r="BQ699" s="88"/>
      <c r="BR699" s="88"/>
      <c r="BS699" s="88"/>
    </row>
    <row r="700">
      <c r="J700" s="73"/>
      <c r="K700" s="74"/>
      <c r="L700" s="74"/>
      <c r="M700" s="74"/>
      <c r="N700" s="74"/>
      <c r="S700" s="75"/>
      <c r="T700" s="145"/>
      <c r="U700" s="145"/>
      <c r="V700" s="145"/>
      <c r="W700" s="145"/>
      <c r="X700" s="145"/>
      <c r="Y700" s="145"/>
      <c r="Z700" s="145"/>
      <c r="AA700" s="145"/>
      <c r="AB700" s="145"/>
      <c r="AC700" s="145"/>
      <c r="AD700" s="145"/>
      <c r="AE700" s="145"/>
      <c r="AF700" s="145"/>
      <c r="AG700" s="145"/>
      <c r="AH700" s="145"/>
      <c r="AI700" s="145"/>
      <c r="AJ700" s="145"/>
      <c r="AK700" s="145"/>
      <c r="AL700" s="145"/>
      <c r="AM700" s="145"/>
      <c r="AN700" s="145"/>
      <c r="AO700" s="145"/>
      <c r="AP700" s="145"/>
      <c r="AQ700" s="145"/>
      <c r="AR700" s="145"/>
      <c r="AS700" s="145"/>
      <c r="AT700" s="124"/>
      <c r="AU700" s="124"/>
      <c r="AV700" s="124"/>
      <c r="AW700" s="124"/>
      <c r="AX700" s="124"/>
      <c r="AY700" s="124"/>
      <c r="AZ700" s="124"/>
      <c r="BA700" s="124"/>
      <c r="BB700" s="88"/>
      <c r="BC700" s="88"/>
      <c r="BD700" s="88"/>
      <c r="BE700" s="88"/>
      <c r="BF700" s="88"/>
      <c r="BG700" s="88"/>
      <c r="BH700" s="88"/>
      <c r="BI700" s="88"/>
      <c r="BJ700" s="88"/>
      <c r="BK700" s="88"/>
      <c r="BL700" s="88"/>
      <c r="BM700" s="88"/>
      <c r="BN700" s="88"/>
      <c r="BO700" s="88"/>
      <c r="BP700" s="88"/>
      <c r="BQ700" s="88"/>
      <c r="BR700" s="88"/>
      <c r="BS700" s="88"/>
    </row>
    <row r="701">
      <c r="J701" s="73"/>
      <c r="K701" s="74"/>
      <c r="L701" s="74"/>
      <c r="M701" s="74"/>
      <c r="N701" s="74"/>
      <c r="S701" s="75"/>
      <c r="T701" s="145"/>
      <c r="U701" s="145"/>
      <c r="V701" s="145"/>
      <c r="W701" s="145"/>
      <c r="X701" s="145"/>
      <c r="Y701" s="145"/>
      <c r="Z701" s="145"/>
      <c r="AA701" s="145"/>
      <c r="AB701" s="145"/>
      <c r="AC701" s="145"/>
      <c r="AD701" s="145"/>
      <c r="AE701" s="145"/>
      <c r="AF701" s="145"/>
      <c r="AG701" s="145"/>
      <c r="AH701" s="145"/>
      <c r="AI701" s="145"/>
      <c r="AJ701" s="145"/>
      <c r="AK701" s="145"/>
      <c r="AL701" s="145"/>
      <c r="AM701" s="145"/>
      <c r="AN701" s="145"/>
      <c r="AO701" s="145"/>
      <c r="AP701" s="145"/>
      <c r="AQ701" s="145"/>
      <c r="AR701" s="145"/>
      <c r="AS701" s="145"/>
      <c r="AT701" s="124"/>
      <c r="AU701" s="124"/>
      <c r="AV701" s="124"/>
      <c r="AW701" s="124"/>
      <c r="AX701" s="124"/>
      <c r="AY701" s="124"/>
      <c r="AZ701" s="124"/>
      <c r="BA701" s="124"/>
      <c r="BB701" s="88"/>
      <c r="BC701" s="88"/>
      <c r="BD701" s="88"/>
      <c r="BE701" s="88"/>
      <c r="BF701" s="88"/>
      <c r="BG701" s="88"/>
      <c r="BH701" s="88"/>
      <c r="BI701" s="88"/>
      <c r="BJ701" s="88"/>
      <c r="BK701" s="88"/>
      <c r="BL701" s="88"/>
      <c r="BM701" s="88"/>
      <c r="BN701" s="88"/>
      <c r="BO701" s="88"/>
      <c r="BP701" s="88"/>
      <c r="BQ701" s="88"/>
      <c r="BR701" s="88"/>
      <c r="BS701" s="88"/>
    </row>
    <row r="702">
      <c r="J702" s="73"/>
      <c r="K702" s="74"/>
      <c r="L702" s="74"/>
      <c r="M702" s="74"/>
      <c r="N702" s="74"/>
      <c r="S702" s="75"/>
      <c r="T702" s="145"/>
      <c r="U702" s="145"/>
      <c r="V702" s="145"/>
      <c r="W702" s="145"/>
      <c r="X702" s="145"/>
      <c r="Y702" s="145"/>
      <c r="Z702" s="145"/>
      <c r="AA702" s="145"/>
      <c r="AB702" s="145"/>
      <c r="AC702" s="145"/>
      <c r="AD702" s="145"/>
      <c r="AE702" s="145"/>
      <c r="AF702" s="145"/>
      <c r="AG702" s="145"/>
      <c r="AH702" s="145"/>
      <c r="AI702" s="145"/>
      <c r="AJ702" s="145"/>
      <c r="AK702" s="145"/>
      <c r="AL702" s="145"/>
      <c r="AM702" s="145"/>
      <c r="AN702" s="145"/>
      <c r="AO702" s="145"/>
      <c r="AP702" s="145"/>
      <c r="AQ702" s="145"/>
      <c r="AR702" s="145"/>
      <c r="AS702" s="145"/>
      <c r="AT702" s="124"/>
      <c r="AU702" s="124"/>
      <c r="AV702" s="124"/>
      <c r="AW702" s="124"/>
      <c r="AX702" s="124"/>
      <c r="AY702" s="124"/>
      <c r="AZ702" s="124"/>
      <c r="BA702" s="124"/>
      <c r="BB702" s="88"/>
      <c r="BC702" s="88"/>
      <c r="BD702" s="88"/>
      <c r="BE702" s="88"/>
      <c r="BF702" s="88"/>
      <c r="BG702" s="88"/>
      <c r="BH702" s="88"/>
      <c r="BI702" s="88"/>
      <c r="BJ702" s="88"/>
      <c r="BK702" s="88"/>
      <c r="BL702" s="88"/>
      <c r="BM702" s="88"/>
      <c r="BN702" s="88"/>
      <c r="BO702" s="88"/>
      <c r="BP702" s="88"/>
      <c r="BQ702" s="88"/>
      <c r="BR702" s="88"/>
      <c r="BS702" s="88"/>
    </row>
    <row r="703">
      <c r="J703" s="73"/>
      <c r="K703" s="74"/>
      <c r="L703" s="74"/>
      <c r="M703" s="74"/>
      <c r="N703" s="74"/>
      <c r="S703" s="75"/>
      <c r="T703" s="145"/>
      <c r="U703" s="145"/>
      <c r="V703" s="145"/>
      <c r="W703" s="145"/>
      <c r="X703" s="145"/>
      <c r="Y703" s="145"/>
      <c r="Z703" s="145"/>
      <c r="AA703" s="145"/>
      <c r="AB703" s="145"/>
      <c r="AC703" s="145"/>
      <c r="AD703" s="145"/>
      <c r="AE703" s="145"/>
      <c r="AF703" s="145"/>
      <c r="AG703" s="145"/>
      <c r="AH703" s="145"/>
      <c r="AI703" s="145"/>
      <c r="AJ703" s="145"/>
      <c r="AK703" s="145"/>
      <c r="AL703" s="145"/>
      <c r="AM703" s="145"/>
      <c r="AN703" s="145"/>
      <c r="AO703" s="145"/>
      <c r="AP703" s="145"/>
      <c r="AQ703" s="145"/>
      <c r="AR703" s="145"/>
      <c r="AS703" s="145"/>
      <c r="AT703" s="124"/>
      <c r="AU703" s="124"/>
      <c r="AV703" s="124"/>
      <c r="AW703" s="124"/>
      <c r="AX703" s="124"/>
      <c r="AY703" s="124"/>
      <c r="AZ703" s="124"/>
      <c r="BA703" s="124"/>
      <c r="BB703" s="88"/>
      <c r="BC703" s="88"/>
      <c r="BD703" s="88"/>
      <c r="BE703" s="88"/>
      <c r="BF703" s="88"/>
      <c r="BG703" s="88"/>
      <c r="BH703" s="88"/>
      <c r="BI703" s="88"/>
      <c r="BJ703" s="88"/>
      <c r="BK703" s="88"/>
      <c r="BL703" s="88"/>
      <c r="BM703" s="88"/>
      <c r="BN703" s="88"/>
      <c r="BO703" s="88"/>
      <c r="BP703" s="88"/>
      <c r="BQ703" s="88"/>
      <c r="BR703" s="88"/>
      <c r="BS703" s="88"/>
    </row>
    <row r="704">
      <c r="J704" s="73"/>
      <c r="K704" s="74"/>
      <c r="L704" s="74"/>
      <c r="M704" s="74"/>
      <c r="N704" s="74"/>
      <c r="S704" s="75"/>
      <c r="T704" s="145"/>
      <c r="U704" s="145"/>
      <c r="V704" s="145"/>
      <c r="W704" s="145"/>
      <c r="X704" s="145"/>
      <c r="Y704" s="145"/>
      <c r="Z704" s="145"/>
      <c r="AA704" s="145"/>
      <c r="AB704" s="145"/>
      <c r="AC704" s="145"/>
      <c r="AD704" s="145"/>
      <c r="AE704" s="145"/>
      <c r="AF704" s="145"/>
      <c r="AG704" s="145"/>
      <c r="AH704" s="145"/>
      <c r="AI704" s="145"/>
      <c r="AJ704" s="145"/>
      <c r="AK704" s="145"/>
      <c r="AL704" s="145"/>
      <c r="AM704" s="145"/>
      <c r="AN704" s="145"/>
      <c r="AO704" s="145"/>
      <c r="AP704" s="145"/>
      <c r="AQ704" s="145"/>
      <c r="AR704" s="145"/>
      <c r="AS704" s="145"/>
      <c r="AT704" s="124"/>
      <c r="AU704" s="124"/>
      <c r="AV704" s="124"/>
      <c r="AW704" s="124"/>
      <c r="AX704" s="124"/>
      <c r="AY704" s="124"/>
      <c r="AZ704" s="124"/>
      <c r="BA704" s="124"/>
      <c r="BB704" s="88"/>
      <c r="BC704" s="88"/>
      <c r="BD704" s="88"/>
      <c r="BE704" s="88"/>
      <c r="BF704" s="88"/>
      <c r="BG704" s="88"/>
      <c r="BH704" s="88"/>
      <c r="BI704" s="88"/>
      <c r="BJ704" s="88"/>
      <c r="BK704" s="88"/>
      <c r="BL704" s="88"/>
      <c r="BM704" s="88"/>
      <c r="BN704" s="88"/>
      <c r="BO704" s="88"/>
      <c r="BP704" s="88"/>
      <c r="BQ704" s="88"/>
      <c r="BR704" s="88"/>
      <c r="BS704" s="88"/>
    </row>
    <row r="705">
      <c r="J705" s="73"/>
      <c r="K705" s="74"/>
      <c r="L705" s="74"/>
      <c r="M705" s="74"/>
      <c r="N705" s="74"/>
      <c r="S705" s="75"/>
      <c r="T705" s="145"/>
      <c r="U705" s="145"/>
      <c r="V705" s="145"/>
      <c r="W705" s="145"/>
      <c r="X705" s="145"/>
      <c r="Y705" s="145"/>
      <c r="Z705" s="145"/>
      <c r="AA705" s="145"/>
      <c r="AB705" s="145"/>
      <c r="AC705" s="145"/>
      <c r="AD705" s="145"/>
      <c r="AE705" s="145"/>
      <c r="AF705" s="145"/>
      <c r="AG705" s="145"/>
      <c r="AH705" s="145"/>
      <c r="AI705" s="145"/>
      <c r="AJ705" s="145"/>
      <c r="AK705" s="145"/>
      <c r="AL705" s="145"/>
      <c r="AM705" s="145"/>
      <c r="AN705" s="145"/>
      <c r="AO705" s="145"/>
      <c r="AP705" s="145"/>
      <c r="AQ705" s="145"/>
      <c r="AR705" s="145"/>
      <c r="AS705" s="145"/>
      <c r="AT705" s="124"/>
      <c r="AU705" s="124"/>
      <c r="AV705" s="124"/>
      <c r="AW705" s="124"/>
      <c r="AX705" s="124"/>
      <c r="AY705" s="124"/>
      <c r="AZ705" s="124"/>
      <c r="BA705" s="124"/>
      <c r="BB705" s="88"/>
      <c r="BC705" s="88"/>
      <c r="BD705" s="88"/>
      <c r="BE705" s="88"/>
      <c r="BF705" s="88"/>
      <c r="BG705" s="88"/>
      <c r="BH705" s="88"/>
      <c r="BI705" s="88"/>
      <c r="BJ705" s="88"/>
      <c r="BK705" s="88"/>
      <c r="BL705" s="88"/>
      <c r="BM705" s="88"/>
      <c r="BN705" s="88"/>
      <c r="BO705" s="88"/>
      <c r="BP705" s="88"/>
      <c r="BQ705" s="88"/>
      <c r="BR705" s="88"/>
      <c r="BS705" s="88"/>
    </row>
    <row r="706">
      <c r="J706" s="73"/>
      <c r="K706" s="74"/>
      <c r="L706" s="74"/>
      <c r="M706" s="74"/>
      <c r="N706" s="74"/>
      <c r="S706" s="75"/>
      <c r="T706" s="145"/>
      <c r="U706" s="145"/>
      <c r="V706" s="145"/>
      <c r="W706" s="145"/>
      <c r="X706" s="145"/>
      <c r="Y706" s="145"/>
      <c r="Z706" s="145"/>
      <c r="AA706" s="145"/>
      <c r="AB706" s="145"/>
      <c r="AC706" s="145"/>
      <c r="AD706" s="145"/>
      <c r="AE706" s="145"/>
      <c r="AF706" s="145"/>
      <c r="AG706" s="145"/>
      <c r="AH706" s="145"/>
      <c r="AI706" s="145"/>
      <c r="AJ706" s="145"/>
      <c r="AK706" s="145"/>
      <c r="AL706" s="145"/>
      <c r="AM706" s="145"/>
      <c r="AN706" s="145"/>
      <c r="AO706" s="145"/>
      <c r="AP706" s="145"/>
      <c r="AQ706" s="145"/>
      <c r="AR706" s="145"/>
      <c r="AS706" s="145"/>
      <c r="AT706" s="124"/>
      <c r="AU706" s="124"/>
      <c r="AV706" s="124"/>
      <c r="AW706" s="124"/>
      <c r="AX706" s="124"/>
      <c r="AY706" s="124"/>
      <c r="AZ706" s="124"/>
      <c r="BA706" s="124"/>
      <c r="BB706" s="88"/>
      <c r="BC706" s="88"/>
      <c r="BD706" s="88"/>
      <c r="BE706" s="88"/>
      <c r="BF706" s="88"/>
      <c r="BG706" s="88"/>
      <c r="BH706" s="88"/>
      <c r="BI706" s="88"/>
      <c r="BJ706" s="88"/>
      <c r="BK706" s="88"/>
      <c r="BL706" s="88"/>
      <c r="BM706" s="88"/>
      <c r="BN706" s="88"/>
      <c r="BO706" s="88"/>
      <c r="BP706" s="88"/>
      <c r="BQ706" s="88"/>
      <c r="BR706" s="88"/>
      <c r="BS706" s="88"/>
    </row>
    <row r="707">
      <c r="J707" s="73"/>
      <c r="K707" s="74"/>
      <c r="L707" s="74"/>
      <c r="M707" s="74"/>
      <c r="N707" s="74"/>
      <c r="S707" s="75"/>
      <c r="T707" s="145"/>
      <c r="U707" s="145"/>
      <c r="V707" s="145"/>
      <c r="W707" s="145"/>
      <c r="X707" s="145"/>
      <c r="Y707" s="145"/>
      <c r="Z707" s="145"/>
      <c r="AA707" s="145"/>
      <c r="AB707" s="145"/>
      <c r="AC707" s="145"/>
      <c r="AD707" s="145"/>
      <c r="AE707" s="145"/>
      <c r="AF707" s="145"/>
      <c r="AG707" s="145"/>
      <c r="AH707" s="145"/>
      <c r="AI707" s="145"/>
      <c r="AJ707" s="145"/>
      <c r="AK707" s="145"/>
      <c r="AL707" s="145"/>
      <c r="AM707" s="145"/>
      <c r="AN707" s="145"/>
      <c r="AO707" s="145"/>
      <c r="AP707" s="145"/>
      <c r="AQ707" s="145"/>
      <c r="AR707" s="145"/>
      <c r="AS707" s="145"/>
      <c r="AT707" s="124"/>
      <c r="AU707" s="124"/>
      <c r="AV707" s="124"/>
      <c r="AW707" s="124"/>
      <c r="AX707" s="124"/>
      <c r="AY707" s="124"/>
      <c r="AZ707" s="124"/>
      <c r="BA707" s="124"/>
      <c r="BB707" s="88"/>
      <c r="BC707" s="88"/>
      <c r="BD707" s="88"/>
      <c r="BE707" s="88"/>
      <c r="BF707" s="88"/>
      <c r="BG707" s="88"/>
      <c r="BH707" s="88"/>
      <c r="BI707" s="88"/>
      <c r="BJ707" s="88"/>
      <c r="BK707" s="88"/>
      <c r="BL707" s="88"/>
      <c r="BM707" s="88"/>
      <c r="BN707" s="88"/>
      <c r="BO707" s="88"/>
      <c r="BP707" s="88"/>
      <c r="BQ707" s="88"/>
      <c r="BR707" s="88"/>
      <c r="BS707" s="88"/>
    </row>
    <row r="708">
      <c r="J708" s="73"/>
      <c r="K708" s="74"/>
      <c r="L708" s="74"/>
      <c r="M708" s="74"/>
      <c r="N708" s="74"/>
      <c r="S708" s="75"/>
      <c r="T708" s="145"/>
      <c r="U708" s="145"/>
      <c r="V708" s="145"/>
      <c r="W708" s="145"/>
      <c r="X708" s="145"/>
      <c r="Y708" s="145"/>
      <c r="Z708" s="145"/>
      <c r="AA708" s="145"/>
      <c r="AB708" s="145"/>
      <c r="AC708" s="145"/>
      <c r="AD708" s="145"/>
      <c r="AE708" s="145"/>
      <c r="AF708" s="145"/>
      <c r="AG708" s="145"/>
      <c r="AH708" s="145"/>
      <c r="AI708" s="145"/>
      <c r="AJ708" s="145"/>
      <c r="AK708" s="145"/>
      <c r="AL708" s="145"/>
      <c r="AM708" s="145"/>
      <c r="AN708" s="145"/>
      <c r="AO708" s="145"/>
      <c r="AP708" s="145"/>
      <c r="AQ708" s="145"/>
      <c r="AR708" s="145"/>
      <c r="AS708" s="145"/>
      <c r="AT708" s="124"/>
      <c r="AU708" s="124"/>
      <c r="AV708" s="124"/>
      <c r="AW708" s="124"/>
      <c r="AX708" s="124"/>
      <c r="AY708" s="124"/>
      <c r="AZ708" s="124"/>
      <c r="BA708" s="124"/>
      <c r="BB708" s="88"/>
      <c r="BC708" s="88"/>
      <c r="BD708" s="88"/>
      <c r="BE708" s="88"/>
      <c r="BF708" s="88"/>
      <c r="BG708" s="88"/>
      <c r="BH708" s="88"/>
      <c r="BI708" s="88"/>
      <c r="BJ708" s="88"/>
      <c r="BK708" s="88"/>
      <c r="BL708" s="88"/>
      <c r="BM708" s="88"/>
      <c r="BN708" s="88"/>
      <c r="BO708" s="88"/>
      <c r="BP708" s="88"/>
      <c r="BQ708" s="88"/>
      <c r="BR708" s="88"/>
      <c r="BS708" s="88"/>
    </row>
    <row r="709">
      <c r="J709" s="73"/>
      <c r="K709" s="74"/>
      <c r="L709" s="74"/>
      <c r="M709" s="74"/>
      <c r="N709" s="74"/>
      <c r="S709" s="75"/>
      <c r="T709" s="145"/>
      <c r="U709" s="145"/>
      <c r="V709" s="145"/>
      <c r="W709" s="145"/>
      <c r="X709" s="145"/>
      <c r="Y709" s="145"/>
      <c r="Z709" s="145"/>
      <c r="AA709" s="145"/>
      <c r="AB709" s="145"/>
      <c r="AC709" s="145"/>
      <c r="AD709" s="145"/>
      <c r="AE709" s="145"/>
      <c r="AF709" s="145"/>
      <c r="AG709" s="145"/>
      <c r="AH709" s="145"/>
      <c r="AI709" s="145"/>
      <c r="AJ709" s="145"/>
      <c r="AK709" s="145"/>
      <c r="AL709" s="145"/>
      <c r="AM709" s="145"/>
      <c r="AN709" s="145"/>
      <c r="AO709" s="145"/>
      <c r="AP709" s="145"/>
      <c r="AQ709" s="145"/>
      <c r="AR709" s="145"/>
      <c r="AS709" s="145"/>
      <c r="AT709" s="124"/>
      <c r="AU709" s="124"/>
      <c r="AV709" s="124"/>
      <c r="AW709" s="124"/>
      <c r="AX709" s="124"/>
      <c r="AY709" s="124"/>
      <c r="AZ709" s="124"/>
      <c r="BA709" s="124"/>
      <c r="BB709" s="88"/>
      <c r="BC709" s="88"/>
      <c r="BD709" s="88"/>
      <c r="BE709" s="88"/>
      <c r="BF709" s="88"/>
      <c r="BG709" s="88"/>
      <c r="BH709" s="88"/>
      <c r="BI709" s="88"/>
      <c r="BJ709" s="88"/>
      <c r="BK709" s="88"/>
      <c r="BL709" s="88"/>
      <c r="BM709" s="88"/>
      <c r="BN709" s="88"/>
      <c r="BO709" s="88"/>
      <c r="BP709" s="88"/>
      <c r="BQ709" s="88"/>
      <c r="BR709" s="88"/>
      <c r="BS709" s="88"/>
    </row>
    <row r="710">
      <c r="J710" s="73"/>
      <c r="K710" s="74"/>
      <c r="L710" s="74"/>
      <c r="M710" s="74"/>
      <c r="N710" s="74"/>
      <c r="S710" s="75"/>
      <c r="T710" s="145"/>
      <c r="U710" s="145"/>
      <c r="V710" s="145"/>
      <c r="W710" s="145"/>
      <c r="X710" s="145"/>
      <c r="Y710" s="145"/>
      <c r="Z710" s="145"/>
      <c r="AA710" s="145"/>
      <c r="AB710" s="145"/>
      <c r="AC710" s="145"/>
      <c r="AD710" s="145"/>
      <c r="AE710" s="145"/>
      <c r="AF710" s="145"/>
      <c r="AG710" s="145"/>
      <c r="AH710" s="145"/>
      <c r="AI710" s="145"/>
      <c r="AJ710" s="145"/>
      <c r="AK710" s="145"/>
      <c r="AL710" s="145"/>
      <c r="AM710" s="145"/>
      <c r="AN710" s="145"/>
      <c r="AO710" s="145"/>
      <c r="AP710" s="145"/>
      <c r="AQ710" s="145"/>
      <c r="AR710" s="145"/>
      <c r="AS710" s="145"/>
      <c r="AT710" s="124"/>
      <c r="AU710" s="124"/>
      <c r="AV710" s="124"/>
      <c r="AW710" s="124"/>
      <c r="AX710" s="124"/>
      <c r="AY710" s="124"/>
      <c r="AZ710" s="124"/>
      <c r="BA710" s="124"/>
      <c r="BB710" s="88"/>
      <c r="BC710" s="88"/>
      <c r="BD710" s="88"/>
      <c r="BE710" s="88"/>
      <c r="BF710" s="88"/>
      <c r="BG710" s="88"/>
      <c r="BH710" s="88"/>
      <c r="BI710" s="88"/>
      <c r="BJ710" s="88"/>
      <c r="BK710" s="88"/>
      <c r="BL710" s="88"/>
      <c r="BM710" s="88"/>
      <c r="BN710" s="88"/>
      <c r="BO710" s="88"/>
      <c r="BP710" s="88"/>
      <c r="BQ710" s="88"/>
      <c r="BR710" s="88"/>
      <c r="BS710" s="88"/>
    </row>
    <row r="711">
      <c r="J711" s="73"/>
      <c r="K711" s="74"/>
      <c r="L711" s="74"/>
      <c r="M711" s="74"/>
      <c r="N711" s="74"/>
      <c r="S711" s="75"/>
      <c r="T711" s="145"/>
      <c r="U711" s="145"/>
      <c r="V711" s="145"/>
      <c r="W711" s="145"/>
      <c r="X711" s="145"/>
      <c r="Y711" s="145"/>
      <c r="Z711" s="145"/>
      <c r="AA711" s="145"/>
      <c r="AB711" s="145"/>
      <c r="AC711" s="145"/>
      <c r="AD711" s="145"/>
      <c r="AE711" s="145"/>
      <c r="AF711" s="145"/>
      <c r="AG711" s="145"/>
      <c r="AH711" s="145"/>
      <c r="AI711" s="145"/>
      <c r="AJ711" s="145"/>
      <c r="AK711" s="145"/>
      <c r="AL711" s="145"/>
      <c r="AM711" s="145"/>
      <c r="AN711" s="145"/>
      <c r="AO711" s="145"/>
      <c r="AP711" s="145"/>
      <c r="AQ711" s="145"/>
      <c r="AR711" s="145"/>
      <c r="AS711" s="145"/>
      <c r="AT711" s="124"/>
      <c r="AU711" s="124"/>
      <c r="AV711" s="124"/>
      <c r="AW711" s="124"/>
      <c r="AX711" s="124"/>
      <c r="AY711" s="124"/>
      <c r="AZ711" s="124"/>
      <c r="BA711" s="124"/>
      <c r="BB711" s="88"/>
      <c r="BC711" s="88"/>
      <c r="BD711" s="88"/>
      <c r="BE711" s="88"/>
      <c r="BF711" s="88"/>
      <c r="BG711" s="88"/>
      <c r="BH711" s="88"/>
      <c r="BI711" s="88"/>
      <c r="BJ711" s="88"/>
      <c r="BK711" s="88"/>
      <c r="BL711" s="88"/>
      <c r="BM711" s="88"/>
      <c r="BN711" s="88"/>
      <c r="BO711" s="88"/>
      <c r="BP711" s="88"/>
      <c r="BQ711" s="88"/>
      <c r="BR711" s="88"/>
      <c r="BS711" s="88"/>
    </row>
    <row r="712">
      <c r="J712" s="73"/>
      <c r="K712" s="74"/>
      <c r="L712" s="74"/>
      <c r="M712" s="74"/>
      <c r="N712" s="74"/>
      <c r="S712" s="75"/>
      <c r="T712" s="145"/>
      <c r="U712" s="145"/>
      <c r="V712" s="145"/>
      <c r="W712" s="145"/>
      <c r="X712" s="145"/>
      <c r="Y712" s="145"/>
      <c r="Z712" s="145"/>
      <c r="AA712" s="145"/>
      <c r="AB712" s="145"/>
      <c r="AC712" s="145"/>
      <c r="AD712" s="145"/>
      <c r="AE712" s="145"/>
      <c r="AF712" s="145"/>
      <c r="AG712" s="145"/>
      <c r="AH712" s="145"/>
      <c r="AI712" s="145"/>
      <c r="AJ712" s="145"/>
      <c r="AK712" s="145"/>
      <c r="AL712" s="145"/>
      <c r="AM712" s="145"/>
      <c r="AN712" s="145"/>
      <c r="AO712" s="145"/>
      <c r="AP712" s="145"/>
      <c r="AQ712" s="145"/>
      <c r="AR712" s="145"/>
      <c r="AS712" s="145"/>
      <c r="AT712" s="124"/>
      <c r="AU712" s="124"/>
      <c r="AV712" s="124"/>
      <c r="AW712" s="124"/>
      <c r="AX712" s="124"/>
      <c r="AY712" s="124"/>
      <c r="AZ712" s="124"/>
      <c r="BA712" s="124"/>
      <c r="BB712" s="88"/>
      <c r="BC712" s="88"/>
      <c r="BD712" s="88"/>
      <c r="BE712" s="88"/>
      <c r="BF712" s="88"/>
      <c r="BG712" s="88"/>
      <c r="BH712" s="88"/>
      <c r="BI712" s="88"/>
      <c r="BJ712" s="88"/>
      <c r="BK712" s="88"/>
      <c r="BL712" s="88"/>
      <c r="BM712" s="88"/>
      <c r="BN712" s="88"/>
      <c r="BO712" s="88"/>
      <c r="BP712" s="88"/>
      <c r="BQ712" s="88"/>
      <c r="BR712" s="88"/>
      <c r="BS712" s="88"/>
    </row>
    <row r="713">
      <c r="J713" s="73"/>
      <c r="K713" s="74"/>
      <c r="L713" s="74"/>
      <c r="M713" s="74"/>
      <c r="N713" s="74"/>
      <c r="S713" s="75"/>
      <c r="T713" s="145"/>
      <c r="U713" s="145"/>
      <c r="V713" s="145"/>
      <c r="W713" s="145"/>
      <c r="X713" s="145"/>
      <c r="Y713" s="145"/>
      <c r="Z713" s="145"/>
      <c r="AA713" s="145"/>
      <c r="AB713" s="145"/>
      <c r="AC713" s="145"/>
      <c r="AD713" s="145"/>
      <c r="AE713" s="145"/>
      <c r="AF713" s="145"/>
      <c r="AG713" s="145"/>
      <c r="AH713" s="145"/>
      <c r="AI713" s="145"/>
      <c r="AJ713" s="145"/>
      <c r="AK713" s="145"/>
      <c r="AL713" s="145"/>
      <c r="AM713" s="145"/>
      <c r="AN713" s="145"/>
      <c r="AO713" s="145"/>
      <c r="AP713" s="145"/>
      <c r="AQ713" s="145"/>
      <c r="AR713" s="145"/>
      <c r="AS713" s="145"/>
      <c r="AT713" s="124"/>
      <c r="AU713" s="124"/>
      <c r="AV713" s="124"/>
      <c r="AW713" s="124"/>
      <c r="AX713" s="124"/>
      <c r="AY713" s="124"/>
      <c r="AZ713" s="124"/>
      <c r="BA713" s="124"/>
      <c r="BB713" s="88"/>
      <c r="BC713" s="88"/>
      <c r="BD713" s="88"/>
      <c r="BE713" s="88"/>
      <c r="BF713" s="88"/>
      <c r="BG713" s="88"/>
      <c r="BH713" s="88"/>
      <c r="BI713" s="88"/>
      <c r="BJ713" s="88"/>
      <c r="BK713" s="88"/>
      <c r="BL713" s="88"/>
      <c r="BM713" s="88"/>
      <c r="BN713" s="88"/>
      <c r="BO713" s="88"/>
      <c r="BP713" s="88"/>
      <c r="BQ713" s="88"/>
      <c r="BR713" s="88"/>
      <c r="BS713" s="88"/>
    </row>
    <row r="714">
      <c r="J714" s="73"/>
      <c r="K714" s="74"/>
      <c r="L714" s="74"/>
      <c r="M714" s="74"/>
      <c r="N714" s="74"/>
      <c r="S714" s="75"/>
      <c r="T714" s="145"/>
      <c r="U714" s="145"/>
      <c r="V714" s="145"/>
      <c r="W714" s="145"/>
      <c r="X714" s="145"/>
      <c r="Y714" s="145"/>
      <c r="Z714" s="145"/>
      <c r="AA714" s="145"/>
      <c r="AB714" s="145"/>
      <c r="AC714" s="145"/>
      <c r="AD714" s="145"/>
      <c r="AE714" s="145"/>
      <c r="AF714" s="145"/>
      <c r="AG714" s="145"/>
      <c r="AH714" s="145"/>
      <c r="AI714" s="145"/>
      <c r="AJ714" s="145"/>
      <c r="AK714" s="145"/>
      <c r="AL714" s="145"/>
      <c r="AM714" s="145"/>
      <c r="AN714" s="145"/>
      <c r="AO714" s="145"/>
      <c r="AP714" s="145"/>
      <c r="AQ714" s="145"/>
      <c r="AR714" s="145"/>
      <c r="AS714" s="145"/>
      <c r="AT714" s="124"/>
      <c r="AU714" s="124"/>
      <c r="AV714" s="124"/>
      <c r="AW714" s="124"/>
      <c r="AX714" s="124"/>
      <c r="AY714" s="124"/>
      <c r="AZ714" s="124"/>
      <c r="BA714" s="124"/>
      <c r="BB714" s="88"/>
      <c r="BC714" s="88"/>
      <c r="BD714" s="88"/>
      <c r="BE714" s="88"/>
      <c r="BF714" s="88"/>
      <c r="BG714" s="88"/>
      <c r="BH714" s="88"/>
      <c r="BI714" s="88"/>
      <c r="BJ714" s="88"/>
      <c r="BK714" s="88"/>
      <c r="BL714" s="88"/>
      <c r="BM714" s="88"/>
      <c r="BN714" s="88"/>
      <c r="BO714" s="88"/>
      <c r="BP714" s="88"/>
      <c r="BQ714" s="88"/>
      <c r="BR714" s="88"/>
      <c r="BS714" s="88"/>
    </row>
    <row r="715">
      <c r="J715" s="73"/>
      <c r="K715" s="74"/>
      <c r="L715" s="74"/>
      <c r="M715" s="74"/>
      <c r="N715" s="74"/>
      <c r="S715" s="75"/>
      <c r="T715" s="145"/>
      <c r="U715" s="145"/>
      <c r="V715" s="145"/>
      <c r="W715" s="145"/>
      <c r="X715" s="145"/>
      <c r="Y715" s="145"/>
      <c r="Z715" s="145"/>
      <c r="AA715" s="145"/>
      <c r="AB715" s="145"/>
      <c r="AC715" s="145"/>
      <c r="AD715" s="145"/>
      <c r="AE715" s="145"/>
      <c r="AF715" s="145"/>
      <c r="AG715" s="145"/>
      <c r="AH715" s="145"/>
      <c r="AI715" s="145"/>
      <c r="AJ715" s="145"/>
      <c r="AK715" s="145"/>
      <c r="AL715" s="145"/>
      <c r="AM715" s="145"/>
      <c r="AN715" s="145"/>
      <c r="AO715" s="145"/>
      <c r="AP715" s="145"/>
      <c r="AQ715" s="145"/>
      <c r="AR715" s="145"/>
      <c r="AS715" s="145"/>
      <c r="AT715" s="124"/>
      <c r="AU715" s="124"/>
      <c r="AV715" s="124"/>
      <c r="AW715" s="124"/>
      <c r="AX715" s="124"/>
      <c r="AY715" s="124"/>
      <c r="AZ715" s="124"/>
      <c r="BA715" s="124"/>
      <c r="BB715" s="88"/>
      <c r="BC715" s="88"/>
      <c r="BD715" s="88"/>
      <c r="BE715" s="88"/>
      <c r="BF715" s="88"/>
      <c r="BG715" s="88"/>
      <c r="BH715" s="88"/>
      <c r="BI715" s="88"/>
      <c r="BJ715" s="88"/>
      <c r="BK715" s="88"/>
      <c r="BL715" s="88"/>
      <c r="BM715" s="88"/>
      <c r="BN715" s="88"/>
      <c r="BO715" s="88"/>
      <c r="BP715" s="88"/>
      <c r="BQ715" s="88"/>
      <c r="BR715" s="88"/>
      <c r="BS715" s="88"/>
    </row>
    <row r="716">
      <c r="J716" s="73"/>
      <c r="K716" s="74"/>
      <c r="L716" s="74"/>
      <c r="M716" s="74"/>
      <c r="N716" s="74"/>
      <c r="S716" s="75"/>
      <c r="T716" s="145"/>
      <c r="U716" s="145"/>
      <c r="V716" s="145"/>
      <c r="W716" s="145"/>
      <c r="X716" s="145"/>
      <c r="Y716" s="145"/>
      <c r="Z716" s="145"/>
      <c r="AA716" s="145"/>
      <c r="AB716" s="145"/>
      <c r="AC716" s="145"/>
      <c r="AD716" s="145"/>
      <c r="AE716" s="145"/>
      <c r="AF716" s="145"/>
      <c r="AG716" s="145"/>
      <c r="AH716" s="145"/>
      <c r="AI716" s="145"/>
      <c r="AJ716" s="145"/>
      <c r="AK716" s="145"/>
      <c r="AL716" s="145"/>
      <c r="AM716" s="145"/>
      <c r="AN716" s="145"/>
      <c r="AO716" s="145"/>
      <c r="AP716" s="145"/>
      <c r="AQ716" s="145"/>
      <c r="AR716" s="145"/>
      <c r="AS716" s="145"/>
      <c r="AT716" s="124"/>
      <c r="AU716" s="124"/>
      <c r="AV716" s="124"/>
      <c r="AW716" s="124"/>
      <c r="AX716" s="124"/>
      <c r="AY716" s="124"/>
      <c r="AZ716" s="124"/>
      <c r="BA716" s="124"/>
      <c r="BB716" s="88"/>
      <c r="BC716" s="88"/>
      <c r="BD716" s="88"/>
      <c r="BE716" s="88"/>
      <c r="BF716" s="88"/>
      <c r="BG716" s="88"/>
      <c r="BH716" s="88"/>
      <c r="BI716" s="88"/>
      <c r="BJ716" s="88"/>
      <c r="BK716" s="88"/>
      <c r="BL716" s="88"/>
      <c r="BM716" s="88"/>
      <c r="BN716" s="88"/>
      <c r="BO716" s="88"/>
      <c r="BP716" s="88"/>
      <c r="BQ716" s="88"/>
      <c r="BR716" s="88"/>
      <c r="BS716" s="88"/>
    </row>
    <row r="717">
      <c r="J717" s="73"/>
      <c r="K717" s="74"/>
      <c r="L717" s="74"/>
      <c r="M717" s="74"/>
      <c r="N717" s="74"/>
      <c r="S717" s="75"/>
      <c r="T717" s="145"/>
      <c r="U717" s="145"/>
      <c r="V717" s="145"/>
      <c r="W717" s="145"/>
      <c r="X717" s="145"/>
      <c r="Y717" s="145"/>
      <c r="Z717" s="145"/>
      <c r="AA717" s="145"/>
      <c r="AB717" s="145"/>
      <c r="AC717" s="145"/>
      <c r="AD717" s="145"/>
      <c r="AE717" s="145"/>
      <c r="AF717" s="145"/>
      <c r="AG717" s="145"/>
      <c r="AH717" s="145"/>
      <c r="AI717" s="145"/>
      <c r="AJ717" s="145"/>
      <c r="AK717" s="145"/>
      <c r="AL717" s="145"/>
      <c r="AM717" s="145"/>
      <c r="AN717" s="145"/>
      <c r="AO717" s="145"/>
      <c r="AP717" s="145"/>
      <c r="AQ717" s="145"/>
      <c r="AR717" s="145"/>
      <c r="AS717" s="145"/>
      <c r="AT717" s="124"/>
      <c r="AU717" s="124"/>
      <c r="AV717" s="124"/>
      <c r="AW717" s="124"/>
      <c r="AX717" s="124"/>
      <c r="AY717" s="124"/>
      <c r="AZ717" s="124"/>
      <c r="BA717" s="124"/>
      <c r="BB717" s="88"/>
      <c r="BC717" s="88"/>
      <c r="BD717" s="88"/>
      <c r="BE717" s="88"/>
      <c r="BF717" s="88"/>
      <c r="BG717" s="88"/>
      <c r="BH717" s="88"/>
      <c r="BI717" s="88"/>
      <c r="BJ717" s="88"/>
      <c r="BK717" s="88"/>
      <c r="BL717" s="88"/>
      <c r="BM717" s="88"/>
      <c r="BN717" s="88"/>
      <c r="BO717" s="88"/>
      <c r="BP717" s="88"/>
      <c r="BQ717" s="88"/>
      <c r="BR717" s="88"/>
      <c r="BS717" s="88"/>
    </row>
    <row r="718">
      <c r="J718" s="73"/>
      <c r="K718" s="74"/>
      <c r="L718" s="74"/>
      <c r="M718" s="74"/>
      <c r="N718" s="74"/>
      <c r="S718" s="75"/>
      <c r="T718" s="145"/>
      <c r="U718" s="145"/>
      <c r="V718" s="145"/>
      <c r="W718" s="145"/>
      <c r="X718" s="145"/>
      <c r="Y718" s="145"/>
      <c r="Z718" s="145"/>
      <c r="AA718" s="145"/>
      <c r="AB718" s="145"/>
      <c r="AC718" s="145"/>
      <c r="AD718" s="145"/>
      <c r="AE718" s="145"/>
      <c r="AF718" s="145"/>
      <c r="AG718" s="145"/>
      <c r="AH718" s="145"/>
      <c r="AI718" s="145"/>
      <c r="AJ718" s="145"/>
      <c r="AK718" s="145"/>
      <c r="AL718" s="145"/>
      <c r="AM718" s="145"/>
      <c r="AN718" s="145"/>
      <c r="AO718" s="145"/>
      <c r="AP718" s="145"/>
      <c r="AQ718" s="145"/>
      <c r="AR718" s="145"/>
      <c r="AS718" s="145"/>
      <c r="AT718" s="124"/>
      <c r="AU718" s="124"/>
      <c r="AV718" s="124"/>
      <c r="AW718" s="124"/>
      <c r="AX718" s="124"/>
      <c r="AY718" s="124"/>
      <c r="AZ718" s="124"/>
      <c r="BA718" s="124"/>
      <c r="BB718" s="88"/>
      <c r="BC718" s="88"/>
      <c r="BD718" s="88"/>
      <c r="BE718" s="88"/>
      <c r="BF718" s="88"/>
      <c r="BG718" s="88"/>
      <c r="BH718" s="88"/>
      <c r="BI718" s="88"/>
      <c r="BJ718" s="88"/>
      <c r="BK718" s="88"/>
      <c r="BL718" s="88"/>
      <c r="BM718" s="88"/>
      <c r="BN718" s="88"/>
      <c r="BO718" s="88"/>
      <c r="BP718" s="88"/>
      <c r="BQ718" s="88"/>
      <c r="BR718" s="88"/>
      <c r="BS718" s="88"/>
    </row>
    <row r="719">
      <c r="J719" s="73"/>
      <c r="K719" s="74"/>
      <c r="L719" s="74"/>
      <c r="M719" s="74"/>
      <c r="N719" s="74"/>
      <c r="S719" s="75"/>
      <c r="T719" s="145"/>
      <c r="U719" s="145"/>
      <c r="V719" s="145"/>
      <c r="W719" s="145"/>
      <c r="X719" s="145"/>
      <c r="Y719" s="145"/>
      <c r="Z719" s="145"/>
      <c r="AA719" s="145"/>
      <c r="AB719" s="145"/>
      <c r="AC719" s="145"/>
      <c r="AD719" s="145"/>
      <c r="AE719" s="145"/>
      <c r="AF719" s="145"/>
      <c r="AG719" s="145"/>
      <c r="AH719" s="145"/>
      <c r="AI719" s="145"/>
      <c r="AJ719" s="145"/>
      <c r="AK719" s="145"/>
      <c r="AL719" s="145"/>
      <c r="AM719" s="145"/>
      <c r="AN719" s="145"/>
      <c r="AO719" s="145"/>
      <c r="AP719" s="145"/>
      <c r="AQ719" s="145"/>
      <c r="AR719" s="145"/>
      <c r="AS719" s="145"/>
      <c r="AT719" s="124"/>
      <c r="AU719" s="124"/>
      <c r="AV719" s="124"/>
      <c r="AW719" s="124"/>
      <c r="AX719" s="124"/>
      <c r="AY719" s="124"/>
      <c r="AZ719" s="124"/>
      <c r="BA719" s="124"/>
      <c r="BB719" s="88"/>
      <c r="BC719" s="88"/>
      <c r="BD719" s="88"/>
      <c r="BE719" s="88"/>
      <c r="BF719" s="88"/>
      <c r="BG719" s="88"/>
      <c r="BH719" s="88"/>
      <c r="BI719" s="88"/>
      <c r="BJ719" s="88"/>
      <c r="BK719" s="88"/>
      <c r="BL719" s="88"/>
      <c r="BM719" s="88"/>
      <c r="BN719" s="88"/>
      <c r="BO719" s="88"/>
      <c r="BP719" s="88"/>
      <c r="BQ719" s="88"/>
      <c r="BR719" s="88"/>
      <c r="BS719" s="88"/>
    </row>
    <row r="720">
      <c r="J720" s="73"/>
      <c r="K720" s="74"/>
      <c r="L720" s="74"/>
      <c r="M720" s="74"/>
      <c r="N720" s="74"/>
      <c r="S720" s="75"/>
      <c r="T720" s="145"/>
      <c r="U720" s="145"/>
      <c r="V720" s="145"/>
      <c r="W720" s="145"/>
      <c r="X720" s="145"/>
      <c r="Y720" s="145"/>
      <c r="Z720" s="145"/>
      <c r="AA720" s="145"/>
      <c r="AB720" s="145"/>
      <c r="AC720" s="145"/>
      <c r="AD720" s="145"/>
      <c r="AE720" s="145"/>
      <c r="AF720" s="145"/>
      <c r="AG720" s="145"/>
      <c r="AH720" s="145"/>
      <c r="AI720" s="145"/>
      <c r="AJ720" s="145"/>
      <c r="AK720" s="145"/>
      <c r="AL720" s="145"/>
      <c r="AM720" s="145"/>
      <c r="AN720" s="145"/>
      <c r="AO720" s="145"/>
      <c r="AP720" s="145"/>
      <c r="AQ720" s="145"/>
      <c r="AR720" s="145"/>
      <c r="AS720" s="145"/>
      <c r="AT720" s="124"/>
      <c r="AU720" s="124"/>
      <c r="AV720" s="124"/>
      <c r="AW720" s="124"/>
      <c r="AX720" s="124"/>
      <c r="AY720" s="124"/>
      <c r="AZ720" s="124"/>
      <c r="BA720" s="124"/>
      <c r="BB720" s="88"/>
      <c r="BC720" s="88"/>
      <c r="BD720" s="88"/>
      <c r="BE720" s="88"/>
      <c r="BF720" s="88"/>
      <c r="BG720" s="88"/>
      <c r="BH720" s="88"/>
      <c r="BI720" s="88"/>
      <c r="BJ720" s="88"/>
      <c r="BK720" s="88"/>
      <c r="BL720" s="88"/>
      <c r="BM720" s="88"/>
      <c r="BN720" s="88"/>
      <c r="BO720" s="88"/>
      <c r="BP720" s="88"/>
      <c r="BQ720" s="88"/>
      <c r="BR720" s="88"/>
      <c r="BS720" s="88"/>
    </row>
    <row r="721">
      <c r="J721" s="73"/>
      <c r="K721" s="74"/>
      <c r="L721" s="74"/>
      <c r="M721" s="74"/>
      <c r="N721" s="74"/>
      <c r="S721" s="75"/>
      <c r="T721" s="145"/>
      <c r="U721" s="145"/>
      <c r="V721" s="145"/>
      <c r="W721" s="145"/>
      <c r="X721" s="145"/>
      <c r="Y721" s="145"/>
      <c r="Z721" s="145"/>
      <c r="AA721" s="145"/>
      <c r="AB721" s="145"/>
      <c r="AC721" s="145"/>
      <c r="AD721" s="145"/>
      <c r="AE721" s="145"/>
      <c r="AF721" s="145"/>
      <c r="AG721" s="145"/>
      <c r="AH721" s="145"/>
      <c r="AI721" s="145"/>
      <c r="AJ721" s="145"/>
      <c r="AK721" s="145"/>
      <c r="AL721" s="145"/>
      <c r="AM721" s="145"/>
      <c r="AN721" s="145"/>
      <c r="AO721" s="145"/>
      <c r="AP721" s="145"/>
      <c r="AQ721" s="145"/>
      <c r="AR721" s="145"/>
      <c r="AS721" s="145"/>
      <c r="AT721" s="124"/>
      <c r="AU721" s="124"/>
      <c r="AV721" s="124"/>
      <c r="AW721" s="124"/>
      <c r="AX721" s="124"/>
      <c r="AY721" s="124"/>
      <c r="AZ721" s="124"/>
      <c r="BA721" s="124"/>
      <c r="BB721" s="88"/>
      <c r="BC721" s="88"/>
      <c r="BD721" s="88"/>
      <c r="BE721" s="88"/>
      <c r="BF721" s="88"/>
      <c r="BG721" s="88"/>
      <c r="BH721" s="88"/>
      <c r="BI721" s="88"/>
      <c r="BJ721" s="88"/>
      <c r="BK721" s="88"/>
      <c r="BL721" s="88"/>
      <c r="BM721" s="88"/>
      <c r="BN721" s="88"/>
      <c r="BO721" s="88"/>
      <c r="BP721" s="88"/>
      <c r="BQ721" s="88"/>
      <c r="BR721" s="88"/>
      <c r="BS721" s="88"/>
    </row>
    <row r="722">
      <c r="J722" s="73"/>
      <c r="K722" s="74"/>
      <c r="L722" s="74"/>
      <c r="M722" s="74"/>
      <c r="N722" s="74"/>
      <c r="S722" s="75"/>
      <c r="T722" s="145"/>
      <c r="U722" s="145"/>
      <c r="V722" s="145"/>
      <c r="W722" s="145"/>
      <c r="X722" s="145"/>
      <c r="Y722" s="145"/>
      <c r="Z722" s="145"/>
      <c r="AA722" s="145"/>
      <c r="AB722" s="145"/>
      <c r="AC722" s="145"/>
      <c r="AD722" s="145"/>
      <c r="AE722" s="145"/>
      <c r="AF722" s="145"/>
      <c r="AG722" s="145"/>
      <c r="AH722" s="145"/>
      <c r="AI722" s="145"/>
      <c r="AJ722" s="145"/>
      <c r="AK722" s="145"/>
      <c r="AL722" s="145"/>
      <c r="AM722" s="145"/>
      <c r="AN722" s="145"/>
      <c r="AO722" s="145"/>
      <c r="AP722" s="145"/>
      <c r="AQ722" s="145"/>
      <c r="AR722" s="145"/>
      <c r="AS722" s="145"/>
      <c r="AT722" s="124"/>
      <c r="AU722" s="124"/>
      <c r="AV722" s="124"/>
      <c r="AW722" s="124"/>
      <c r="AX722" s="124"/>
      <c r="AY722" s="124"/>
      <c r="AZ722" s="124"/>
      <c r="BA722" s="124"/>
      <c r="BB722" s="88"/>
      <c r="BC722" s="88"/>
      <c r="BD722" s="88"/>
      <c r="BE722" s="88"/>
      <c r="BF722" s="88"/>
      <c r="BG722" s="88"/>
      <c r="BH722" s="88"/>
      <c r="BI722" s="88"/>
      <c r="BJ722" s="88"/>
      <c r="BK722" s="88"/>
      <c r="BL722" s="88"/>
      <c r="BM722" s="88"/>
      <c r="BN722" s="88"/>
      <c r="BO722" s="88"/>
      <c r="BP722" s="88"/>
      <c r="BQ722" s="88"/>
      <c r="BR722" s="88"/>
      <c r="BS722" s="88"/>
    </row>
    <row r="723">
      <c r="J723" s="73"/>
      <c r="K723" s="74"/>
      <c r="L723" s="74"/>
      <c r="M723" s="74"/>
      <c r="N723" s="74"/>
      <c r="S723" s="75"/>
      <c r="T723" s="145"/>
      <c r="U723" s="145"/>
      <c r="V723" s="145"/>
      <c r="W723" s="145"/>
      <c r="X723" s="145"/>
      <c r="Y723" s="145"/>
      <c r="Z723" s="145"/>
      <c r="AA723" s="145"/>
      <c r="AB723" s="145"/>
      <c r="AC723" s="145"/>
      <c r="AD723" s="145"/>
      <c r="AE723" s="145"/>
      <c r="AF723" s="145"/>
      <c r="AG723" s="145"/>
      <c r="AH723" s="145"/>
      <c r="AI723" s="145"/>
      <c r="AJ723" s="145"/>
      <c r="AK723" s="145"/>
      <c r="AL723" s="145"/>
      <c r="AM723" s="145"/>
      <c r="AN723" s="145"/>
      <c r="AO723" s="145"/>
      <c r="AP723" s="145"/>
      <c r="AQ723" s="145"/>
      <c r="AR723" s="145"/>
      <c r="AS723" s="145"/>
      <c r="AT723" s="124"/>
      <c r="AU723" s="124"/>
      <c r="AV723" s="124"/>
      <c r="AW723" s="124"/>
      <c r="AX723" s="124"/>
      <c r="AY723" s="124"/>
      <c r="AZ723" s="124"/>
      <c r="BA723" s="124"/>
      <c r="BB723" s="88"/>
      <c r="BC723" s="88"/>
      <c r="BD723" s="88"/>
      <c r="BE723" s="88"/>
      <c r="BF723" s="88"/>
      <c r="BG723" s="88"/>
      <c r="BH723" s="88"/>
      <c r="BI723" s="88"/>
      <c r="BJ723" s="88"/>
      <c r="BK723" s="88"/>
      <c r="BL723" s="88"/>
      <c r="BM723" s="88"/>
      <c r="BN723" s="88"/>
      <c r="BO723" s="88"/>
      <c r="BP723" s="88"/>
      <c r="BQ723" s="88"/>
      <c r="BR723" s="88"/>
      <c r="BS723" s="88"/>
    </row>
    <row r="724">
      <c r="J724" s="73"/>
      <c r="K724" s="74"/>
      <c r="L724" s="74"/>
      <c r="M724" s="74"/>
      <c r="N724" s="74"/>
      <c r="S724" s="75"/>
      <c r="T724" s="145"/>
      <c r="U724" s="145"/>
      <c r="V724" s="145"/>
      <c r="W724" s="145"/>
      <c r="X724" s="145"/>
      <c r="Y724" s="145"/>
      <c r="Z724" s="145"/>
      <c r="AA724" s="145"/>
      <c r="AB724" s="145"/>
      <c r="AC724" s="145"/>
      <c r="AD724" s="145"/>
      <c r="AE724" s="145"/>
      <c r="AF724" s="145"/>
      <c r="AG724" s="145"/>
      <c r="AH724" s="145"/>
      <c r="AI724" s="145"/>
      <c r="AJ724" s="145"/>
      <c r="AK724" s="145"/>
      <c r="AL724" s="145"/>
      <c r="AM724" s="145"/>
      <c r="AN724" s="145"/>
      <c r="AO724" s="145"/>
      <c r="AP724" s="145"/>
      <c r="AQ724" s="145"/>
      <c r="AR724" s="145"/>
      <c r="AS724" s="145"/>
      <c r="AT724" s="124"/>
      <c r="AU724" s="124"/>
      <c r="AV724" s="124"/>
      <c r="AW724" s="124"/>
      <c r="AX724" s="124"/>
      <c r="AY724" s="124"/>
      <c r="AZ724" s="124"/>
      <c r="BA724" s="124"/>
      <c r="BB724" s="88"/>
      <c r="BC724" s="88"/>
      <c r="BD724" s="88"/>
      <c r="BE724" s="88"/>
      <c r="BF724" s="88"/>
      <c r="BG724" s="88"/>
      <c r="BH724" s="88"/>
      <c r="BI724" s="88"/>
      <c r="BJ724" s="88"/>
      <c r="BK724" s="88"/>
      <c r="BL724" s="88"/>
      <c r="BM724" s="88"/>
      <c r="BN724" s="88"/>
      <c r="BO724" s="88"/>
      <c r="BP724" s="88"/>
      <c r="BQ724" s="88"/>
      <c r="BR724" s="88"/>
      <c r="BS724" s="88"/>
    </row>
    <row r="725">
      <c r="J725" s="73"/>
      <c r="K725" s="74"/>
      <c r="L725" s="74"/>
      <c r="M725" s="74"/>
      <c r="N725" s="74"/>
      <c r="S725" s="75"/>
      <c r="T725" s="145"/>
      <c r="U725" s="145"/>
      <c r="V725" s="145"/>
      <c r="W725" s="145"/>
      <c r="X725" s="145"/>
      <c r="Y725" s="145"/>
      <c r="Z725" s="145"/>
      <c r="AA725" s="145"/>
      <c r="AB725" s="145"/>
      <c r="AC725" s="145"/>
      <c r="AD725" s="145"/>
      <c r="AE725" s="145"/>
      <c r="AF725" s="145"/>
      <c r="AG725" s="145"/>
      <c r="AH725" s="145"/>
      <c r="AI725" s="145"/>
      <c r="AJ725" s="145"/>
      <c r="AK725" s="145"/>
      <c r="AL725" s="145"/>
      <c r="AM725" s="145"/>
      <c r="AN725" s="145"/>
      <c r="AO725" s="145"/>
      <c r="AP725" s="145"/>
      <c r="AQ725" s="145"/>
      <c r="AR725" s="145"/>
      <c r="AS725" s="145"/>
      <c r="AT725" s="124"/>
      <c r="AU725" s="124"/>
      <c r="AV725" s="124"/>
      <c r="AW725" s="124"/>
      <c r="AX725" s="124"/>
      <c r="AY725" s="124"/>
      <c r="AZ725" s="124"/>
      <c r="BA725" s="124"/>
      <c r="BB725" s="88"/>
      <c r="BC725" s="88"/>
      <c r="BD725" s="88"/>
      <c r="BE725" s="88"/>
      <c r="BF725" s="88"/>
      <c r="BG725" s="88"/>
      <c r="BH725" s="88"/>
      <c r="BI725" s="88"/>
      <c r="BJ725" s="88"/>
      <c r="BK725" s="88"/>
      <c r="BL725" s="88"/>
      <c r="BM725" s="88"/>
      <c r="BN725" s="88"/>
      <c r="BO725" s="88"/>
      <c r="BP725" s="88"/>
      <c r="BQ725" s="88"/>
      <c r="BR725" s="88"/>
      <c r="BS725" s="88"/>
    </row>
    <row r="726">
      <c r="J726" s="73"/>
      <c r="K726" s="74"/>
      <c r="L726" s="74"/>
      <c r="M726" s="74"/>
      <c r="N726" s="74"/>
      <c r="S726" s="75"/>
      <c r="T726" s="145"/>
      <c r="U726" s="145"/>
      <c r="V726" s="145"/>
      <c r="W726" s="145"/>
      <c r="X726" s="145"/>
      <c r="Y726" s="145"/>
      <c r="Z726" s="145"/>
      <c r="AA726" s="145"/>
      <c r="AB726" s="145"/>
      <c r="AC726" s="145"/>
      <c r="AD726" s="145"/>
      <c r="AE726" s="145"/>
      <c r="AF726" s="145"/>
      <c r="AG726" s="145"/>
      <c r="AH726" s="145"/>
      <c r="AI726" s="145"/>
      <c r="AJ726" s="145"/>
      <c r="AK726" s="145"/>
      <c r="AL726" s="145"/>
      <c r="AM726" s="145"/>
      <c r="AN726" s="145"/>
      <c r="AO726" s="145"/>
      <c r="AP726" s="145"/>
      <c r="AQ726" s="145"/>
      <c r="AR726" s="145"/>
      <c r="AS726" s="145"/>
      <c r="AT726" s="124"/>
      <c r="AU726" s="124"/>
      <c r="AV726" s="124"/>
      <c r="AW726" s="124"/>
      <c r="AX726" s="124"/>
      <c r="AY726" s="124"/>
      <c r="AZ726" s="124"/>
      <c r="BA726" s="124"/>
      <c r="BB726" s="88"/>
      <c r="BC726" s="88"/>
      <c r="BD726" s="88"/>
      <c r="BE726" s="88"/>
      <c r="BF726" s="88"/>
      <c r="BG726" s="88"/>
      <c r="BH726" s="88"/>
      <c r="BI726" s="88"/>
      <c r="BJ726" s="88"/>
      <c r="BK726" s="88"/>
      <c r="BL726" s="88"/>
      <c r="BM726" s="88"/>
      <c r="BN726" s="88"/>
      <c r="BO726" s="88"/>
      <c r="BP726" s="88"/>
      <c r="BQ726" s="88"/>
      <c r="BR726" s="88"/>
      <c r="BS726" s="88"/>
    </row>
    <row r="727">
      <c r="J727" s="73"/>
      <c r="K727" s="74"/>
      <c r="L727" s="74"/>
      <c r="M727" s="74"/>
      <c r="N727" s="74"/>
      <c r="S727" s="75"/>
      <c r="T727" s="145"/>
      <c r="U727" s="145"/>
      <c r="V727" s="145"/>
      <c r="W727" s="145"/>
      <c r="X727" s="145"/>
      <c r="Y727" s="145"/>
      <c r="Z727" s="145"/>
      <c r="AA727" s="145"/>
      <c r="AB727" s="145"/>
      <c r="AC727" s="145"/>
      <c r="AD727" s="145"/>
      <c r="AE727" s="145"/>
      <c r="AF727" s="145"/>
      <c r="AG727" s="145"/>
      <c r="AH727" s="145"/>
      <c r="AI727" s="145"/>
      <c r="AJ727" s="145"/>
      <c r="AK727" s="145"/>
      <c r="AL727" s="145"/>
      <c r="AM727" s="145"/>
      <c r="AN727" s="145"/>
      <c r="AO727" s="145"/>
      <c r="AP727" s="145"/>
      <c r="AQ727" s="145"/>
      <c r="AR727" s="145"/>
      <c r="AS727" s="145"/>
      <c r="AT727" s="124"/>
      <c r="AU727" s="124"/>
      <c r="AV727" s="124"/>
      <c r="AW727" s="124"/>
      <c r="AX727" s="124"/>
      <c r="AY727" s="124"/>
      <c r="AZ727" s="124"/>
      <c r="BA727" s="124"/>
      <c r="BB727" s="88"/>
      <c r="BC727" s="88"/>
      <c r="BD727" s="88"/>
      <c r="BE727" s="88"/>
      <c r="BF727" s="88"/>
      <c r="BG727" s="88"/>
      <c r="BH727" s="88"/>
      <c r="BI727" s="88"/>
      <c r="BJ727" s="88"/>
      <c r="BK727" s="88"/>
      <c r="BL727" s="88"/>
      <c r="BM727" s="88"/>
      <c r="BN727" s="88"/>
      <c r="BO727" s="88"/>
      <c r="BP727" s="88"/>
      <c r="BQ727" s="88"/>
      <c r="BR727" s="88"/>
      <c r="BS727" s="88"/>
    </row>
    <row r="728">
      <c r="J728" s="73"/>
      <c r="K728" s="74"/>
      <c r="L728" s="74"/>
      <c r="M728" s="74"/>
      <c r="N728" s="74"/>
      <c r="S728" s="75"/>
      <c r="T728" s="145"/>
      <c r="U728" s="145"/>
      <c r="V728" s="145"/>
      <c r="W728" s="145"/>
      <c r="X728" s="145"/>
      <c r="Y728" s="145"/>
      <c r="Z728" s="145"/>
      <c r="AA728" s="145"/>
      <c r="AB728" s="145"/>
      <c r="AC728" s="145"/>
      <c r="AD728" s="145"/>
      <c r="AE728" s="145"/>
      <c r="AF728" s="145"/>
      <c r="AG728" s="145"/>
      <c r="AH728" s="145"/>
      <c r="AI728" s="145"/>
      <c r="AJ728" s="145"/>
      <c r="AK728" s="145"/>
      <c r="AL728" s="145"/>
      <c r="AM728" s="145"/>
      <c r="AN728" s="145"/>
      <c r="AO728" s="145"/>
      <c r="AP728" s="145"/>
      <c r="AQ728" s="145"/>
      <c r="AR728" s="145"/>
      <c r="AS728" s="145"/>
      <c r="AT728" s="124"/>
      <c r="AU728" s="124"/>
      <c r="AV728" s="124"/>
      <c r="AW728" s="124"/>
      <c r="AX728" s="124"/>
      <c r="AY728" s="124"/>
      <c r="AZ728" s="124"/>
      <c r="BA728" s="124"/>
      <c r="BB728" s="88"/>
      <c r="BC728" s="88"/>
      <c r="BD728" s="88"/>
      <c r="BE728" s="88"/>
      <c r="BF728" s="88"/>
      <c r="BG728" s="88"/>
      <c r="BH728" s="88"/>
      <c r="BI728" s="88"/>
      <c r="BJ728" s="88"/>
      <c r="BK728" s="88"/>
      <c r="BL728" s="88"/>
      <c r="BM728" s="88"/>
      <c r="BN728" s="88"/>
      <c r="BO728" s="88"/>
      <c r="BP728" s="88"/>
      <c r="BQ728" s="88"/>
      <c r="BR728" s="88"/>
      <c r="BS728" s="88"/>
    </row>
    <row r="729">
      <c r="J729" s="73"/>
      <c r="K729" s="74"/>
      <c r="L729" s="74"/>
      <c r="M729" s="74"/>
      <c r="N729" s="74"/>
      <c r="S729" s="75"/>
      <c r="T729" s="145"/>
      <c r="U729" s="145"/>
      <c r="V729" s="145"/>
      <c r="W729" s="145"/>
      <c r="X729" s="145"/>
      <c r="Y729" s="145"/>
      <c r="Z729" s="145"/>
      <c r="AA729" s="145"/>
      <c r="AB729" s="145"/>
      <c r="AC729" s="145"/>
      <c r="AD729" s="145"/>
      <c r="AE729" s="145"/>
      <c r="AF729" s="145"/>
      <c r="AG729" s="145"/>
      <c r="AH729" s="145"/>
      <c r="AI729" s="145"/>
      <c r="AJ729" s="145"/>
      <c r="AK729" s="145"/>
      <c r="AL729" s="145"/>
      <c r="AM729" s="145"/>
      <c r="AN729" s="145"/>
      <c r="AO729" s="145"/>
      <c r="AP729" s="145"/>
      <c r="AQ729" s="145"/>
      <c r="AR729" s="145"/>
      <c r="AS729" s="145"/>
      <c r="AT729" s="124"/>
      <c r="AU729" s="124"/>
      <c r="AV729" s="124"/>
      <c r="AW729" s="124"/>
      <c r="AX729" s="124"/>
      <c r="AY729" s="124"/>
      <c r="AZ729" s="124"/>
      <c r="BA729" s="124"/>
      <c r="BB729" s="88"/>
      <c r="BC729" s="88"/>
      <c r="BD729" s="88"/>
      <c r="BE729" s="88"/>
      <c r="BF729" s="88"/>
      <c r="BG729" s="88"/>
      <c r="BH729" s="88"/>
      <c r="BI729" s="88"/>
      <c r="BJ729" s="88"/>
      <c r="BK729" s="88"/>
      <c r="BL729" s="88"/>
      <c r="BM729" s="88"/>
      <c r="BN729" s="88"/>
      <c r="BO729" s="88"/>
      <c r="BP729" s="88"/>
      <c r="BQ729" s="88"/>
      <c r="BR729" s="88"/>
      <c r="BS729" s="88"/>
    </row>
    <row r="730">
      <c r="J730" s="73"/>
      <c r="K730" s="74"/>
      <c r="L730" s="74"/>
      <c r="M730" s="74"/>
      <c r="N730" s="74"/>
      <c r="S730" s="75"/>
      <c r="T730" s="145"/>
      <c r="U730" s="145"/>
      <c r="V730" s="145"/>
      <c r="W730" s="145"/>
      <c r="X730" s="145"/>
      <c r="Y730" s="145"/>
      <c r="Z730" s="145"/>
      <c r="AA730" s="145"/>
      <c r="AB730" s="145"/>
      <c r="AC730" s="145"/>
      <c r="AD730" s="145"/>
      <c r="AE730" s="145"/>
      <c r="AF730" s="145"/>
      <c r="AG730" s="145"/>
      <c r="AH730" s="145"/>
      <c r="AI730" s="145"/>
      <c r="AJ730" s="145"/>
      <c r="AK730" s="145"/>
      <c r="AL730" s="145"/>
      <c r="AM730" s="145"/>
      <c r="AN730" s="145"/>
      <c r="AO730" s="145"/>
      <c r="AP730" s="145"/>
      <c r="AQ730" s="145"/>
      <c r="AR730" s="145"/>
      <c r="AS730" s="145"/>
      <c r="AT730" s="124"/>
      <c r="AU730" s="124"/>
      <c r="AV730" s="124"/>
      <c r="AW730" s="124"/>
      <c r="AX730" s="124"/>
      <c r="AY730" s="124"/>
      <c r="AZ730" s="124"/>
      <c r="BA730" s="124"/>
      <c r="BB730" s="88"/>
      <c r="BC730" s="88"/>
      <c r="BD730" s="88"/>
      <c r="BE730" s="88"/>
      <c r="BF730" s="88"/>
      <c r="BG730" s="88"/>
      <c r="BH730" s="88"/>
      <c r="BI730" s="88"/>
      <c r="BJ730" s="88"/>
      <c r="BK730" s="88"/>
      <c r="BL730" s="88"/>
      <c r="BM730" s="88"/>
      <c r="BN730" s="88"/>
      <c r="BO730" s="88"/>
      <c r="BP730" s="88"/>
      <c r="BQ730" s="88"/>
      <c r="BR730" s="88"/>
      <c r="BS730" s="88"/>
    </row>
    <row r="731">
      <c r="J731" s="73"/>
      <c r="K731" s="74"/>
      <c r="L731" s="74"/>
      <c r="M731" s="74"/>
      <c r="N731" s="74"/>
      <c r="S731" s="75"/>
      <c r="T731" s="145"/>
      <c r="U731" s="145"/>
      <c r="V731" s="145"/>
      <c r="W731" s="145"/>
      <c r="X731" s="145"/>
      <c r="Y731" s="145"/>
      <c r="Z731" s="145"/>
      <c r="AA731" s="145"/>
      <c r="AB731" s="145"/>
      <c r="AC731" s="145"/>
      <c r="AD731" s="145"/>
      <c r="AE731" s="145"/>
      <c r="AF731" s="145"/>
      <c r="AG731" s="145"/>
      <c r="AH731" s="145"/>
      <c r="AI731" s="145"/>
      <c r="AJ731" s="145"/>
      <c r="AK731" s="145"/>
      <c r="AL731" s="145"/>
      <c r="AM731" s="145"/>
      <c r="AN731" s="145"/>
      <c r="AO731" s="145"/>
      <c r="AP731" s="145"/>
      <c r="AQ731" s="145"/>
      <c r="AR731" s="145"/>
      <c r="AS731" s="145"/>
      <c r="AT731" s="124"/>
      <c r="AU731" s="124"/>
      <c r="AV731" s="124"/>
      <c r="AW731" s="124"/>
      <c r="AX731" s="124"/>
      <c r="AY731" s="124"/>
      <c r="AZ731" s="124"/>
      <c r="BA731" s="124"/>
      <c r="BB731" s="88"/>
      <c r="BC731" s="88"/>
      <c r="BD731" s="88"/>
      <c r="BE731" s="88"/>
      <c r="BF731" s="88"/>
      <c r="BG731" s="88"/>
      <c r="BH731" s="88"/>
      <c r="BI731" s="88"/>
      <c r="BJ731" s="88"/>
      <c r="BK731" s="88"/>
      <c r="BL731" s="88"/>
      <c r="BM731" s="88"/>
      <c r="BN731" s="88"/>
      <c r="BO731" s="88"/>
      <c r="BP731" s="88"/>
      <c r="BQ731" s="88"/>
      <c r="BR731" s="88"/>
      <c r="BS731" s="88"/>
    </row>
    <row r="732">
      <c r="J732" s="73"/>
      <c r="K732" s="74"/>
      <c r="L732" s="74"/>
      <c r="M732" s="74"/>
      <c r="N732" s="74"/>
      <c r="S732" s="75"/>
      <c r="T732" s="145"/>
      <c r="U732" s="145"/>
      <c r="V732" s="145"/>
      <c r="W732" s="145"/>
      <c r="X732" s="145"/>
      <c r="Y732" s="145"/>
      <c r="Z732" s="145"/>
      <c r="AA732" s="145"/>
      <c r="AB732" s="145"/>
      <c r="AC732" s="145"/>
      <c r="AD732" s="145"/>
      <c r="AE732" s="145"/>
      <c r="AF732" s="145"/>
      <c r="AG732" s="145"/>
      <c r="AH732" s="145"/>
      <c r="AI732" s="145"/>
      <c r="AJ732" s="145"/>
      <c r="AK732" s="145"/>
      <c r="AL732" s="145"/>
      <c r="AM732" s="145"/>
      <c r="AN732" s="145"/>
      <c r="AO732" s="145"/>
      <c r="AP732" s="145"/>
      <c r="AQ732" s="145"/>
      <c r="AR732" s="145"/>
      <c r="AS732" s="145"/>
      <c r="AT732" s="124"/>
      <c r="AU732" s="124"/>
      <c r="AV732" s="124"/>
      <c r="AW732" s="124"/>
      <c r="AX732" s="124"/>
      <c r="AY732" s="124"/>
      <c r="AZ732" s="124"/>
      <c r="BA732" s="124"/>
      <c r="BB732" s="88"/>
      <c r="BC732" s="88"/>
      <c r="BD732" s="88"/>
      <c r="BE732" s="88"/>
      <c r="BF732" s="88"/>
      <c r="BG732" s="88"/>
      <c r="BH732" s="88"/>
      <c r="BI732" s="88"/>
      <c r="BJ732" s="88"/>
      <c r="BK732" s="88"/>
      <c r="BL732" s="88"/>
      <c r="BM732" s="88"/>
      <c r="BN732" s="88"/>
      <c r="BO732" s="88"/>
      <c r="BP732" s="88"/>
      <c r="BQ732" s="88"/>
      <c r="BR732" s="88"/>
      <c r="BS732" s="88"/>
    </row>
    <row r="733">
      <c r="J733" s="73"/>
      <c r="K733" s="74"/>
      <c r="L733" s="74"/>
      <c r="M733" s="74"/>
      <c r="N733" s="74"/>
      <c r="S733" s="75"/>
      <c r="T733" s="145"/>
      <c r="U733" s="145"/>
      <c r="V733" s="145"/>
      <c r="W733" s="145"/>
      <c r="X733" s="145"/>
      <c r="Y733" s="145"/>
      <c r="Z733" s="145"/>
      <c r="AA733" s="145"/>
      <c r="AB733" s="145"/>
      <c r="AC733" s="145"/>
      <c r="AD733" s="145"/>
      <c r="AE733" s="145"/>
      <c r="AF733" s="145"/>
      <c r="AG733" s="145"/>
      <c r="AH733" s="145"/>
      <c r="AI733" s="145"/>
      <c r="AJ733" s="145"/>
      <c r="AK733" s="145"/>
      <c r="AL733" s="145"/>
      <c r="AM733" s="145"/>
      <c r="AN733" s="145"/>
      <c r="AO733" s="145"/>
      <c r="AP733" s="145"/>
      <c r="AQ733" s="145"/>
      <c r="AR733" s="145"/>
      <c r="AS733" s="145"/>
      <c r="AT733" s="124"/>
      <c r="AU733" s="124"/>
      <c r="AV733" s="124"/>
      <c r="AW733" s="124"/>
      <c r="AX733" s="124"/>
      <c r="AY733" s="124"/>
      <c r="AZ733" s="124"/>
      <c r="BA733" s="124"/>
      <c r="BB733" s="88"/>
      <c r="BC733" s="88"/>
      <c r="BD733" s="88"/>
      <c r="BE733" s="88"/>
      <c r="BF733" s="88"/>
      <c r="BG733" s="88"/>
      <c r="BH733" s="88"/>
      <c r="BI733" s="88"/>
      <c r="BJ733" s="88"/>
      <c r="BK733" s="88"/>
      <c r="BL733" s="88"/>
      <c r="BM733" s="88"/>
      <c r="BN733" s="88"/>
      <c r="BO733" s="88"/>
      <c r="BP733" s="88"/>
      <c r="BQ733" s="88"/>
      <c r="BR733" s="88"/>
      <c r="BS733" s="88"/>
    </row>
    <row r="734">
      <c r="J734" s="73"/>
      <c r="K734" s="74"/>
      <c r="L734" s="74"/>
      <c r="M734" s="74"/>
      <c r="N734" s="74"/>
      <c r="S734" s="75"/>
      <c r="T734" s="145"/>
      <c r="U734" s="145"/>
      <c r="V734" s="145"/>
      <c r="W734" s="145"/>
      <c r="X734" s="145"/>
      <c r="Y734" s="145"/>
      <c r="Z734" s="145"/>
      <c r="AA734" s="145"/>
      <c r="AB734" s="145"/>
      <c r="AC734" s="145"/>
      <c r="AD734" s="145"/>
      <c r="AE734" s="145"/>
      <c r="AF734" s="145"/>
      <c r="AG734" s="145"/>
      <c r="AH734" s="145"/>
      <c r="AI734" s="145"/>
      <c r="AJ734" s="145"/>
      <c r="AK734" s="145"/>
      <c r="AL734" s="145"/>
      <c r="AM734" s="145"/>
      <c r="AN734" s="145"/>
      <c r="AO734" s="145"/>
      <c r="AP734" s="145"/>
      <c r="AQ734" s="145"/>
      <c r="AR734" s="145"/>
      <c r="AS734" s="145"/>
      <c r="AT734" s="124"/>
      <c r="AU734" s="124"/>
      <c r="AV734" s="124"/>
      <c r="AW734" s="124"/>
      <c r="AX734" s="124"/>
      <c r="AY734" s="124"/>
      <c r="AZ734" s="124"/>
      <c r="BA734" s="124"/>
      <c r="BB734" s="88"/>
      <c r="BC734" s="88"/>
      <c r="BD734" s="88"/>
      <c r="BE734" s="88"/>
      <c r="BF734" s="88"/>
      <c r="BG734" s="88"/>
      <c r="BH734" s="88"/>
      <c r="BI734" s="88"/>
      <c r="BJ734" s="88"/>
      <c r="BK734" s="88"/>
      <c r="BL734" s="88"/>
      <c r="BM734" s="88"/>
      <c r="BN734" s="88"/>
      <c r="BO734" s="88"/>
      <c r="BP734" s="88"/>
      <c r="BQ734" s="88"/>
      <c r="BR734" s="88"/>
      <c r="BS734" s="88"/>
    </row>
    <row r="735">
      <c r="J735" s="73"/>
      <c r="K735" s="74"/>
      <c r="L735" s="74"/>
      <c r="M735" s="74"/>
      <c r="N735" s="74"/>
      <c r="S735" s="75"/>
      <c r="T735" s="145"/>
      <c r="U735" s="145"/>
      <c r="V735" s="145"/>
      <c r="W735" s="145"/>
      <c r="X735" s="145"/>
      <c r="Y735" s="145"/>
      <c r="Z735" s="145"/>
      <c r="AA735" s="145"/>
      <c r="AB735" s="145"/>
      <c r="AC735" s="145"/>
      <c r="AD735" s="145"/>
      <c r="AE735" s="145"/>
      <c r="AF735" s="145"/>
      <c r="AG735" s="145"/>
      <c r="AH735" s="145"/>
      <c r="AI735" s="145"/>
      <c r="AJ735" s="145"/>
      <c r="AK735" s="145"/>
      <c r="AL735" s="145"/>
      <c r="AM735" s="145"/>
      <c r="AN735" s="145"/>
      <c r="AO735" s="145"/>
      <c r="AP735" s="145"/>
      <c r="AQ735" s="145"/>
      <c r="AR735" s="145"/>
      <c r="AS735" s="145"/>
      <c r="AT735" s="124"/>
      <c r="AU735" s="124"/>
      <c r="AV735" s="124"/>
      <c r="AW735" s="124"/>
      <c r="AX735" s="124"/>
      <c r="AY735" s="124"/>
      <c r="AZ735" s="124"/>
      <c r="BA735" s="124"/>
      <c r="BB735" s="88"/>
      <c r="BC735" s="88"/>
      <c r="BD735" s="88"/>
      <c r="BE735" s="88"/>
      <c r="BF735" s="88"/>
      <c r="BG735" s="88"/>
      <c r="BH735" s="88"/>
      <c r="BI735" s="88"/>
      <c r="BJ735" s="88"/>
      <c r="BK735" s="88"/>
      <c r="BL735" s="88"/>
      <c r="BM735" s="88"/>
      <c r="BN735" s="88"/>
      <c r="BO735" s="88"/>
      <c r="BP735" s="88"/>
      <c r="BQ735" s="88"/>
      <c r="BR735" s="88"/>
      <c r="BS735" s="88"/>
    </row>
    <row r="736">
      <c r="J736" s="73"/>
      <c r="K736" s="74"/>
      <c r="L736" s="74"/>
      <c r="M736" s="74"/>
      <c r="N736" s="74"/>
      <c r="S736" s="75"/>
      <c r="T736" s="145"/>
      <c r="U736" s="145"/>
      <c r="V736" s="145"/>
      <c r="W736" s="145"/>
      <c r="X736" s="145"/>
      <c r="Y736" s="145"/>
      <c r="Z736" s="145"/>
      <c r="AA736" s="145"/>
      <c r="AB736" s="145"/>
      <c r="AC736" s="145"/>
      <c r="AD736" s="145"/>
      <c r="AE736" s="145"/>
      <c r="AF736" s="145"/>
      <c r="AG736" s="145"/>
      <c r="AH736" s="145"/>
      <c r="AI736" s="145"/>
      <c r="AJ736" s="145"/>
      <c r="AK736" s="145"/>
      <c r="AL736" s="145"/>
      <c r="AM736" s="145"/>
      <c r="AN736" s="145"/>
      <c r="AO736" s="145"/>
      <c r="AP736" s="145"/>
      <c r="AQ736" s="145"/>
      <c r="AR736" s="145"/>
      <c r="AS736" s="145"/>
      <c r="AT736" s="124"/>
      <c r="AU736" s="124"/>
      <c r="AV736" s="124"/>
      <c r="AW736" s="124"/>
      <c r="AX736" s="124"/>
      <c r="AY736" s="124"/>
      <c r="AZ736" s="124"/>
      <c r="BA736" s="124"/>
      <c r="BB736" s="88"/>
      <c r="BC736" s="88"/>
      <c r="BD736" s="88"/>
      <c r="BE736" s="88"/>
      <c r="BF736" s="88"/>
      <c r="BG736" s="88"/>
      <c r="BH736" s="88"/>
      <c r="BI736" s="88"/>
      <c r="BJ736" s="88"/>
      <c r="BK736" s="88"/>
      <c r="BL736" s="88"/>
      <c r="BM736" s="88"/>
      <c r="BN736" s="88"/>
      <c r="BO736" s="88"/>
      <c r="BP736" s="88"/>
      <c r="BQ736" s="88"/>
      <c r="BR736" s="88"/>
      <c r="BS736" s="88"/>
    </row>
    <row r="737">
      <c r="J737" s="73"/>
      <c r="K737" s="74"/>
      <c r="L737" s="74"/>
      <c r="M737" s="74"/>
      <c r="N737" s="74"/>
      <c r="S737" s="75"/>
      <c r="T737" s="145"/>
      <c r="U737" s="145"/>
      <c r="V737" s="145"/>
      <c r="W737" s="145"/>
      <c r="X737" s="145"/>
      <c r="Y737" s="145"/>
      <c r="Z737" s="145"/>
      <c r="AA737" s="145"/>
      <c r="AB737" s="145"/>
      <c r="AC737" s="145"/>
      <c r="AD737" s="145"/>
      <c r="AE737" s="145"/>
      <c r="AF737" s="145"/>
      <c r="AG737" s="145"/>
      <c r="AH737" s="145"/>
      <c r="AI737" s="145"/>
      <c r="AJ737" s="145"/>
      <c r="AK737" s="145"/>
      <c r="AL737" s="145"/>
      <c r="AM737" s="145"/>
      <c r="AN737" s="145"/>
      <c r="AO737" s="145"/>
      <c r="AP737" s="145"/>
      <c r="AQ737" s="145"/>
      <c r="AR737" s="145"/>
      <c r="AS737" s="145"/>
      <c r="AT737" s="124"/>
      <c r="AU737" s="124"/>
      <c r="AV737" s="124"/>
      <c r="AW737" s="124"/>
      <c r="AX737" s="124"/>
      <c r="AY737" s="124"/>
      <c r="AZ737" s="124"/>
      <c r="BA737" s="124"/>
      <c r="BB737" s="88"/>
      <c r="BC737" s="88"/>
      <c r="BD737" s="88"/>
      <c r="BE737" s="88"/>
      <c r="BF737" s="88"/>
      <c r="BG737" s="88"/>
      <c r="BH737" s="88"/>
      <c r="BI737" s="88"/>
      <c r="BJ737" s="88"/>
      <c r="BK737" s="88"/>
      <c r="BL737" s="88"/>
      <c r="BM737" s="88"/>
      <c r="BN737" s="88"/>
      <c r="BO737" s="88"/>
      <c r="BP737" s="88"/>
      <c r="BQ737" s="88"/>
      <c r="BR737" s="88"/>
      <c r="BS737" s="88"/>
    </row>
    <row r="738">
      <c r="J738" s="73"/>
      <c r="K738" s="74"/>
      <c r="L738" s="74"/>
      <c r="M738" s="74"/>
      <c r="N738" s="74"/>
      <c r="S738" s="75"/>
      <c r="T738" s="145"/>
      <c r="U738" s="145"/>
      <c r="V738" s="145"/>
      <c r="W738" s="145"/>
      <c r="X738" s="145"/>
      <c r="Y738" s="145"/>
      <c r="Z738" s="145"/>
      <c r="AA738" s="145"/>
      <c r="AB738" s="145"/>
      <c r="AC738" s="145"/>
      <c r="AD738" s="145"/>
      <c r="AE738" s="145"/>
      <c r="AF738" s="145"/>
      <c r="AG738" s="145"/>
      <c r="AH738" s="145"/>
      <c r="AI738" s="145"/>
      <c r="AJ738" s="145"/>
      <c r="AK738" s="145"/>
      <c r="AL738" s="145"/>
      <c r="AM738" s="145"/>
      <c r="AN738" s="145"/>
      <c r="AO738" s="145"/>
      <c r="AP738" s="145"/>
      <c r="AQ738" s="145"/>
      <c r="AR738" s="145"/>
      <c r="AS738" s="145"/>
      <c r="AT738" s="124"/>
      <c r="AU738" s="124"/>
      <c r="AV738" s="124"/>
      <c r="AW738" s="124"/>
      <c r="AX738" s="124"/>
      <c r="AY738" s="124"/>
      <c r="AZ738" s="124"/>
      <c r="BA738" s="124"/>
      <c r="BB738" s="88"/>
      <c r="BC738" s="88"/>
      <c r="BD738" s="88"/>
      <c r="BE738" s="88"/>
      <c r="BF738" s="88"/>
      <c r="BG738" s="88"/>
      <c r="BH738" s="88"/>
      <c r="BI738" s="88"/>
      <c r="BJ738" s="88"/>
      <c r="BK738" s="88"/>
      <c r="BL738" s="88"/>
      <c r="BM738" s="88"/>
      <c r="BN738" s="88"/>
      <c r="BO738" s="88"/>
      <c r="BP738" s="88"/>
      <c r="BQ738" s="88"/>
      <c r="BR738" s="88"/>
      <c r="BS738" s="88"/>
    </row>
    <row r="739">
      <c r="J739" s="73"/>
      <c r="K739" s="74"/>
      <c r="L739" s="74"/>
      <c r="M739" s="74"/>
      <c r="N739" s="74"/>
      <c r="S739" s="75"/>
      <c r="T739" s="145"/>
      <c r="U739" s="145"/>
      <c r="V739" s="145"/>
      <c r="W739" s="145"/>
      <c r="X739" s="145"/>
      <c r="Y739" s="145"/>
      <c r="Z739" s="145"/>
      <c r="AA739" s="145"/>
      <c r="AB739" s="145"/>
      <c r="AC739" s="145"/>
      <c r="AD739" s="145"/>
      <c r="AE739" s="145"/>
      <c r="AF739" s="145"/>
      <c r="AG739" s="145"/>
      <c r="AH739" s="145"/>
      <c r="AI739" s="145"/>
      <c r="AJ739" s="145"/>
      <c r="AK739" s="145"/>
      <c r="AL739" s="145"/>
      <c r="AM739" s="145"/>
      <c r="AN739" s="145"/>
      <c r="AO739" s="145"/>
      <c r="AP739" s="145"/>
      <c r="AQ739" s="145"/>
      <c r="AR739" s="145"/>
      <c r="AS739" s="145"/>
      <c r="AT739" s="124"/>
      <c r="AU739" s="124"/>
      <c r="AV739" s="124"/>
      <c r="AW739" s="124"/>
      <c r="AX739" s="124"/>
      <c r="AY739" s="124"/>
      <c r="AZ739" s="124"/>
      <c r="BA739" s="124"/>
      <c r="BB739" s="88"/>
      <c r="BC739" s="88"/>
      <c r="BD739" s="88"/>
      <c r="BE739" s="88"/>
      <c r="BF739" s="88"/>
      <c r="BG739" s="88"/>
      <c r="BH739" s="88"/>
      <c r="BI739" s="88"/>
      <c r="BJ739" s="88"/>
      <c r="BK739" s="88"/>
      <c r="BL739" s="88"/>
      <c r="BM739" s="88"/>
      <c r="BN739" s="88"/>
      <c r="BO739" s="88"/>
      <c r="BP739" s="88"/>
      <c r="BQ739" s="88"/>
      <c r="BR739" s="88"/>
      <c r="BS739" s="88"/>
    </row>
    <row r="740">
      <c r="J740" s="73"/>
      <c r="K740" s="74"/>
      <c r="L740" s="74"/>
      <c r="M740" s="74"/>
      <c r="N740" s="74"/>
      <c r="S740" s="75"/>
      <c r="T740" s="145"/>
      <c r="U740" s="145"/>
      <c r="V740" s="145"/>
      <c r="W740" s="145"/>
      <c r="X740" s="145"/>
      <c r="Y740" s="145"/>
      <c r="Z740" s="145"/>
      <c r="AA740" s="145"/>
      <c r="AB740" s="145"/>
      <c r="AC740" s="145"/>
      <c r="AD740" s="145"/>
      <c r="AE740" s="145"/>
      <c r="AF740" s="145"/>
      <c r="AG740" s="145"/>
      <c r="AH740" s="145"/>
      <c r="AI740" s="145"/>
      <c r="AJ740" s="145"/>
      <c r="AK740" s="145"/>
      <c r="AL740" s="145"/>
      <c r="AM740" s="145"/>
      <c r="AN740" s="145"/>
      <c r="AO740" s="145"/>
      <c r="AP740" s="145"/>
      <c r="AQ740" s="145"/>
      <c r="AR740" s="145"/>
      <c r="AS740" s="145"/>
      <c r="AT740" s="124"/>
      <c r="AU740" s="124"/>
      <c r="AV740" s="124"/>
      <c r="AW740" s="124"/>
      <c r="AX740" s="124"/>
      <c r="AY740" s="124"/>
      <c r="AZ740" s="124"/>
      <c r="BA740" s="124"/>
      <c r="BB740" s="88"/>
      <c r="BC740" s="88"/>
      <c r="BD740" s="88"/>
      <c r="BE740" s="88"/>
      <c r="BF740" s="88"/>
      <c r="BG740" s="88"/>
      <c r="BH740" s="88"/>
      <c r="BI740" s="88"/>
      <c r="BJ740" s="88"/>
      <c r="BK740" s="88"/>
      <c r="BL740" s="88"/>
      <c r="BM740" s="88"/>
      <c r="BN740" s="88"/>
      <c r="BO740" s="88"/>
      <c r="BP740" s="88"/>
      <c r="BQ740" s="88"/>
      <c r="BR740" s="88"/>
      <c r="BS740" s="88"/>
    </row>
    <row r="741">
      <c r="J741" s="73"/>
      <c r="K741" s="74"/>
      <c r="L741" s="74"/>
      <c r="M741" s="74"/>
      <c r="N741" s="74"/>
      <c r="S741" s="75"/>
      <c r="T741" s="145"/>
      <c r="U741" s="145"/>
      <c r="V741" s="145"/>
      <c r="W741" s="145"/>
      <c r="X741" s="145"/>
      <c r="Y741" s="145"/>
      <c r="Z741" s="145"/>
      <c r="AA741" s="145"/>
      <c r="AB741" s="145"/>
      <c r="AC741" s="145"/>
      <c r="AD741" s="145"/>
      <c r="AE741" s="145"/>
      <c r="AF741" s="145"/>
      <c r="AG741" s="145"/>
      <c r="AH741" s="145"/>
      <c r="AI741" s="145"/>
      <c r="AJ741" s="145"/>
      <c r="AK741" s="145"/>
      <c r="AL741" s="145"/>
      <c r="AM741" s="145"/>
      <c r="AN741" s="145"/>
      <c r="AO741" s="145"/>
      <c r="AP741" s="145"/>
      <c r="AQ741" s="145"/>
      <c r="AR741" s="145"/>
      <c r="AS741" s="145"/>
      <c r="AT741" s="124"/>
      <c r="AU741" s="124"/>
      <c r="AV741" s="124"/>
      <c r="AW741" s="124"/>
      <c r="AX741" s="124"/>
      <c r="AY741" s="124"/>
      <c r="AZ741" s="124"/>
      <c r="BA741" s="124"/>
      <c r="BB741" s="88"/>
      <c r="BC741" s="88"/>
      <c r="BD741" s="88"/>
      <c r="BE741" s="88"/>
      <c r="BF741" s="88"/>
      <c r="BG741" s="88"/>
      <c r="BH741" s="88"/>
      <c r="BI741" s="88"/>
      <c r="BJ741" s="88"/>
      <c r="BK741" s="88"/>
      <c r="BL741" s="88"/>
      <c r="BM741" s="88"/>
      <c r="BN741" s="88"/>
      <c r="BO741" s="88"/>
      <c r="BP741" s="88"/>
      <c r="BQ741" s="88"/>
      <c r="BR741" s="88"/>
      <c r="BS741" s="88"/>
    </row>
    <row r="742">
      <c r="J742" s="73"/>
      <c r="K742" s="74"/>
      <c r="L742" s="74"/>
      <c r="M742" s="74"/>
      <c r="N742" s="74"/>
      <c r="S742" s="75"/>
      <c r="T742" s="145"/>
      <c r="U742" s="145"/>
      <c r="V742" s="145"/>
      <c r="W742" s="145"/>
      <c r="X742" s="145"/>
      <c r="Y742" s="145"/>
      <c r="Z742" s="145"/>
      <c r="AA742" s="145"/>
      <c r="AB742" s="145"/>
      <c r="AC742" s="145"/>
      <c r="AD742" s="145"/>
      <c r="AE742" s="145"/>
      <c r="AF742" s="145"/>
      <c r="AG742" s="145"/>
      <c r="AH742" s="145"/>
      <c r="AI742" s="145"/>
      <c r="AJ742" s="145"/>
      <c r="AK742" s="145"/>
      <c r="AL742" s="145"/>
      <c r="AM742" s="145"/>
      <c r="AN742" s="145"/>
      <c r="AO742" s="145"/>
      <c r="AP742" s="145"/>
      <c r="AQ742" s="145"/>
      <c r="AR742" s="145"/>
      <c r="AS742" s="145"/>
      <c r="AT742" s="124"/>
      <c r="AU742" s="124"/>
      <c r="AV742" s="124"/>
      <c r="AW742" s="124"/>
      <c r="AX742" s="124"/>
      <c r="AY742" s="124"/>
      <c r="AZ742" s="124"/>
      <c r="BA742" s="124"/>
      <c r="BB742" s="88"/>
      <c r="BC742" s="88"/>
      <c r="BD742" s="88"/>
      <c r="BE742" s="88"/>
      <c r="BF742" s="88"/>
      <c r="BG742" s="88"/>
      <c r="BH742" s="88"/>
      <c r="BI742" s="88"/>
      <c r="BJ742" s="88"/>
      <c r="BK742" s="88"/>
      <c r="BL742" s="88"/>
      <c r="BM742" s="88"/>
      <c r="BN742" s="88"/>
      <c r="BO742" s="88"/>
      <c r="BP742" s="88"/>
      <c r="BQ742" s="88"/>
      <c r="BR742" s="88"/>
      <c r="BS742" s="88"/>
    </row>
    <row r="743">
      <c r="J743" s="73"/>
      <c r="K743" s="74"/>
      <c r="L743" s="74"/>
      <c r="M743" s="74"/>
      <c r="N743" s="74"/>
      <c r="S743" s="75"/>
      <c r="T743" s="145"/>
      <c r="U743" s="145"/>
      <c r="V743" s="145"/>
      <c r="W743" s="145"/>
      <c r="X743" s="145"/>
      <c r="Y743" s="145"/>
      <c r="Z743" s="145"/>
      <c r="AA743" s="145"/>
      <c r="AB743" s="145"/>
      <c r="AC743" s="145"/>
      <c r="AD743" s="145"/>
      <c r="AE743" s="145"/>
      <c r="AF743" s="145"/>
      <c r="AG743" s="145"/>
      <c r="AH743" s="145"/>
      <c r="AI743" s="145"/>
      <c r="AJ743" s="145"/>
      <c r="AK743" s="145"/>
      <c r="AL743" s="145"/>
      <c r="AM743" s="145"/>
      <c r="AN743" s="145"/>
      <c r="AO743" s="145"/>
      <c r="AP743" s="145"/>
      <c r="AQ743" s="145"/>
      <c r="AR743" s="145"/>
      <c r="AS743" s="145"/>
      <c r="AT743" s="124"/>
      <c r="AU743" s="124"/>
      <c r="AV743" s="124"/>
      <c r="AW743" s="124"/>
      <c r="AX743" s="124"/>
      <c r="AY743" s="124"/>
      <c r="AZ743" s="124"/>
      <c r="BA743" s="124"/>
      <c r="BB743" s="88"/>
      <c r="BC743" s="88"/>
      <c r="BD743" s="88"/>
      <c r="BE743" s="88"/>
      <c r="BF743" s="88"/>
      <c r="BG743" s="88"/>
      <c r="BH743" s="88"/>
      <c r="BI743" s="88"/>
      <c r="BJ743" s="88"/>
      <c r="BK743" s="88"/>
      <c r="BL743" s="88"/>
      <c r="BM743" s="88"/>
      <c r="BN743" s="88"/>
      <c r="BO743" s="88"/>
      <c r="BP743" s="88"/>
      <c r="BQ743" s="88"/>
      <c r="BR743" s="88"/>
      <c r="BS743" s="88"/>
    </row>
    <row r="744">
      <c r="J744" s="73"/>
      <c r="K744" s="74"/>
      <c r="L744" s="74"/>
      <c r="M744" s="74"/>
      <c r="N744" s="74"/>
      <c r="S744" s="75"/>
      <c r="T744" s="145"/>
      <c r="U744" s="145"/>
      <c r="V744" s="145"/>
      <c r="W744" s="145"/>
      <c r="X744" s="145"/>
      <c r="Y744" s="145"/>
      <c r="Z744" s="145"/>
      <c r="AA744" s="145"/>
      <c r="AB744" s="145"/>
      <c r="AC744" s="145"/>
      <c r="AD744" s="145"/>
      <c r="AE744" s="145"/>
      <c r="AF744" s="145"/>
      <c r="AG744" s="145"/>
      <c r="AH744" s="145"/>
      <c r="AI744" s="145"/>
      <c r="AJ744" s="145"/>
      <c r="AK744" s="145"/>
      <c r="AL744" s="145"/>
      <c r="AM744" s="145"/>
      <c r="AN744" s="145"/>
      <c r="AO744" s="145"/>
      <c r="AP744" s="145"/>
      <c r="AQ744" s="145"/>
      <c r="AR744" s="145"/>
      <c r="AS744" s="145"/>
      <c r="AT744" s="124"/>
      <c r="AU744" s="124"/>
      <c r="AV744" s="124"/>
      <c r="AW744" s="124"/>
      <c r="AX744" s="124"/>
      <c r="AY744" s="124"/>
      <c r="AZ744" s="124"/>
      <c r="BA744" s="124"/>
      <c r="BB744" s="88"/>
      <c r="BC744" s="88"/>
      <c r="BD744" s="88"/>
      <c r="BE744" s="88"/>
      <c r="BF744" s="88"/>
      <c r="BG744" s="88"/>
      <c r="BH744" s="88"/>
      <c r="BI744" s="88"/>
      <c r="BJ744" s="88"/>
      <c r="BK744" s="88"/>
      <c r="BL744" s="88"/>
      <c r="BM744" s="88"/>
      <c r="BN744" s="88"/>
      <c r="BO744" s="88"/>
      <c r="BP744" s="88"/>
      <c r="BQ744" s="88"/>
      <c r="BR744" s="88"/>
      <c r="BS744" s="88"/>
    </row>
    <row r="745">
      <c r="J745" s="73"/>
      <c r="K745" s="74"/>
      <c r="L745" s="74"/>
      <c r="M745" s="74"/>
      <c r="N745" s="74"/>
      <c r="S745" s="75"/>
      <c r="T745" s="145"/>
      <c r="U745" s="145"/>
      <c r="V745" s="145"/>
      <c r="W745" s="145"/>
      <c r="X745" s="145"/>
      <c r="Y745" s="145"/>
      <c r="Z745" s="145"/>
      <c r="AA745" s="145"/>
      <c r="AB745" s="145"/>
      <c r="AC745" s="145"/>
      <c r="AD745" s="145"/>
      <c r="AE745" s="145"/>
      <c r="AF745" s="145"/>
      <c r="AG745" s="145"/>
      <c r="AH745" s="145"/>
      <c r="AI745" s="145"/>
      <c r="AJ745" s="145"/>
      <c r="AK745" s="145"/>
      <c r="AL745" s="145"/>
      <c r="AM745" s="145"/>
      <c r="AN745" s="145"/>
      <c r="AO745" s="145"/>
      <c r="AP745" s="145"/>
      <c r="AQ745" s="145"/>
      <c r="AR745" s="145"/>
      <c r="AS745" s="145"/>
      <c r="AT745" s="124"/>
      <c r="AU745" s="124"/>
      <c r="AV745" s="124"/>
      <c r="AW745" s="124"/>
      <c r="AX745" s="124"/>
      <c r="AY745" s="124"/>
      <c r="AZ745" s="124"/>
      <c r="BA745" s="124"/>
      <c r="BB745" s="88"/>
      <c r="BC745" s="88"/>
      <c r="BD745" s="88"/>
      <c r="BE745" s="88"/>
      <c r="BF745" s="88"/>
      <c r="BG745" s="88"/>
      <c r="BH745" s="88"/>
      <c r="BI745" s="88"/>
      <c r="BJ745" s="88"/>
      <c r="BK745" s="88"/>
      <c r="BL745" s="88"/>
      <c r="BM745" s="88"/>
      <c r="BN745" s="88"/>
      <c r="BO745" s="88"/>
      <c r="BP745" s="88"/>
      <c r="BQ745" s="88"/>
      <c r="BR745" s="88"/>
      <c r="BS745" s="88"/>
    </row>
    <row r="746">
      <c r="J746" s="73"/>
      <c r="K746" s="74"/>
      <c r="L746" s="74"/>
      <c r="M746" s="74"/>
      <c r="N746" s="74"/>
      <c r="S746" s="75"/>
      <c r="T746" s="145"/>
      <c r="U746" s="145"/>
      <c r="V746" s="145"/>
      <c r="W746" s="145"/>
      <c r="X746" s="145"/>
      <c r="Y746" s="145"/>
      <c r="Z746" s="145"/>
      <c r="AA746" s="145"/>
      <c r="AB746" s="145"/>
      <c r="AC746" s="145"/>
      <c r="AD746" s="145"/>
      <c r="AE746" s="145"/>
      <c r="AF746" s="145"/>
      <c r="AG746" s="145"/>
      <c r="AH746" s="145"/>
      <c r="AI746" s="145"/>
      <c r="AJ746" s="145"/>
      <c r="AK746" s="145"/>
      <c r="AL746" s="145"/>
      <c r="AM746" s="145"/>
      <c r="AN746" s="145"/>
      <c r="AO746" s="145"/>
      <c r="AP746" s="145"/>
      <c r="AQ746" s="145"/>
      <c r="AR746" s="145"/>
      <c r="AS746" s="145"/>
      <c r="AT746" s="124"/>
      <c r="AU746" s="124"/>
      <c r="AV746" s="124"/>
      <c r="AW746" s="124"/>
      <c r="AX746" s="124"/>
      <c r="AY746" s="124"/>
      <c r="AZ746" s="124"/>
      <c r="BA746" s="124"/>
      <c r="BB746" s="88"/>
      <c r="BC746" s="88"/>
      <c r="BD746" s="88"/>
      <c r="BE746" s="88"/>
      <c r="BF746" s="88"/>
      <c r="BG746" s="88"/>
      <c r="BH746" s="88"/>
      <c r="BI746" s="88"/>
      <c r="BJ746" s="88"/>
      <c r="BK746" s="88"/>
      <c r="BL746" s="88"/>
      <c r="BM746" s="88"/>
      <c r="BN746" s="88"/>
      <c r="BO746" s="88"/>
      <c r="BP746" s="88"/>
      <c r="BQ746" s="88"/>
      <c r="BR746" s="88"/>
      <c r="BS746" s="88"/>
    </row>
    <row r="747">
      <c r="J747" s="73"/>
      <c r="K747" s="74"/>
      <c r="L747" s="74"/>
      <c r="M747" s="74"/>
      <c r="N747" s="74"/>
      <c r="S747" s="75"/>
      <c r="T747" s="145"/>
      <c r="U747" s="145"/>
      <c r="V747" s="145"/>
      <c r="W747" s="145"/>
      <c r="X747" s="145"/>
      <c r="Y747" s="145"/>
      <c r="Z747" s="145"/>
      <c r="AA747" s="145"/>
      <c r="AB747" s="145"/>
      <c r="AC747" s="145"/>
      <c r="AD747" s="145"/>
      <c r="AE747" s="145"/>
      <c r="AF747" s="145"/>
      <c r="AG747" s="145"/>
      <c r="AH747" s="145"/>
      <c r="AI747" s="145"/>
      <c r="AJ747" s="145"/>
      <c r="AK747" s="145"/>
      <c r="AL747" s="145"/>
      <c r="AM747" s="145"/>
      <c r="AN747" s="145"/>
      <c r="AO747" s="145"/>
      <c r="AP747" s="145"/>
      <c r="AQ747" s="145"/>
      <c r="AR747" s="145"/>
      <c r="AS747" s="145"/>
      <c r="AT747" s="124"/>
      <c r="AU747" s="124"/>
      <c r="AV747" s="124"/>
      <c r="AW747" s="124"/>
      <c r="AX747" s="124"/>
      <c r="AY747" s="124"/>
      <c r="AZ747" s="124"/>
      <c r="BA747" s="124"/>
      <c r="BB747" s="88"/>
      <c r="BC747" s="88"/>
      <c r="BD747" s="88"/>
      <c r="BE747" s="88"/>
      <c r="BF747" s="88"/>
      <c r="BG747" s="88"/>
      <c r="BH747" s="88"/>
      <c r="BI747" s="88"/>
      <c r="BJ747" s="88"/>
      <c r="BK747" s="88"/>
      <c r="BL747" s="88"/>
      <c r="BM747" s="88"/>
      <c r="BN747" s="88"/>
      <c r="BO747" s="88"/>
      <c r="BP747" s="88"/>
      <c r="BQ747" s="88"/>
      <c r="BR747" s="88"/>
      <c r="BS747" s="88"/>
    </row>
    <row r="748">
      <c r="J748" s="73"/>
      <c r="K748" s="74"/>
      <c r="L748" s="74"/>
      <c r="M748" s="74"/>
      <c r="N748" s="74"/>
      <c r="S748" s="75"/>
      <c r="T748" s="145"/>
      <c r="U748" s="145"/>
      <c r="V748" s="145"/>
      <c r="W748" s="145"/>
      <c r="X748" s="145"/>
      <c r="Y748" s="145"/>
      <c r="Z748" s="145"/>
      <c r="AA748" s="145"/>
      <c r="AB748" s="145"/>
      <c r="AC748" s="145"/>
      <c r="AD748" s="145"/>
      <c r="AE748" s="145"/>
      <c r="AF748" s="145"/>
      <c r="AG748" s="145"/>
      <c r="AH748" s="145"/>
      <c r="AI748" s="145"/>
      <c r="AJ748" s="145"/>
      <c r="AK748" s="145"/>
      <c r="AL748" s="145"/>
      <c r="AM748" s="145"/>
      <c r="AN748" s="145"/>
      <c r="AO748" s="145"/>
      <c r="AP748" s="145"/>
      <c r="AQ748" s="145"/>
      <c r="AR748" s="145"/>
      <c r="AS748" s="145"/>
      <c r="AT748" s="124"/>
      <c r="AU748" s="124"/>
      <c r="AV748" s="124"/>
      <c r="AW748" s="124"/>
      <c r="AX748" s="124"/>
      <c r="AY748" s="124"/>
      <c r="AZ748" s="124"/>
      <c r="BA748" s="124"/>
      <c r="BB748" s="88"/>
      <c r="BC748" s="88"/>
      <c r="BD748" s="88"/>
      <c r="BE748" s="88"/>
      <c r="BF748" s="88"/>
      <c r="BG748" s="88"/>
      <c r="BH748" s="88"/>
      <c r="BI748" s="88"/>
      <c r="BJ748" s="88"/>
      <c r="BK748" s="88"/>
      <c r="BL748" s="88"/>
      <c r="BM748" s="88"/>
      <c r="BN748" s="88"/>
      <c r="BO748" s="88"/>
      <c r="BP748" s="88"/>
      <c r="BQ748" s="88"/>
      <c r="BR748" s="88"/>
      <c r="BS748" s="88"/>
    </row>
    <row r="749">
      <c r="J749" s="73"/>
      <c r="K749" s="74"/>
      <c r="L749" s="74"/>
      <c r="M749" s="74"/>
      <c r="N749" s="74"/>
      <c r="S749" s="75"/>
      <c r="T749" s="145"/>
      <c r="U749" s="145"/>
      <c r="V749" s="145"/>
      <c r="W749" s="145"/>
      <c r="X749" s="145"/>
      <c r="Y749" s="145"/>
      <c r="Z749" s="145"/>
      <c r="AA749" s="145"/>
      <c r="AB749" s="145"/>
      <c r="AC749" s="145"/>
      <c r="AD749" s="145"/>
      <c r="AE749" s="145"/>
      <c r="AF749" s="145"/>
      <c r="AG749" s="145"/>
      <c r="AH749" s="145"/>
      <c r="AI749" s="145"/>
      <c r="AJ749" s="145"/>
      <c r="AK749" s="145"/>
      <c r="AL749" s="145"/>
      <c r="AM749" s="145"/>
      <c r="AN749" s="145"/>
      <c r="AO749" s="145"/>
      <c r="AP749" s="145"/>
      <c r="AQ749" s="145"/>
      <c r="AR749" s="145"/>
      <c r="AS749" s="145"/>
      <c r="AT749" s="124"/>
      <c r="AU749" s="124"/>
      <c r="AV749" s="124"/>
      <c r="AW749" s="124"/>
      <c r="AX749" s="124"/>
      <c r="AY749" s="124"/>
      <c r="AZ749" s="124"/>
      <c r="BA749" s="124"/>
      <c r="BB749" s="88"/>
      <c r="BC749" s="88"/>
      <c r="BD749" s="88"/>
      <c r="BE749" s="88"/>
      <c r="BF749" s="88"/>
      <c r="BG749" s="88"/>
      <c r="BH749" s="88"/>
      <c r="BI749" s="88"/>
      <c r="BJ749" s="88"/>
      <c r="BK749" s="88"/>
      <c r="BL749" s="88"/>
      <c r="BM749" s="88"/>
      <c r="BN749" s="88"/>
      <c r="BO749" s="88"/>
      <c r="BP749" s="88"/>
      <c r="BQ749" s="88"/>
      <c r="BR749" s="88"/>
      <c r="BS749" s="88"/>
    </row>
    <row r="750">
      <c r="J750" s="73"/>
      <c r="K750" s="74"/>
      <c r="L750" s="74"/>
      <c r="M750" s="74"/>
      <c r="N750" s="74"/>
      <c r="S750" s="75"/>
      <c r="T750" s="145"/>
      <c r="U750" s="145"/>
      <c r="V750" s="145"/>
      <c r="W750" s="145"/>
      <c r="X750" s="145"/>
      <c r="Y750" s="145"/>
      <c r="Z750" s="145"/>
      <c r="AA750" s="145"/>
      <c r="AB750" s="145"/>
      <c r="AC750" s="145"/>
      <c r="AD750" s="145"/>
      <c r="AE750" s="145"/>
      <c r="AF750" s="145"/>
      <c r="AG750" s="145"/>
      <c r="AH750" s="145"/>
      <c r="AI750" s="145"/>
      <c r="AJ750" s="145"/>
      <c r="AK750" s="145"/>
      <c r="AL750" s="145"/>
      <c r="AM750" s="145"/>
      <c r="AN750" s="145"/>
      <c r="AO750" s="145"/>
      <c r="AP750" s="145"/>
      <c r="AQ750" s="145"/>
      <c r="AR750" s="145"/>
      <c r="AS750" s="145"/>
      <c r="AT750" s="124"/>
      <c r="AU750" s="124"/>
      <c r="AV750" s="124"/>
      <c r="AW750" s="124"/>
      <c r="AX750" s="124"/>
      <c r="AY750" s="124"/>
      <c r="AZ750" s="124"/>
      <c r="BA750" s="124"/>
      <c r="BB750" s="88"/>
      <c r="BC750" s="88"/>
      <c r="BD750" s="88"/>
      <c r="BE750" s="88"/>
      <c r="BF750" s="88"/>
      <c r="BG750" s="88"/>
      <c r="BH750" s="88"/>
      <c r="BI750" s="88"/>
      <c r="BJ750" s="88"/>
      <c r="BK750" s="88"/>
      <c r="BL750" s="88"/>
      <c r="BM750" s="88"/>
      <c r="BN750" s="88"/>
      <c r="BO750" s="88"/>
      <c r="BP750" s="88"/>
      <c r="BQ750" s="88"/>
      <c r="BR750" s="88"/>
      <c r="BS750" s="88"/>
    </row>
    <row r="751">
      <c r="J751" s="73"/>
      <c r="K751" s="74"/>
      <c r="L751" s="74"/>
      <c r="M751" s="74"/>
      <c r="N751" s="74"/>
      <c r="S751" s="75"/>
      <c r="T751" s="145"/>
      <c r="U751" s="145"/>
      <c r="V751" s="145"/>
      <c r="W751" s="145"/>
      <c r="X751" s="145"/>
      <c r="Y751" s="145"/>
      <c r="Z751" s="145"/>
      <c r="AA751" s="145"/>
      <c r="AB751" s="145"/>
      <c r="AC751" s="145"/>
      <c r="AD751" s="145"/>
      <c r="AE751" s="145"/>
      <c r="AF751" s="145"/>
      <c r="AG751" s="145"/>
      <c r="AH751" s="145"/>
      <c r="AI751" s="145"/>
      <c r="AJ751" s="145"/>
      <c r="AK751" s="145"/>
      <c r="AL751" s="145"/>
      <c r="AM751" s="145"/>
      <c r="AN751" s="145"/>
      <c r="AO751" s="145"/>
      <c r="AP751" s="145"/>
      <c r="AQ751" s="145"/>
      <c r="AR751" s="145"/>
      <c r="AS751" s="145"/>
      <c r="AT751" s="124"/>
      <c r="AU751" s="124"/>
      <c r="AV751" s="124"/>
      <c r="AW751" s="124"/>
      <c r="AX751" s="124"/>
      <c r="AY751" s="124"/>
      <c r="AZ751" s="124"/>
      <c r="BA751" s="124"/>
      <c r="BB751" s="88"/>
      <c r="BC751" s="88"/>
      <c r="BD751" s="88"/>
      <c r="BE751" s="88"/>
      <c r="BF751" s="88"/>
      <c r="BG751" s="88"/>
      <c r="BH751" s="88"/>
      <c r="BI751" s="88"/>
      <c r="BJ751" s="88"/>
      <c r="BK751" s="88"/>
      <c r="BL751" s="88"/>
      <c r="BM751" s="88"/>
      <c r="BN751" s="88"/>
      <c r="BO751" s="88"/>
      <c r="BP751" s="88"/>
      <c r="BQ751" s="88"/>
      <c r="BR751" s="88"/>
      <c r="BS751" s="88"/>
    </row>
    <row r="752">
      <c r="J752" s="73"/>
      <c r="K752" s="74"/>
      <c r="L752" s="74"/>
      <c r="M752" s="74"/>
      <c r="N752" s="74"/>
      <c r="S752" s="75"/>
      <c r="T752" s="145"/>
      <c r="U752" s="145"/>
      <c r="V752" s="145"/>
      <c r="W752" s="145"/>
      <c r="X752" s="145"/>
      <c r="Y752" s="145"/>
      <c r="Z752" s="145"/>
      <c r="AA752" s="145"/>
      <c r="AB752" s="145"/>
      <c r="AC752" s="145"/>
      <c r="AD752" s="145"/>
      <c r="AE752" s="145"/>
      <c r="AF752" s="145"/>
      <c r="AG752" s="145"/>
      <c r="AH752" s="145"/>
      <c r="AI752" s="145"/>
      <c r="AJ752" s="145"/>
      <c r="AK752" s="145"/>
      <c r="AL752" s="145"/>
      <c r="AM752" s="145"/>
      <c r="AN752" s="145"/>
      <c r="AO752" s="145"/>
      <c r="AP752" s="145"/>
      <c r="AQ752" s="145"/>
      <c r="AR752" s="145"/>
      <c r="AS752" s="145"/>
      <c r="AT752" s="124"/>
      <c r="AU752" s="124"/>
      <c r="AV752" s="124"/>
      <c r="AW752" s="124"/>
      <c r="AX752" s="124"/>
      <c r="AY752" s="124"/>
      <c r="AZ752" s="124"/>
      <c r="BA752" s="124"/>
      <c r="BB752" s="88"/>
      <c r="BC752" s="88"/>
      <c r="BD752" s="88"/>
      <c r="BE752" s="88"/>
      <c r="BF752" s="88"/>
      <c r="BG752" s="88"/>
      <c r="BH752" s="88"/>
      <c r="BI752" s="88"/>
      <c r="BJ752" s="88"/>
      <c r="BK752" s="88"/>
      <c r="BL752" s="88"/>
      <c r="BM752" s="88"/>
      <c r="BN752" s="88"/>
      <c r="BO752" s="88"/>
      <c r="BP752" s="88"/>
      <c r="BQ752" s="88"/>
      <c r="BR752" s="88"/>
      <c r="BS752" s="88"/>
    </row>
    <row r="753">
      <c r="J753" s="73"/>
      <c r="K753" s="74"/>
      <c r="L753" s="74"/>
      <c r="M753" s="74"/>
      <c r="N753" s="74"/>
      <c r="S753" s="75"/>
      <c r="T753" s="145"/>
      <c r="U753" s="145"/>
      <c r="V753" s="145"/>
      <c r="W753" s="145"/>
      <c r="X753" s="145"/>
      <c r="Y753" s="145"/>
      <c r="Z753" s="145"/>
      <c r="AA753" s="145"/>
      <c r="AB753" s="145"/>
      <c r="AC753" s="145"/>
      <c r="AD753" s="145"/>
      <c r="AE753" s="145"/>
      <c r="AF753" s="145"/>
      <c r="AG753" s="145"/>
      <c r="AH753" s="145"/>
      <c r="AI753" s="145"/>
      <c r="AJ753" s="145"/>
      <c r="AK753" s="145"/>
      <c r="AL753" s="145"/>
      <c r="AM753" s="145"/>
      <c r="AN753" s="145"/>
      <c r="AO753" s="145"/>
      <c r="AP753" s="145"/>
      <c r="AQ753" s="145"/>
      <c r="AR753" s="145"/>
      <c r="AS753" s="145"/>
      <c r="AT753" s="124"/>
      <c r="AU753" s="124"/>
      <c r="AV753" s="124"/>
      <c r="AW753" s="124"/>
      <c r="AX753" s="124"/>
      <c r="AY753" s="124"/>
      <c r="AZ753" s="124"/>
      <c r="BA753" s="124"/>
      <c r="BB753" s="88"/>
      <c r="BC753" s="88"/>
      <c r="BD753" s="88"/>
      <c r="BE753" s="88"/>
      <c r="BF753" s="88"/>
      <c r="BG753" s="88"/>
      <c r="BH753" s="88"/>
      <c r="BI753" s="88"/>
      <c r="BJ753" s="88"/>
      <c r="BK753" s="88"/>
      <c r="BL753" s="88"/>
      <c r="BM753" s="88"/>
      <c r="BN753" s="88"/>
      <c r="BO753" s="88"/>
      <c r="BP753" s="88"/>
      <c r="BQ753" s="88"/>
      <c r="BR753" s="88"/>
      <c r="BS753" s="88"/>
    </row>
    <row r="754">
      <c r="J754" s="73"/>
      <c r="K754" s="74"/>
      <c r="L754" s="74"/>
      <c r="M754" s="74"/>
      <c r="N754" s="74"/>
      <c r="S754" s="75"/>
      <c r="T754" s="145"/>
      <c r="U754" s="145"/>
      <c r="V754" s="145"/>
      <c r="W754" s="145"/>
      <c r="X754" s="145"/>
      <c r="Y754" s="145"/>
      <c r="Z754" s="145"/>
      <c r="AA754" s="145"/>
      <c r="AB754" s="145"/>
      <c r="AC754" s="145"/>
      <c r="AD754" s="145"/>
      <c r="AE754" s="145"/>
      <c r="AF754" s="145"/>
      <c r="AG754" s="145"/>
      <c r="AH754" s="145"/>
      <c r="AI754" s="145"/>
      <c r="AJ754" s="145"/>
      <c r="AK754" s="145"/>
      <c r="AL754" s="145"/>
      <c r="AM754" s="145"/>
      <c r="AN754" s="145"/>
      <c r="AO754" s="145"/>
      <c r="AP754" s="145"/>
      <c r="AQ754" s="145"/>
      <c r="AR754" s="145"/>
      <c r="AS754" s="145"/>
      <c r="AT754" s="124"/>
      <c r="AU754" s="124"/>
      <c r="AV754" s="124"/>
      <c r="AW754" s="124"/>
      <c r="AX754" s="124"/>
      <c r="AY754" s="124"/>
      <c r="AZ754" s="124"/>
      <c r="BA754" s="124"/>
      <c r="BB754" s="88"/>
      <c r="BC754" s="88"/>
      <c r="BD754" s="88"/>
      <c r="BE754" s="88"/>
      <c r="BF754" s="88"/>
      <c r="BG754" s="88"/>
      <c r="BH754" s="88"/>
      <c r="BI754" s="88"/>
      <c r="BJ754" s="88"/>
      <c r="BK754" s="88"/>
      <c r="BL754" s="88"/>
      <c r="BM754" s="88"/>
      <c r="BN754" s="88"/>
      <c r="BO754" s="88"/>
      <c r="BP754" s="88"/>
      <c r="BQ754" s="88"/>
      <c r="BR754" s="88"/>
      <c r="BS754" s="88"/>
    </row>
    <row r="755">
      <c r="J755" s="73"/>
      <c r="K755" s="74"/>
      <c r="L755" s="74"/>
      <c r="M755" s="74"/>
      <c r="N755" s="74"/>
      <c r="S755" s="75"/>
      <c r="T755" s="145"/>
      <c r="U755" s="145"/>
      <c r="V755" s="145"/>
      <c r="W755" s="145"/>
      <c r="X755" s="145"/>
      <c r="Y755" s="145"/>
      <c r="Z755" s="145"/>
      <c r="AA755" s="145"/>
      <c r="AB755" s="145"/>
      <c r="AC755" s="145"/>
      <c r="AD755" s="145"/>
      <c r="AE755" s="145"/>
      <c r="AF755" s="145"/>
      <c r="AG755" s="145"/>
      <c r="AH755" s="145"/>
      <c r="AI755" s="145"/>
      <c r="AJ755" s="145"/>
      <c r="AK755" s="145"/>
      <c r="AL755" s="145"/>
      <c r="AM755" s="145"/>
      <c r="AN755" s="145"/>
      <c r="AO755" s="145"/>
      <c r="AP755" s="145"/>
      <c r="AQ755" s="145"/>
      <c r="AR755" s="145"/>
      <c r="AS755" s="145"/>
      <c r="AT755" s="124"/>
      <c r="AU755" s="124"/>
      <c r="AV755" s="124"/>
      <c r="AW755" s="124"/>
      <c r="AX755" s="124"/>
      <c r="AY755" s="124"/>
      <c r="AZ755" s="124"/>
      <c r="BA755" s="124"/>
      <c r="BB755" s="88"/>
      <c r="BC755" s="88"/>
      <c r="BD755" s="88"/>
      <c r="BE755" s="88"/>
      <c r="BF755" s="88"/>
      <c r="BG755" s="88"/>
      <c r="BH755" s="88"/>
      <c r="BI755" s="88"/>
      <c r="BJ755" s="88"/>
      <c r="BK755" s="88"/>
      <c r="BL755" s="88"/>
      <c r="BM755" s="88"/>
      <c r="BN755" s="88"/>
      <c r="BO755" s="88"/>
      <c r="BP755" s="88"/>
      <c r="BQ755" s="88"/>
      <c r="BR755" s="88"/>
      <c r="BS755" s="88"/>
    </row>
    <row r="756">
      <c r="J756" s="73"/>
      <c r="K756" s="74"/>
      <c r="L756" s="74"/>
      <c r="M756" s="74"/>
      <c r="N756" s="74"/>
      <c r="S756" s="75"/>
      <c r="T756" s="145"/>
      <c r="U756" s="145"/>
      <c r="V756" s="145"/>
      <c r="W756" s="145"/>
      <c r="X756" s="145"/>
      <c r="Y756" s="145"/>
      <c r="Z756" s="145"/>
      <c r="AA756" s="145"/>
      <c r="AB756" s="145"/>
      <c r="AC756" s="145"/>
      <c r="AD756" s="145"/>
      <c r="AE756" s="145"/>
      <c r="AF756" s="145"/>
      <c r="AG756" s="145"/>
      <c r="AH756" s="145"/>
      <c r="AI756" s="145"/>
      <c r="AJ756" s="145"/>
      <c r="AK756" s="145"/>
      <c r="AL756" s="145"/>
      <c r="AM756" s="145"/>
      <c r="AN756" s="145"/>
      <c r="AO756" s="145"/>
      <c r="AP756" s="145"/>
      <c r="AQ756" s="145"/>
      <c r="AR756" s="145"/>
      <c r="AS756" s="145"/>
      <c r="AT756" s="124"/>
      <c r="AU756" s="124"/>
      <c r="AV756" s="124"/>
      <c r="AW756" s="124"/>
      <c r="AX756" s="124"/>
      <c r="AY756" s="124"/>
      <c r="AZ756" s="124"/>
      <c r="BA756" s="124"/>
      <c r="BB756" s="88"/>
      <c r="BC756" s="88"/>
      <c r="BD756" s="88"/>
      <c r="BE756" s="88"/>
      <c r="BF756" s="88"/>
      <c r="BG756" s="88"/>
      <c r="BH756" s="88"/>
      <c r="BI756" s="88"/>
      <c r="BJ756" s="88"/>
      <c r="BK756" s="88"/>
      <c r="BL756" s="88"/>
      <c r="BM756" s="88"/>
      <c r="BN756" s="88"/>
      <c r="BO756" s="88"/>
      <c r="BP756" s="88"/>
      <c r="BQ756" s="88"/>
      <c r="BR756" s="88"/>
      <c r="BS756" s="88"/>
    </row>
    <row r="757">
      <c r="J757" s="73"/>
      <c r="K757" s="74"/>
      <c r="L757" s="74"/>
      <c r="M757" s="74"/>
      <c r="N757" s="74"/>
      <c r="S757" s="75"/>
      <c r="T757" s="145"/>
      <c r="U757" s="145"/>
      <c r="V757" s="145"/>
      <c r="W757" s="145"/>
      <c r="X757" s="145"/>
      <c r="Y757" s="145"/>
      <c r="Z757" s="145"/>
      <c r="AA757" s="145"/>
      <c r="AB757" s="145"/>
      <c r="AC757" s="145"/>
      <c r="AD757" s="145"/>
      <c r="AE757" s="145"/>
      <c r="AF757" s="145"/>
      <c r="AG757" s="145"/>
      <c r="AH757" s="145"/>
      <c r="AI757" s="145"/>
      <c r="AJ757" s="145"/>
      <c r="AK757" s="145"/>
      <c r="AL757" s="145"/>
      <c r="AM757" s="145"/>
      <c r="AN757" s="145"/>
      <c r="AO757" s="145"/>
      <c r="AP757" s="145"/>
      <c r="AQ757" s="145"/>
      <c r="AR757" s="145"/>
      <c r="AS757" s="145"/>
      <c r="AT757" s="124"/>
      <c r="AU757" s="124"/>
      <c r="AV757" s="124"/>
      <c r="AW757" s="124"/>
      <c r="AX757" s="124"/>
      <c r="AY757" s="124"/>
      <c r="AZ757" s="124"/>
      <c r="BA757" s="124"/>
      <c r="BB757" s="88"/>
      <c r="BC757" s="88"/>
      <c r="BD757" s="88"/>
      <c r="BE757" s="88"/>
      <c r="BF757" s="88"/>
      <c r="BG757" s="88"/>
      <c r="BH757" s="88"/>
      <c r="BI757" s="88"/>
      <c r="BJ757" s="88"/>
      <c r="BK757" s="88"/>
      <c r="BL757" s="88"/>
      <c r="BM757" s="88"/>
      <c r="BN757" s="88"/>
      <c r="BO757" s="88"/>
      <c r="BP757" s="88"/>
      <c r="BQ757" s="88"/>
      <c r="BR757" s="88"/>
      <c r="BS757" s="88"/>
    </row>
    <row r="758">
      <c r="J758" s="73"/>
      <c r="K758" s="74"/>
      <c r="L758" s="74"/>
      <c r="M758" s="74"/>
      <c r="N758" s="74"/>
      <c r="S758" s="75"/>
      <c r="T758" s="145"/>
      <c r="U758" s="145"/>
      <c r="V758" s="145"/>
      <c r="W758" s="145"/>
      <c r="X758" s="145"/>
      <c r="Y758" s="145"/>
      <c r="Z758" s="145"/>
      <c r="AA758" s="145"/>
      <c r="AB758" s="145"/>
      <c r="AC758" s="145"/>
      <c r="AD758" s="145"/>
      <c r="AE758" s="145"/>
      <c r="AF758" s="145"/>
      <c r="AG758" s="145"/>
      <c r="AH758" s="145"/>
      <c r="AI758" s="145"/>
      <c r="AJ758" s="145"/>
      <c r="AK758" s="145"/>
      <c r="AL758" s="145"/>
      <c r="AM758" s="145"/>
      <c r="AN758" s="145"/>
      <c r="AO758" s="145"/>
      <c r="AP758" s="145"/>
      <c r="AQ758" s="145"/>
      <c r="AR758" s="145"/>
      <c r="AS758" s="145"/>
      <c r="AT758" s="124"/>
      <c r="AU758" s="124"/>
      <c r="AV758" s="124"/>
      <c r="AW758" s="124"/>
      <c r="AX758" s="124"/>
      <c r="AY758" s="124"/>
      <c r="AZ758" s="124"/>
      <c r="BA758" s="124"/>
      <c r="BB758" s="88"/>
      <c r="BC758" s="88"/>
      <c r="BD758" s="88"/>
      <c r="BE758" s="88"/>
      <c r="BF758" s="88"/>
      <c r="BG758" s="88"/>
      <c r="BH758" s="88"/>
      <c r="BI758" s="88"/>
      <c r="BJ758" s="88"/>
      <c r="BK758" s="88"/>
      <c r="BL758" s="88"/>
      <c r="BM758" s="88"/>
      <c r="BN758" s="88"/>
      <c r="BO758" s="88"/>
      <c r="BP758" s="88"/>
      <c r="BQ758" s="88"/>
      <c r="BR758" s="88"/>
      <c r="BS758" s="88"/>
    </row>
    <row r="759">
      <c r="J759" s="73"/>
      <c r="K759" s="74"/>
      <c r="L759" s="74"/>
      <c r="M759" s="74"/>
      <c r="N759" s="74"/>
      <c r="S759" s="75"/>
      <c r="T759" s="145"/>
      <c r="U759" s="145"/>
      <c r="V759" s="145"/>
      <c r="W759" s="145"/>
      <c r="X759" s="145"/>
      <c r="Y759" s="145"/>
      <c r="Z759" s="145"/>
      <c r="AA759" s="145"/>
      <c r="AB759" s="145"/>
      <c r="AC759" s="145"/>
      <c r="AD759" s="145"/>
      <c r="AE759" s="145"/>
      <c r="AF759" s="145"/>
      <c r="AG759" s="145"/>
      <c r="AH759" s="145"/>
      <c r="AI759" s="145"/>
      <c r="AJ759" s="145"/>
      <c r="AK759" s="145"/>
      <c r="AL759" s="145"/>
      <c r="AM759" s="145"/>
      <c r="AN759" s="145"/>
      <c r="AO759" s="145"/>
      <c r="AP759" s="145"/>
      <c r="AQ759" s="145"/>
      <c r="AR759" s="145"/>
      <c r="AS759" s="145"/>
      <c r="AT759" s="124"/>
      <c r="AU759" s="124"/>
      <c r="AV759" s="124"/>
      <c r="AW759" s="124"/>
      <c r="AX759" s="124"/>
      <c r="AY759" s="124"/>
      <c r="AZ759" s="124"/>
      <c r="BA759" s="124"/>
      <c r="BB759" s="88"/>
      <c r="BC759" s="88"/>
      <c r="BD759" s="88"/>
      <c r="BE759" s="88"/>
      <c r="BF759" s="88"/>
      <c r="BG759" s="88"/>
      <c r="BH759" s="88"/>
      <c r="BI759" s="88"/>
      <c r="BJ759" s="88"/>
      <c r="BK759" s="88"/>
      <c r="BL759" s="88"/>
      <c r="BM759" s="88"/>
      <c r="BN759" s="88"/>
      <c r="BO759" s="88"/>
      <c r="BP759" s="88"/>
      <c r="BQ759" s="88"/>
      <c r="BR759" s="88"/>
      <c r="BS759" s="88"/>
    </row>
    <row r="760">
      <c r="J760" s="73"/>
      <c r="K760" s="74"/>
      <c r="L760" s="74"/>
      <c r="M760" s="74"/>
      <c r="N760" s="74"/>
      <c r="S760" s="75"/>
      <c r="T760" s="145"/>
      <c r="U760" s="145"/>
      <c r="V760" s="145"/>
      <c r="W760" s="145"/>
      <c r="X760" s="145"/>
      <c r="Y760" s="145"/>
      <c r="Z760" s="145"/>
      <c r="AA760" s="145"/>
      <c r="AB760" s="145"/>
      <c r="AC760" s="145"/>
      <c r="AD760" s="145"/>
      <c r="AE760" s="145"/>
      <c r="AF760" s="145"/>
      <c r="AG760" s="145"/>
      <c r="AH760" s="145"/>
      <c r="AI760" s="145"/>
      <c r="AJ760" s="145"/>
      <c r="AK760" s="145"/>
      <c r="AL760" s="145"/>
      <c r="AM760" s="145"/>
      <c r="AN760" s="145"/>
      <c r="AO760" s="145"/>
      <c r="AP760" s="145"/>
      <c r="AQ760" s="145"/>
      <c r="AR760" s="145"/>
      <c r="AS760" s="145"/>
      <c r="AT760" s="124"/>
      <c r="AU760" s="124"/>
      <c r="AV760" s="124"/>
      <c r="AW760" s="124"/>
      <c r="AX760" s="124"/>
      <c r="AY760" s="124"/>
      <c r="AZ760" s="124"/>
      <c r="BA760" s="124"/>
      <c r="BB760" s="88"/>
      <c r="BC760" s="88"/>
      <c r="BD760" s="88"/>
      <c r="BE760" s="88"/>
      <c r="BF760" s="88"/>
      <c r="BG760" s="88"/>
      <c r="BH760" s="88"/>
      <c r="BI760" s="88"/>
      <c r="BJ760" s="88"/>
      <c r="BK760" s="88"/>
      <c r="BL760" s="88"/>
      <c r="BM760" s="88"/>
      <c r="BN760" s="88"/>
      <c r="BO760" s="88"/>
      <c r="BP760" s="88"/>
      <c r="BQ760" s="88"/>
      <c r="BR760" s="88"/>
      <c r="BS760" s="88"/>
    </row>
    <row r="761">
      <c r="J761" s="73"/>
      <c r="K761" s="74"/>
      <c r="L761" s="74"/>
      <c r="M761" s="74"/>
      <c r="N761" s="74"/>
      <c r="S761" s="75"/>
      <c r="T761" s="145"/>
      <c r="U761" s="145"/>
      <c r="V761" s="145"/>
      <c r="W761" s="145"/>
      <c r="X761" s="145"/>
      <c r="Y761" s="145"/>
      <c r="Z761" s="145"/>
      <c r="AA761" s="145"/>
      <c r="AB761" s="145"/>
      <c r="AC761" s="145"/>
      <c r="AD761" s="145"/>
      <c r="AE761" s="145"/>
      <c r="AF761" s="145"/>
      <c r="AG761" s="145"/>
      <c r="AH761" s="145"/>
      <c r="AI761" s="145"/>
      <c r="AJ761" s="145"/>
      <c r="AK761" s="145"/>
      <c r="AL761" s="145"/>
      <c r="AM761" s="145"/>
      <c r="AN761" s="145"/>
      <c r="AO761" s="145"/>
      <c r="AP761" s="145"/>
      <c r="AQ761" s="145"/>
      <c r="AR761" s="145"/>
      <c r="AS761" s="145"/>
      <c r="AT761" s="124"/>
      <c r="AU761" s="124"/>
      <c r="AV761" s="124"/>
      <c r="AW761" s="124"/>
      <c r="AX761" s="124"/>
      <c r="AY761" s="124"/>
      <c r="AZ761" s="124"/>
      <c r="BA761" s="124"/>
      <c r="BB761" s="88"/>
      <c r="BC761" s="88"/>
      <c r="BD761" s="88"/>
      <c r="BE761" s="88"/>
      <c r="BF761" s="88"/>
      <c r="BG761" s="88"/>
      <c r="BH761" s="88"/>
      <c r="BI761" s="88"/>
      <c r="BJ761" s="88"/>
      <c r="BK761" s="88"/>
      <c r="BL761" s="88"/>
      <c r="BM761" s="88"/>
      <c r="BN761" s="88"/>
      <c r="BO761" s="88"/>
      <c r="BP761" s="88"/>
      <c r="BQ761" s="88"/>
      <c r="BR761" s="88"/>
      <c r="BS761" s="88"/>
    </row>
    <row r="762">
      <c r="J762" s="73"/>
      <c r="K762" s="74"/>
      <c r="L762" s="74"/>
      <c r="M762" s="74"/>
      <c r="N762" s="74"/>
      <c r="S762" s="75"/>
      <c r="T762" s="145"/>
      <c r="U762" s="145"/>
      <c r="V762" s="145"/>
      <c r="W762" s="145"/>
      <c r="X762" s="145"/>
      <c r="Y762" s="145"/>
      <c r="Z762" s="145"/>
      <c r="AA762" s="145"/>
      <c r="AB762" s="145"/>
      <c r="AC762" s="145"/>
      <c r="AD762" s="145"/>
      <c r="AE762" s="145"/>
      <c r="AF762" s="145"/>
      <c r="AG762" s="145"/>
      <c r="AH762" s="145"/>
      <c r="AI762" s="145"/>
      <c r="AJ762" s="145"/>
      <c r="AK762" s="145"/>
      <c r="AL762" s="145"/>
      <c r="AM762" s="145"/>
      <c r="AN762" s="145"/>
      <c r="AO762" s="145"/>
      <c r="AP762" s="145"/>
      <c r="AQ762" s="145"/>
      <c r="AR762" s="145"/>
      <c r="AS762" s="145"/>
      <c r="AT762" s="124"/>
      <c r="AU762" s="124"/>
      <c r="AV762" s="124"/>
      <c r="AW762" s="124"/>
      <c r="AX762" s="124"/>
      <c r="AY762" s="124"/>
      <c r="AZ762" s="124"/>
      <c r="BA762" s="124"/>
      <c r="BB762" s="88"/>
      <c r="BC762" s="88"/>
      <c r="BD762" s="88"/>
      <c r="BE762" s="88"/>
      <c r="BF762" s="88"/>
      <c r="BG762" s="88"/>
      <c r="BH762" s="88"/>
      <c r="BI762" s="88"/>
      <c r="BJ762" s="88"/>
      <c r="BK762" s="88"/>
      <c r="BL762" s="88"/>
      <c r="BM762" s="88"/>
      <c r="BN762" s="88"/>
      <c r="BO762" s="88"/>
      <c r="BP762" s="88"/>
      <c r="BQ762" s="88"/>
      <c r="BR762" s="88"/>
      <c r="BS762" s="88"/>
    </row>
    <row r="763">
      <c r="J763" s="73"/>
      <c r="K763" s="74"/>
      <c r="L763" s="74"/>
      <c r="M763" s="74"/>
      <c r="N763" s="74"/>
      <c r="S763" s="75"/>
      <c r="T763" s="145"/>
      <c r="U763" s="145"/>
      <c r="V763" s="145"/>
      <c r="W763" s="145"/>
      <c r="X763" s="145"/>
      <c r="Y763" s="145"/>
      <c r="Z763" s="145"/>
      <c r="AA763" s="145"/>
      <c r="AB763" s="145"/>
      <c r="AC763" s="145"/>
      <c r="AD763" s="145"/>
      <c r="AE763" s="145"/>
      <c r="AF763" s="145"/>
      <c r="AG763" s="145"/>
      <c r="AH763" s="145"/>
      <c r="AI763" s="145"/>
      <c r="AJ763" s="145"/>
      <c r="AK763" s="145"/>
      <c r="AL763" s="145"/>
      <c r="AM763" s="145"/>
      <c r="AN763" s="145"/>
      <c r="AO763" s="145"/>
      <c r="AP763" s="145"/>
      <c r="AQ763" s="145"/>
      <c r="AR763" s="145"/>
      <c r="AS763" s="145"/>
      <c r="AT763" s="124"/>
      <c r="AU763" s="124"/>
      <c r="AV763" s="124"/>
      <c r="AW763" s="124"/>
      <c r="AX763" s="124"/>
      <c r="AY763" s="124"/>
      <c r="AZ763" s="124"/>
      <c r="BA763" s="124"/>
      <c r="BB763" s="88"/>
      <c r="BC763" s="88"/>
      <c r="BD763" s="88"/>
      <c r="BE763" s="88"/>
      <c r="BF763" s="88"/>
      <c r="BG763" s="88"/>
      <c r="BH763" s="88"/>
      <c r="BI763" s="88"/>
      <c r="BJ763" s="88"/>
      <c r="BK763" s="88"/>
      <c r="BL763" s="88"/>
      <c r="BM763" s="88"/>
      <c r="BN763" s="88"/>
      <c r="BO763" s="88"/>
      <c r="BP763" s="88"/>
      <c r="BQ763" s="88"/>
      <c r="BR763" s="88"/>
      <c r="BS763" s="88"/>
    </row>
    <row r="764">
      <c r="J764" s="73"/>
      <c r="K764" s="74"/>
      <c r="L764" s="74"/>
      <c r="M764" s="74"/>
      <c r="N764" s="74"/>
      <c r="S764" s="75"/>
      <c r="T764" s="145"/>
      <c r="U764" s="145"/>
      <c r="V764" s="145"/>
      <c r="W764" s="145"/>
      <c r="X764" s="145"/>
      <c r="Y764" s="145"/>
      <c r="Z764" s="145"/>
      <c r="AA764" s="145"/>
      <c r="AB764" s="145"/>
      <c r="AC764" s="145"/>
      <c r="AD764" s="145"/>
      <c r="AE764" s="145"/>
      <c r="AF764" s="145"/>
      <c r="AG764" s="145"/>
      <c r="AH764" s="145"/>
      <c r="AI764" s="145"/>
      <c r="AJ764" s="145"/>
      <c r="AK764" s="145"/>
      <c r="AL764" s="145"/>
      <c r="AM764" s="145"/>
      <c r="AN764" s="145"/>
      <c r="AO764" s="145"/>
      <c r="AP764" s="145"/>
      <c r="AQ764" s="145"/>
      <c r="AR764" s="145"/>
      <c r="AS764" s="145"/>
      <c r="AT764" s="124"/>
      <c r="AU764" s="124"/>
      <c r="AV764" s="124"/>
      <c r="AW764" s="124"/>
      <c r="AX764" s="124"/>
      <c r="AY764" s="124"/>
      <c r="AZ764" s="124"/>
      <c r="BA764" s="124"/>
      <c r="BB764" s="88"/>
      <c r="BC764" s="88"/>
      <c r="BD764" s="88"/>
      <c r="BE764" s="88"/>
      <c r="BF764" s="88"/>
      <c r="BG764" s="88"/>
      <c r="BH764" s="88"/>
      <c r="BI764" s="88"/>
      <c r="BJ764" s="88"/>
      <c r="BK764" s="88"/>
      <c r="BL764" s="88"/>
      <c r="BM764" s="88"/>
      <c r="BN764" s="88"/>
      <c r="BO764" s="88"/>
      <c r="BP764" s="88"/>
      <c r="BQ764" s="88"/>
      <c r="BR764" s="88"/>
      <c r="BS764" s="88"/>
    </row>
    <row r="765">
      <c r="J765" s="73"/>
      <c r="K765" s="74"/>
      <c r="L765" s="74"/>
      <c r="M765" s="74"/>
      <c r="N765" s="74"/>
      <c r="S765" s="75"/>
      <c r="T765" s="145"/>
      <c r="U765" s="145"/>
      <c r="V765" s="145"/>
      <c r="W765" s="145"/>
      <c r="X765" s="145"/>
      <c r="Y765" s="145"/>
      <c r="Z765" s="145"/>
      <c r="AA765" s="145"/>
      <c r="AB765" s="145"/>
      <c r="AC765" s="145"/>
      <c r="AD765" s="145"/>
      <c r="AE765" s="145"/>
      <c r="AF765" s="145"/>
      <c r="AG765" s="145"/>
      <c r="AH765" s="145"/>
      <c r="AI765" s="145"/>
      <c r="AJ765" s="145"/>
      <c r="AK765" s="145"/>
      <c r="AL765" s="145"/>
      <c r="AM765" s="145"/>
      <c r="AN765" s="145"/>
      <c r="AO765" s="145"/>
      <c r="AP765" s="145"/>
      <c r="AQ765" s="145"/>
      <c r="AR765" s="145"/>
      <c r="AS765" s="145"/>
      <c r="AT765" s="124"/>
      <c r="AU765" s="124"/>
      <c r="AV765" s="124"/>
      <c r="AW765" s="124"/>
      <c r="AX765" s="124"/>
      <c r="AY765" s="124"/>
      <c r="AZ765" s="124"/>
      <c r="BA765" s="124"/>
      <c r="BB765" s="88"/>
      <c r="BC765" s="88"/>
      <c r="BD765" s="88"/>
      <c r="BE765" s="88"/>
      <c r="BF765" s="88"/>
      <c r="BG765" s="88"/>
      <c r="BH765" s="88"/>
      <c r="BI765" s="88"/>
      <c r="BJ765" s="88"/>
      <c r="BK765" s="88"/>
      <c r="BL765" s="88"/>
      <c r="BM765" s="88"/>
      <c r="BN765" s="88"/>
      <c r="BO765" s="88"/>
      <c r="BP765" s="88"/>
      <c r="BQ765" s="88"/>
      <c r="BR765" s="88"/>
      <c r="BS765" s="88"/>
    </row>
    <row r="766">
      <c r="J766" s="73"/>
      <c r="K766" s="74"/>
      <c r="L766" s="74"/>
      <c r="M766" s="74"/>
      <c r="N766" s="74"/>
      <c r="S766" s="75"/>
      <c r="T766" s="145"/>
      <c r="U766" s="145"/>
      <c r="V766" s="145"/>
      <c r="W766" s="145"/>
      <c r="X766" s="145"/>
      <c r="Y766" s="145"/>
      <c r="Z766" s="145"/>
      <c r="AA766" s="145"/>
      <c r="AB766" s="145"/>
      <c r="AC766" s="145"/>
      <c r="AD766" s="145"/>
      <c r="AE766" s="145"/>
      <c r="AF766" s="145"/>
      <c r="AG766" s="145"/>
      <c r="AH766" s="145"/>
      <c r="AI766" s="145"/>
      <c r="AJ766" s="145"/>
      <c r="AK766" s="145"/>
      <c r="AL766" s="145"/>
      <c r="AM766" s="145"/>
      <c r="AN766" s="145"/>
      <c r="AO766" s="145"/>
      <c r="AP766" s="145"/>
      <c r="AQ766" s="145"/>
      <c r="AR766" s="145"/>
      <c r="AS766" s="145"/>
      <c r="AT766" s="124"/>
      <c r="AU766" s="124"/>
      <c r="AV766" s="124"/>
      <c r="AW766" s="124"/>
      <c r="AX766" s="124"/>
      <c r="AY766" s="124"/>
      <c r="AZ766" s="124"/>
      <c r="BA766" s="124"/>
      <c r="BB766" s="88"/>
      <c r="BC766" s="88"/>
      <c r="BD766" s="88"/>
      <c r="BE766" s="88"/>
      <c r="BF766" s="88"/>
      <c r="BG766" s="88"/>
      <c r="BH766" s="88"/>
      <c r="BI766" s="88"/>
      <c r="BJ766" s="88"/>
      <c r="BK766" s="88"/>
      <c r="BL766" s="88"/>
      <c r="BM766" s="88"/>
      <c r="BN766" s="88"/>
      <c r="BO766" s="88"/>
      <c r="BP766" s="88"/>
      <c r="BQ766" s="88"/>
      <c r="BR766" s="88"/>
      <c r="BS766" s="88"/>
    </row>
    <row r="767">
      <c r="J767" s="73"/>
      <c r="K767" s="74"/>
      <c r="L767" s="74"/>
      <c r="M767" s="74"/>
      <c r="N767" s="74"/>
      <c r="S767" s="75"/>
      <c r="T767" s="145"/>
      <c r="U767" s="145"/>
      <c r="V767" s="145"/>
      <c r="W767" s="145"/>
      <c r="X767" s="145"/>
      <c r="Y767" s="145"/>
      <c r="Z767" s="145"/>
      <c r="AA767" s="145"/>
      <c r="AB767" s="145"/>
      <c r="AC767" s="145"/>
      <c r="AD767" s="145"/>
      <c r="AE767" s="145"/>
      <c r="AF767" s="145"/>
      <c r="AG767" s="145"/>
      <c r="AH767" s="145"/>
      <c r="AI767" s="145"/>
      <c r="AJ767" s="145"/>
      <c r="AK767" s="145"/>
      <c r="AL767" s="145"/>
      <c r="AM767" s="145"/>
      <c r="AN767" s="145"/>
      <c r="AO767" s="145"/>
      <c r="AP767" s="145"/>
      <c r="AQ767" s="145"/>
      <c r="AR767" s="145"/>
      <c r="AS767" s="145"/>
      <c r="AT767" s="124"/>
      <c r="AU767" s="124"/>
      <c r="AV767" s="124"/>
      <c r="AW767" s="124"/>
      <c r="AX767" s="124"/>
      <c r="AY767" s="124"/>
      <c r="AZ767" s="124"/>
      <c r="BA767" s="124"/>
      <c r="BB767" s="88"/>
      <c r="BC767" s="88"/>
      <c r="BD767" s="88"/>
      <c r="BE767" s="88"/>
      <c r="BF767" s="88"/>
      <c r="BG767" s="88"/>
      <c r="BH767" s="88"/>
      <c r="BI767" s="88"/>
      <c r="BJ767" s="88"/>
      <c r="BK767" s="88"/>
      <c r="BL767" s="88"/>
      <c r="BM767" s="88"/>
      <c r="BN767" s="88"/>
      <c r="BO767" s="88"/>
      <c r="BP767" s="88"/>
      <c r="BQ767" s="88"/>
      <c r="BR767" s="88"/>
      <c r="BS767" s="88"/>
    </row>
    <row r="768">
      <c r="J768" s="73"/>
      <c r="K768" s="74"/>
      <c r="L768" s="74"/>
      <c r="M768" s="74"/>
      <c r="N768" s="74"/>
      <c r="S768" s="75"/>
      <c r="T768" s="145"/>
      <c r="U768" s="145"/>
      <c r="V768" s="145"/>
      <c r="W768" s="145"/>
      <c r="X768" s="145"/>
      <c r="Y768" s="145"/>
      <c r="Z768" s="145"/>
      <c r="AA768" s="145"/>
      <c r="AB768" s="145"/>
      <c r="AC768" s="145"/>
      <c r="AD768" s="145"/>
      <c r="AE768" s="145"/>
      <c r="AF768" s="145"/>
      <c r="AG768" s="145"/>
      <c r="AH768" s="145"/>
      <c r="AI768" s="145"/>
      <c r="AJ768" s="145"/>
      <c r="AK768" s="145"/>
      <c r="AL768" s="145"/>
      <c r="AM768" s="145"/>
      <c r="AN768" s="145"/>
      <c r="AO768" s="145"/>
      <c r="AP768" s="145"/>
      <c r="AQ768" s="145"/>
      <c r="AR768" s="145"/>
      <c r="AS768" s="145"/>
      <c r="AT768" s="124"/>
      <c r="AU768" s="124"/>
      <c r="AV768" s="124"/>
      <c r="AW768" s="124"/>
      <c r="AX768" s="124"/>
      <c r="AY768" s="124"/>
      <c r="AZ768" s="124"/>
      <c r="BA768" s="124"/>
      <c r="BB768" s="88"/>
      <c r="BC768" s="88"/>
      <c r="BD768" s="88"/>
      <c r="BE768" s="88"/>
      <c r="BF768" s="88"/>
      <c r="BG768" s="88"/>
      <c r="BH768" s="88"/>
      <c r="BI768" s="88"/>
      <c r="BJ768" s="88"/>
      <c r="BK768" s="88"/>
      <c r="BL768" s="88"/>
      <c r="BM768" s="88"/>
      <c r="BN768" s="88"/>
      <c r="BO768" s="88"/>
      <c r="BP768" s="88"/>
      <c r="BQ768" s="88"/>
      <c r="BR768" s="88"/>
      <c r="BS768" s="88"/>
    </row>
    <row r="769">
      <c r="J769" s="73"/>
      <c r="K769" s="74"/>
      <c r="L769" s="74"/>
      <c r="M769" s="74"/>
      <c r="N769" s="74"/>
      <c r="S769" s="75"/>
      <c r="T769" s="145"/>
      <c r="U769" s="145"/>
      <c r="V769" s="145"/>
      <c r="W769" s="145"/>
      <c r="X769" s="145"/>
      <c r="Y769" s="145"/>
      <c r="Z769" s="145"/>
      <c r="AA769" s="145"/>
      <c r="AB769" s="145"/>
      <c r="AC769" s="145"/>
      <c r="AD769" s="145"/>
      <c r="AE769" s="145"/>
      <c r="AF769" s="145"/>
      <c r="AG769" s="145"/>
      <c r="AH769" s="145"/>
      <c r="AI769" s="145"/>
      <c r="AJ769" s="145"/>
      <c r="AK769" s="145"/>
      <c r="AL769" s="145"/>
      <c r="AM769" s="145"/>
      <c r="AN769" s="145"/>
      <c r="AO769" s="145"/>
      <c r="AP769" s="145"/>
      <c r="AQ769" s="145"/>
      <c r="AR769" s="145"/>
      <c r="AS769" s="145"/>
      <c r="AT769" s="124"/>
      <c r="AU769" s="124"/>
      <c r="AV769" s="124"/>
      <c r="AW769" s="124"/>
      <c r="AX769" s="124"/>
      <c r="AY769" s="124"/>
      <c r="AZ769" s="124"/>
      <c r="BA769" s="124"/>
      <c r="BB769" s="88"/>
      <c r="BC769" s="88"/>
      <c r="BD769" s="88"/>
      <c r="BE769" s="88"/>
      <c r="BF769" s="88"/>
      <c r="BG769" s="88"/>
      <c r="BH769" s="88"/>
      <c r="BI769" s="88"/>
      <c r="BJ769" s="88"/>
      <c r="BK769" s="88"/>
      <c r="BL769" s="88"/>
      <c r="BM769" s="88"/>
      <c r="BN769" s="88"/>
      <c r="BO769" s="88"/>
      <c r="BP769" s="88"/>
      <c r="BQ769" s="88"/>
      <c r="BR769" s="88"/>
      <c r="BS769" s="88"/>
    </row>
    <row r="770">
      <c r="J770" s="73"/>
      <c r="K770" s="74"/>
      <c r="L770" s="74"/>
      <c r="M770" s="74"/>
      <c r="N770" s="74"/>
      <c r="S770" s="75"/>
      <c r="T770" s="145"/>
      <c r="U770" s="145"/>
      <c r="V770" s="145"/>
      <c r="W770" s="145"/>
      <c r="X770" s="145"/>
      <c r="Y770" s="145"/>
      <c r="Z770" s="145"/>
      <c r="AA770" s="145"/>
      <c r="AB770" s="145"/>
      <c r="AC770" s="145"/>
      <c r="AD770" s="145"/>
      <c r="AE770" s="145"/>
      <c r="AF770" s="145"/>
      <c r="AG770" s="145"/>
      <c r="AH770" s="145"/>
      <c r="AI770" s="145"/>
      <c r="AJ770" s="145"/>
      <c r="AK770" s="145"/>
      <c r="AL770" s="145"/>
      <c r="AM770" s="145"/>
      <c r="AN770" s="145"/>
      <c r="AO770" s="145"/>
      <c r="AP770" s="145"/>
      <c r="AQ770" s="145"/>
      <c r="AR770" s="145"/>
      <c r="AS770" s="145"/>
      <c r="AT770" s="124"/>
      <c r="AU770" s="124"/>
      <c r="AV770" s="124"/>
      <c r="AW770" s="124"/>
      <c r="AX770" s="124"/>
      <c r="AY770" s="124"/>
      <c r="AZ770" s="124"/>
      <c r="BA770" s="124"/>
      <c r="BB770" s="88"/>
      <c r="BC770" s="88"/>
      <c r="BD770" s="88"/>
      <c r="BE770" s="88"/>
      <c r="BF770" s="88"/>
      <c r="BG770" s="88"/>
      <c r="BH770" s="88"/>
      <c r="BI770" s="88"/>
      <c r="BJ770" s="88"/>
      <c r="BK770" s="88"/>
      <c r="BL770" s="88"/>
      <c r="BM770" s="88"/>
      <c r="BN770" s="88"/>
      <c r="BO770" s="88"/>
      <c r="BP770" s="88"/>
      <c r="BQ770" s="88"/>
      <c r="BR770" s="88"/>
      <c r="BS770" s="88"/>
    </row>
    <row r="771">
      <c r="J771" s="73"/>
      <c r="K771" s="74"/>
      <c r="L771" s="74"/>
      <c r="M771" s="74"/>
      <c r="N771" s="74"/>
      <c r="S771" s="75"/>
      <c r="T771" s="145"/>
      <c r="U771" s="145"/>
      <c r="V771" s="145"/>
      <c r="W771" s="145"/>
      <c r="X771" s="145"/>
      <c r="Y771" s="145"/>
      <c r="Z771" s="145"/>
      <c r="AA771" s="145"/>
      <c r="AB771" s="145"/>
      <c r="AC771" s="145"/>
      <c r="AD771" s="145"/>
      <c r="AE771" s="145"/>
      <c r="AF771" s="145"/>
      <c r="AG771" s="145"/>
      <c r="AH771" s="145"/>
      <c r="AI771" s="145"/>
      <c r="AJ771" s="145"/>
      <c r="AK771" s="145"/>
      <c r="AL771" s="145"/>
      <c r="AM771" s="145"/>
      <c r="AN771" s="145"/>
      <c r="AO771" s="145"/>
      <c r="AP771" s="145"/>
      <c r="AQ771" s="145"/>
      <c r="AR771" s="145"/>
      <c r="AS771" s="145"/>
      <c r="AT771" s="124"/>
      <c r="AU771" s="124"/>
      <c r="AV771" s="124"/>
      <c r="AW771" s="124"/>
      <c r="AX771" s="124"/>
      <c r="AY771" s="124"/>
      <c r="AZ771" s="124"/>
      <c r="BA771" s="124"/>
      <c r="BB771" s="88"/>
      <c r="BC771" s="88"/>
      <c r="BD771" s="88"/>
      <c r="BE771" s="88"/>
      <c r="BF771" s="88"/>
      <c r="BG771" s="88"/>
      <c r="BH771" s="88"/>
      <c r="BI771" s="88"/>
      <c r="BJ771" s="88"/>
      <c r="BK771" s="88"/>
      <c r="BL771" s="88"/>
      <c r="BM771" s="88"/>
      <c r="BN771" s="88"/>
      <c r="BO771" s="88"/>
      <c r="BP771" s="88"/>
      <c r="BQ771" s="88"/>
      <c r="BR771" s="88"/>
      <c r="BS771" s="88"/>
    </row>
    <row r="772">
      <c r="J772" s="73"/>
      <c r="K772" s="74"/>
      <c r="L772" s="74"/>
      <c r="M772" s="74"/>
      <c r="N772" s="74"/>
      <c r="S772" s="75"/>
      <c r="T772" s="145"/>
      <c r="U772" s="145"/>
      <c r="V772" s="145"/>
      <c r="W772" s="145"/>
      <c r="X772" s="145"/>
      <c r="Y772" s="145"/>
      <c r="Z772" s="145"/>
      <c r="AA772" s="145"/>
      <c r="AB772" s="145"/>
      <c r="AC772" s="145"/>
      <c r="AD772" s="145"/>
      <c r="AE772" s="145"/>
      <c r="AF772" s="145"/>
      <c r="AG772" s="145"/>
      <c r="AH772" s="145"/>
      <c r="AI772" s="145"/>
      <c r="AJ772" s="145"/>
      <c r="AK772" s="145"/>
      <c r="AL772" s="145"/>
      <c r="AM772" s="145"/>
      <c r="AN772" s="145"/>
      <c r="AO772" s="145"/>
      <c r="AP772" s="145"/>
      <c r="AQ772" s="145"/>
      <c r="AR772" s="145"/>
      <c r="AS772" s="145"/>
      <c r="AT772" s="124"/>
      <c r="AU772" s="124"/>
      <c r="AV772" s="124"/>
      <c r="AW772" s="124"/>
      <c r="AX772" s="124"/>
      <c r="AY772" s="124"/>
      <c r="AZ772" s="124"/>
      <c r="BA772" s="124"/>
      <c r="BB772" s="88"/>
      <c r="BC772" s="88"/>
      <c r="BD772" s="88"/>
      <c r="BE772" s="88"/>
      <c r="BF772" s="88"/>
      <c r="BG772" s="88"/>
      <c r="BH772" s="88"/>
      <c r="BI772" s="88"/>
      <c r="BJ772" s="88"/>
      <c r="BK772" s="88"/>
      <c r="BL772" s="88"/>
      <c r="BM772" s="88"/>
      <c r="BN772" s="88"/>
      <c r="BO772" s="88"/>
      <c r="BP772" s="88"/>
      <c r="BQ772" s="88"/>
      <c r="BR772" s="88"/>
      <c r="BS772" s="88"/>
    </row>
    <row r="773">
      <c r="J773" s="73"/>
      <c r="K773" s="74"/>
      <c r="L773" s="74"/>
      <c r="M773" s="74"/>
      <c r="N773" s="74"/>
      <c r="S773" s="75"/>
      <c r="T773" s="145"/>
      <c r="U773" s="145"/>
      <c r="V773" s="145"/>
      <c r="W773" s="145"/>
      <c r="X773" s="145"/>
      <c r="Y773" s="145"/>
      <c r="Z773" s="145"/>
      <c r="AA773" s="145"/>
      <c r="AB773" s="145"/>
      <c r="AC773" s="145"/>
      <c r="AD773" s="145"/>
      <c r="AE773" s="145"/>
      <c r="AF773" s="145"/>
      <c r="AG773" s="145"/>
      <c r="AH773" s="145"/>
      <c r="AI773" s="145"/>
      <c r="AJ773" s="145"/>
      <c r="AK773" s="145"/>
      <c r="AL773" s="145"/>
      <c r="AM773" s="145"/>
      <c r="AN773" s="145"/>
      <c r="AO773" s="145"/>
      <c r="AP773" s="145"/>
      <c r="AQ773" s="145"/>
      <c r="AR773" s="145"/>
      <c r="AS773" s="145"/>
      <c r="AT773" s="124"/>
      <c r="AU773" s="124"/>
      <c r="AV773" s="124"/>
      <c r="AW773" s="124"/>
      <c r="AX773" s="124"/>
      <c r="AY773" s="124"/>
      <c r="AZ773" s="124"/>
      <c r="BA773" s="124"/>
      <c r="BB773" s="88"/>
      <c r="BC773" s="88"/>
      <c r="BD773" s="88"/>
      <c r="BE773" s="88"/>
      <c r="BF773" s="88"/>
      <c r="BG773" s="88"/>
      <c r="BH773" s="88"/>
      <c r="BI773" s="88"/>
      <c r="BJ773" s="88"/>
      <c r="BK773" s="88"/>
      <c r="BL773" s="88"/>
      <c r="BM773" s="88"/>
      <c r="BN773" s="88"/>
      <c r="BO773" s="88"/>
      <c r="BP773" s="88"/>
      <c r="BQ773" s="88"/>
      <c r="BR773" s="88"/>
      <c r="BS773" s="88"/>
    </row>
    <row r="774">
      <c r="J774" s="73"/>
      <c r="K774" s="74"/>
      <c r="L774" s="74"/>
      <c r="M774" s="74"/>
      <c r="N774" s="74"/>
      <c r="S774" s="75"/>
      <c r="T774" s="145"/>
      <c r="U774" s="145"/>
      <c r="V774" s="145"/>
      <c r="W774" s="145"/>
      <c r="X774" s="145"/>
      <c r="Y774" s="145"/>
      <c r="Z774" s="145"/>
      <c r="AA774" s="145"/>
      <c r="AB774" s="145"/>
      <c r="AC774" s="145"/>
      <c r="AD774" s="145"/>
      <c r="AE774" s="145"/>
      <c r="AF774" s="145"/>
      <c r="AG774" s="145"/>
      <c r="AH774" s="145"/>
      <c r="AI774" s="145"/>
      <c r="AJ774" s="145"/>
      <c r="AK774" s="145"/>
      <c r="AL774" s="145"/>
      <c r="AM774" s="145"/>
      <c r="AN774" s="145"/>
      <c r="AO774" s="145"/>
      <c r="AP774" s="145"/>
      <c r="AQ774" s="145"/>
      <c r="AR774" s="145"/>
      <c r="AS774" s="145"/>
      <c r="AT774" s="124"/>
      <c r="AU774" s="124"/>
      <c r="AV774" s="124"/>
      <c r="AW774" s="124"/>
      <c r="AX774" s="124"/>
      <c r="AY774" s="124"/>
      <c r="AZ774" s="124"/>
      <c r="BA774" s="124"/>
      <c r="BB774" s="88"/>
      <c r="BC774" s="88"/>
      <c r="BD774" s="88"/>
      <c r="BE774" s="88"/>
      <c r="BF774" s="88"/>
      <c r="BG774" s="88"/>
      <c r="BH774" s="88"/>
      <c r="BI774" s="88"/>
      <c r="BJ774" s="88"/>
      <c r="BK774" s="88"/>
      <c r="BL774" s="88"/>
      <c r="BM774" s="88"/>
      <c r="BN774" s="88"/>
      <c r="BO774" s="88"/>
      <c r="BP774" s="88"/>
      <c r="BQ774" s="88"/>
      <c r="BR774" s="88"/>
      <c r="BS774" s="88"/>
    </row>
    <row r="775">
      <c r="J775" s="73"/>
      <c r="K775" s="74"/>
      <c r="L775" s="74"/>
      <c r="M775" s="74"/>
      <c r="N775" s="74"/>
      <c r="S775" s="75"/>
      <c r="T775" s="145"/>
      <c r="U775" s="145"/>
      <c r="V775" s="145"/>
      <c r="W775" s="145"/>
      <c r="X775" s="145"/>
      <c r="Y775" s="145"/>
      <c r="Z775" s="145"/>
      <c r="AA775" s="145"/>
      <c r="AB775" s="145"/>
      <c r="AC775" s="145"/>
      <c r="AD775" s="145"/>
      <c r="AE775" s="145"/>
      <c r="AF775" s="145"/>
      <c r="AG775" s="145"/>
      <c r="AH775" s="145"/>
      <c r="AI775" s="145"/>
      <c r="AJ775" s="145"/>
      <c r="AK775" s="145"/>
      <c r="AL775" s="145"/>
      <c r="AM775" s="145"/>
      <c r="AN775" s="145"/>
      <c r="AO775" s="145"/>
      <c r="AP775" s="145"/>
      <c r="AQ775" s="145"/>
      <c r="AR775" s="145"/>
      <c r="AS775" s="145"/>
      <c r="AT775" s="124"/>
      <c r="AU775" s="124"/>
      <c r="AV775" s="124"/>
      <c r="AW775" s="124"/>
      <c r="AX775" s="124"/>
      <c r="AY775" s="124"/>
      <c r="AZ775" s="124"/>
      <c r="BA775" s="124"/>
      <c r="BB775" s="88"/>
      <c r="BC775" s="88"/>
      <c r="BD775" s="88"/>
      <c r="BE775" s="88"/>
      <c r="BF775" s="88"/>
      <c r="BG775" s="88"/>
      <c r="BH775" s="88"/>
      <c r="BI775" s="88"/>
      <c r="BJ775" s="88"/>
      <c r="BK775" s="88"/>
      <c r="BL775" s="88"/>
      <c r="BM775" s="88"/>
      <c r="BN775" s="88"/>
      <c r="BO775" s="88"/>
      <c r="BP775" s="88"/>
      <c r="BQ775" s="88"/>
      <c r="BR775" s="88"/>
      <c r="BS775" s="88"/>
    </row>
    <row r="776">
      <c r="J776" s="73"/>
      <c r="K776" s="74"/>
      <c r="L776" s="74"/>
      <c r="M776" s="74"/>
      <c r="N776" s="74"/>
      <c r="S776" s="75"/>
      <c r="T776" s="145"/>
      <c r="U776" s="145"/>
      <c r="V776" s="145"/>
      <c r="W776" s="145"/>
      <c r="X776" s="145"/>
      <c r="Y776" s="145"/>
      <c r="Z776" s="145"/>
      <c r="AA776" s="145"/>
      <c r="AB776" s="145"/>
      <c r="AC776" s="145"/>
      <c r="AD776" s="145"/>
      <c r="AE776" s="145"/>
      <c r="AF776" s="145"/>
      <c r="AG776" s="145"/>
      <c r="AH776" s="145"/>
      <c r="AI776" s="145"/>
      <c r="AJ776" s="145"/>
      <c r="AK776" s="145"/>
      <c r="AL776" s="145"/>
      <c r="AM776" s="145"/>
      <c r="AN776" s="145"/>
      <c r="AO776" s="145"/>
      <c r="AP776" s="145"/>
      <c r="AQ776" s="145"/>
      <c r="AR776" s="145"/>
      <c r="AS776" s="145"/>
      <c r="AT776" s="124"/>
      <c r="AU776" s="124"/>
      <c r="AV776" s="124"/>
      <c r="AW776" s="124"/>
      <c r="AX776" s="124"/>
      <c r="AY776" s="124"/>
      <c r="AZ776" s="124"/>
      <c r="BA776" s="124"/>
      <c r="BB776" s="88"/>
      <c r="BC776" s="88"/>
      <c r="BD776" s="88"/>
      <c r="BE776" s="88"/>
      <c r="BF776" s="88"/>
      <c r="BG776" s="88"/>
      <c r="BH776" s="88"/>
      <c r="BI776" s="88"/>
      <c r="BJ776" s="88"/>
      <c r="BK776" s="88"/>
      <c r="BL776" s="88"/>
      <c r="BM776" s="88"/>
      <c r="BN776" s="88"/>
      <c r="BO776" s="88"/>
      <c r="BP776" s="88"/>
      <c r="BQ776" s="88"/>
      <c r="BR776" s="88"/>
      <c r="BS776" s="88"/>
    </row>
    <row r="777">
      <c r="J777" s="73"/>
      <c r="K777" s="74"/>
      <c r="L777" s="74"/>
      <c r="M777" s="74"/>
      <c r="N777" s="74"/>
      <c r="S777" s="75"/>
      <c r="T777" s="145"/>
      <c r="U777" s="145"/>
      <c r="V777" s="145"/>
      <c r="W777" s="145"/>
      <c r="X777" s="145"/>
      <c r="Y777" s="145"/>
      <c r="Z777" s="145"/>
      <c r="AA777" s="145"/>
      <c r="AB777" s="145"/>
      <c r="AC777" s="145"/>
      <c r="AD777" s="145"/>
      <c r="AE777" s="145"/>
      <c r="AF777" s="145"/>
      <c r="AG777" s="145"/>
      <c r="AH777" s="145"/>
      <c r="AI777" s="145"/>
      <c r="AJ777" s="145"/>
      <c r="AK777" s="145"/>
      <c r="AL777" s="145"/>
      <c r="AM777" s="145"/>
      <c r="AN777" s="145"/>
      <c r="AO777" s="145"/>
      <c r="AP777" s="145"/>
      <c r="AQ777" s="145"/>
      <c r="AR777" s="145"/>
      <c r="AS777" s="145"/>
      <c r="AT777" s="124"/>
      <c r="AU777" s="124"/>
      <c r="AV777" s="124"/>
      <c r="AW777" s="124"/>
      <c r="AX777" s="124"/>
      <c r="AY777" s="124"/>
      <c r="AZ777" s="124"/>
      <c r="BA777" s="124"/>
      <c r="BB777" s="88"/>
      <c r="BC777" s="88"/>
      <c r="BD777" s="88"/>
      <c r="BE777" s="88"/>
      <c r="BF777" s="88"/>
      <c r="BG777" s="88"/>
      <c r="BH777" s="88"/>
      <c r="BI777" s="88"/>
      <c r="BJ777" s="88"/>
      <c r="BK777" s="88"/>
      <c r="BL777" s="88"/>
      <c r="BM777" s="88"/>
      <c r="BN777" s="88"/>
      <c r="BO777" s="88"/>
      <c r="BP777" s="88"/>
      <c r="BQ777" s="88"/>
      <c r="BR777" s="88"/>
      <c r="BS777" s="88"/>
    </row>
    <row r="778">
      <c r="J778" s="73"/>
      <c r="K778" s="74"/>
      <c r="L778" s="74"/>
      <c r="M778" s="74"/>
      <c r="N778" s="74"/>
      <c r="S778" s="75"/>
      <c r="T778" s="145"/>
      <c r="U778" s="145"/>
      <c r="V778" s="145"/>
      <c r="W778" s="145"/>
      <c r="X778" s="145"/>
      <c r="Y778" s="145"/>
      <c r="Z778" s="145"/>
      <c r="AA778" s="145"/>
      <c r="AB778" s="145"/>
      <c r="AC778" s="145"/>
      <c r="AD778" s="145"/>
      <c r="AE778" s="145"/>
      <c r="AF778" s="145"/>
      <c r="AG778" s="145"/>
      <c r="AH778" s="145"/>
      <c r="AI778" s="145"/>
      <c r="AJ778" s="145"/>
      <c r="AK778" s="145"/>
      <c r="AL778" s="145"/>
      <c r="AM778" s="145"/>
      <c r="AN778" s="145"/>
      <c r="AO778" s="145"/>
      <c r="AP778" s="145"/>
      <c r="AQ778" s="145"/>
      <c r="AR778" s="145"/>
      <c r="AS778" s="145"/>
      <c r="AT778" s="124"/>
      <c r="AU778" s="124"/>
      <c r="AV778" s="124"/>
      <c r="AW778" s="124"/>
      <c r="AX778" s="124"/>
      <c r="AY778" s="124"/>
      <c r="AZ778" s="124"/>
      <c r="BA778" s="124"/>
      <c r="BB778" s="88"/>
      <c r="BC778" s="88"/>
      <c r="BD778" s="88"/>
      <c r="BE778" s="88"/>
      <c r="BF778" s="88"/>
      <c r="BG778" s="88"/>
      <c r="BH778" s="88"/>
      <c r="BI778" s="88"/>
      <c r="BJ778" s="88"/>
      <c r="BK778" s="88"/>
      <c r="BL778" s="88"/>
      <c r="BM778" s="88"/>
      <c r="BN778" s="88"/>
      <c r="BO778" s="88"/>
      <c r="BP778" s="88"/>
      <c r="BQ778" s="88"/>
      <c r="BR778" s="88"/>
      <c r="BS778" s="88"/>
    </row>
    <row r="779">
      <c r="J779" s="73"/>
      <c r="K779" s="74"/>
      <c r="L779" s="74"/>
      <c r="M779" s="74"/>
      <c r="N779" s="74"/>
      <c r="S779" s="75"/>
      <c r="T779" s="145"/>
      <c r="U779" s="145"/>
      <c r="V779" s="145"/>
      <c r="W779" s="145"/>
      <c r="X779" s="145"/>
      <c r="Y779" s="145"/>
      <c r="Z779" s="145"/>
      <c r="AA779" s="145"/>
      <c r="AB779" s="145"/>
      <c r="AC779" s="145"/>
      <c r="AD779" s="145"/>
      <c r="AE779" s="145"/>
      <c r="AF779" s="145"/>
      <c r="AG779" s="145"/>
      <c r="AH779" s="145"/>
      <c r="AI779" s="145"/>
      <c r="AJ779" s="145"/>
      <c r="AK779" s="145"/>
      <c r="AL779" s="145"/>
      <c r="AM779" s="145"/>
      <c r="AN779" s="145"/>
      <c r="AO779" s="145"/>
      <c r="AP779" s="145"/>
      <c r="AQ779" s="145"/>
      <c r="AR779" s="145"/>
      <c r="AS779" s="145"/>
      <c r="AT779" s="124"/>
      <c r="AU779" s="124"/>
      <c r="AV779" s="124"/>
      <c r="AW779" s="124"/>
      <c r="AX779" s="124"/>
      <c r="AY779" s="124"/>
      <c r="AZ779" s="124"/>
      <c r="BA779" s="124"/>
      <c r="BB779" s="88"/>
      <c r="BC779" s="88"/>
      <c r="BD779" s="88"/>
      <c r="BE779" s="88"/>
      <c r="BF779" s="88"/>
      <c r="BG779" s="88"/>
      <c r="BH779" s="88"/>
      <c r="BI779" s="88"/>
      <c r="BJ779" s="88"/>
      <c r="BK779" s="88"/>
      <c r="BL779" s="88"/>
      <c r="BM779" s="88"/>
      <c r="BN779" s="88"/>
      <c r="BO779" s="88"/>
      <c r="BP779" s="88"/>
      <c r="BQ779" s="88"/>
      <c r="BR779" s="88"/>
      <c r="BS779" s="88"/>
    </row>
    <row r="780">
      <c r="J780" s="73"/>
      <c r="K780" s="74"/>
      <c r="L780" s="74"/>
      <c r="M780" s="74"/>
      <c r="N780" s="74"/>
      <c r="S780" s="75"/>
      <c r="T780" s="145"/>
      <c r="U780" s="145"/>
      <c r="V780" s="145"/>
      <c r="W780" s="145"/>
      <c r="X780" s="145"/>
      <c r="Y780" s="145"/>
      <c r="Z780" s="145"/>
      <c r="AA780" s="145"/>
      <c r="AB780" s="145"/>
      <c r="AC780" s="145"/>
      <c r="AD780" s="145"/>
      <c r="AE780" s="145"/>
      <c r="AF780" s="145"/>
      <c r="AG780" s="145"/>
      <c r="AH780" s="145"/>
      <c r="AI780" s="145"/>
      <c r="AJ780" s="145"/>
      <c r="AK780" s="145"/>
      <c r="AL780" s="145"/>
      <c r="AM780" s="145"/>
      <c r="AN780" s="145"/>
      <c r="AO780" s="145"/>
      <c r="AP780" s="145"/>
      <c r="AQ780" s="145"/>
      <c r="AR780" s="145"/>
      <c r="AS780" s="145"/>
      <c r="AT780" s="124"/>
      <c r="AU780" s="124"/>
      <c r="AV780" s="124"/>
      <c r="AW780" s="124"/>
      <c r="AX780" s="124"/>
      <c r="AY780" s="124"/>
      <c r="AZ780" s="124"/>
      <c r="BA780" s="124"/>
      <c r="BB780" s="88"/>
      <c r="BC780" s="88"/>
      <c r="BD780" s="88"/>
      <c r="BE780" s="88"/>
      <c r="BF780" s="88"/>
      <c r="BG780" s="88"/>
      <c r="BH780" s="88"/>
      <c r="BI780" s="88"/>
      <c r="BJ780" s="88"/>
      <c r="BK780" s="88"/>
      <c r="BL780" s="88"/>
      <c r="BM780" s="88"/>
      <c r="BN780" s="88"/>
      <c r="BO780" s="88"/>
      <c r="BP780" s="88"/>
      <c r="BQ780" s="88"/>
      <c r="BR780" s="88"/>
      <c r="BS780" s="88"/>
    </row>
    <row r="781">
      <c r="J781" s="73"/>
      <c r="K781" s="74"/>
      <c r="L781" s="74"/>
      <c r="M781" s="74"/>
      <c r="N781" s="74"/>
      <c r="S781" s="75"/>
      <c r="T781" s="145"/>
      <c r="U781" s="145"/>
      <c r="V781" s="145"/>
      <c r="W781" s="145"/>
      <c r="X781" s="145"/>
      <c r="Y781" s="145"/>
      <c r="Z781" s="145"/>
      <c r="AA781" s="145"/>
      <c r="AB781" s="145"/>
      <c r="AC781" s="145"/>
      <c r="AD781" s="145"/>
      <c r="AE781" s="145"/>
      <c r="AF781" s="145"/>
      <c r="AG781" s="145"/>
      <c r="AH781" s="145"/>
      <c r="AI781" s="145"/>
      <c r="AJ781" s="145"/>
      <c r="AK781" s="145"/>
      <c r="AL781" s="145"/>
      <c r="AM781" s="145"/>
      <c r="AN781" s="145"/>
      <c r="AO781" s="145"/>
      <c r="AP781" s="145"/>
      <c r="AQ781" s="145"/>
      <c r="AR781" s="145"/>
      <c r="AS781" s="145"/>
      <c r="AT781" s="124"/>
      <c r="AU781" s="124"/>
      <c r="AV781" s="124"/>
      <c r="AW781" s="124"/>
      <c r="AX781" s="124"/>
      <c r="AY781" s="124"/>
      <c r="AZ781" s="124"/>
      <c r="BA781" s="124"/>
      <c r="BB781" s="88"/>
      <c r="BC781" s="88"/>
      <c r="BD781" s="88"/>
      <c r="BE781" s="88"/>
      <c r="BF781" s="88"/>
      <c r="BG781" s="88"/>
      <c r="BH781" s="88"/>
      <c r="BI781" s="88"/>
      <c r="BJ781" s="88"/>
      <c r="BK781" s="88"/>
      <c r="BL781" s="88"/>
      <c r="BM781" s="88"/>
      <c r="BN781" s="88"/>
      <c r="BO781" s="88"/>
      <c r="BP781" s="88"/>
      <c r="BQ781" s="88"/>
      <c r="BR781" s="88"/>
      <c r="BS781" s="88"/>
    </row>
    <row r="782">
      <c r="J782" s="73"/>
      <c r="K782" s="74"/>
      <c r="L782" s="74"/>
      <c r="M782" s="74"/>
      <c r="N782" s="74"/>
      <c r="S782" s="75"/>
      <c r="T782" s="145"/>
      <c r="U782" s="145"/>
      <c r="V782" s="145"/>
      <c r="W782" s="145"/>
      <c r="X782" s="145"/>
      <c r="Y782" s="145"/>
      <c r="Z782" s="145"/>
      <c r="AA782" s="145"/>
      <c r="AB782" s="145"/>
      <c r="AC782" s="145"/>
      <c r="AD782" s="145"/>
      <c r="AE782" s="145"/>
      <c r="AF782" s="145"/>
      <c r="AG782" s="145"/>
      <c r="AH782" s="145"/>
      <c r="AI782" s="145"/>
      <c r="AJ782" s="145"/>
      <c r="AK782" s="145"/>
      <c r="AL782" s="145"/>
      <c r="AM782" s="145"/>
      <c r="AN782" s="145"/>
      <c r="AO782" s="145"/>
      <c r="AP782" s="145"/>
      <c r="AQ782" s="145"/>
      <c r="AR782" s="145"/>
      <c r="AS782" s="145"/>
      <c r="AT782" s="124"/>
      <c r="AU782" s="124"/>
      <c r="AV782" s="124"/>
      <c r="AW782" s="124"/>
      <c r="AX782" s="124"/>
      <c r="AY782" s="124"/>
      <c r="AZ782" s="124"/>
      <c r="BA782" s="124"/>
      <c r="BB782" s="88"/>
      <c r="BC782" s="88"/>
      <c r="BD782" s="88"/>
      <c r="BE782" s="88"/>
      <c r="BF782" s="88"/>
      <c r="BG782" s="88"/>
      <c r="BH782" s="88"/>
      <c r="BI782" s="88"/>
      <c r="BJ782" s="88"/>
      <c r="BK782" s="88"/>
      <c r="BL782" s="88"/>
      <c r="BM782" s="88"/>
      <c r="BN782" s="88"/>
      <c r="BO782" s="88"/>
      <c r="BP782" s="88"/>
      <c r="BQ782" s="88"/>
      <c r="BR782" s="88"/>
      <c r="BS782" s="88"/>
    </row>
    <row r="783">
      <c r="J783" s="73"/>
      <c r="K783" s="74"/>
      <c r="L783" s="74"/>
      <c r="M783" s="74"/>
      <c r="N783" s="74"/>
      <c r="S783" s="75"/>
      <c r="T783" s="145"/>
      <c r="U783" s="145"/>
      <c r="V783" s="145"/>
      <c r="W783" s="145"/>
      <c r="X783" s="145"/>
      <c r="Y783" s="145"/>
      <c r="Z783" s="145"/>
      <c r="AA783" s="145"/>
      <c r="AB783" s="145"/>
      <c r="AC783" s="145"/>
      <c r="AD783" s="145"/>
      <c r="AE783" s="145"/>
      <c r="AF783" s="145"/>
      <c r="AG783" s="145"/>
      <c r="AH783" s="145"/>
      <c r="AI783" s="145"/>
      <c r="AJ783" s="145"/>
      <c r="AK783" s="145"/>
      <c r="AL783" s="145"/>
      <c r="AM783" s="145"/>
      <c r="AN783" s="145"/>
      <c r="AO783" s="145"/>
      <c r="AP783" s="145"/>
      <c r="AQ783" s="145"/>
      <c r="AR783" s="145"/>
      <c r="AS783" s="145"/>
      <c r="AT783" s="124"/>
      <c r="AU783" s="124"/>
      <c r="AV783" s="124"/>
      <c r="AW783" s="124"/>
      <c r="AX783" s="124"/>
      <c r="AY783" s="124"/>
      <c r="AZ783" s="124"/>
      <c r="BA783" s="124"/>
      <c r="BB783" s="88"/>
      <c r="BC783" s="88"/>
      <c r="BD783" s="88"/>
      <c r="BE783" s="88"/>
      <c r="BF783" s="88"/>
      <c r="BG783" s="88"/>
      <c r="BH783" s="88"/>
      <c r="BI783" s="88"/>
      <c r="BJ783" s="88"/>
      <c r="BK783" s="88"/>
      <c r="BL783" s="88"/>
      <c r="BM783" s="88"/>
      <c r="BN783" s="88"/>
      <c r="BO783" s="88"/>
      <c r="BP783" s="88"/>
      <c r="BQ783" s="88"/>
      <c r="BR783" s="88"/>
      <c r="BS783" s="88"/>
    </row>
    <row r="784">
      <c r="J784" s="73"/>
      <c r="K784" s="74"/>
      <c r="L784" s="74"/>
      <c r="M784" s="74"/>
      <c r="N784" s="74"/>
      <c r="S784" s="75"/>
      <c r="T784" s="145"/>
      <c r="U784" s="145"/>
      <c r="V784" s="145"/>
      <c r="W784" s="145"/>
      <c r="X784" s="145"/>
      <c r="Y784" s="145"/>
      <c r="Z784" s="145"/>
      <c r="AA784" s="145"/>
      <c r="AB784" s="145"/>
      <c r="AC784" s="145"/>
      <c r="AD784" s="145"/>
      <c r="AE784" s="145"/>
      <c r="AF784" s="145"/>
      <c r="AG784" s="145"/>
      <c r="AH784" s="145"/>
      <c r="AI784" s="145"/>
      <c r="AJ784" s="145"/>
      <c r="AK784" s="145"/>
      <c r="AL784" s="145"/>
      <c r="AM784" s="145"/>
      <c r="AN784" s="145"/>
      <c r="AO784" s="145"/>
      <c r="AP784" s="145"/>
      <c r="AQ784" s="145"/>
      <c r="AR784" s="145"/>
      <c r="AS784" s="145"/>
      <c r="AT784" s="124"/>
      <c r="AU784" s="124"/>
      <c r="AV784" s="124"/>
      <c r="AW784" s="124"/>
      <c r="AX784" s="124"/>
      <c r="AY784" s="124"/>
      <c r="AZ784" s="124"/>
      <c r="BA784" s="124"/>
      <c r="BB784" s="88"/>
      <c r="BC784" s="88"/>
      <c r="BD784" s="88"/>
      <c r="BE784" s="88"/>
      <c r="BF784" s="88"/>
      <c r="BG784" s="88"/>
      <c r="BH784" s="88"/>
      <c r="BI784" s="88"/>
      <c r="BJ784" s="88"/>
      <c r="BK784" s="88"/>
      <c r="BL784" s="88"/>
      <c r="BM784" s="88"/>
      <c r="BN784" s="88"/>
      <c r="BO784" s="88"/>
      <c r="BP784" s="88"/>
      <c r="BQ784" s="88"/>
      <c r="BR784" s="88"/>
      <c r="BS784" s="88"/>
    </row>
    <row r="785">
      <c r="J785" s="73"/>
      <c r="K785" s="74"/>
      <c r="L785" s="74"/>
      <c r="M785" s="74"/>
      <c r="N785" s="74"/>
      <c r="S785" s="75"/>
      <c r="T785" s="145"/>
      <c r="U785" s="145"/>
      <c r="V785" s="145"/>
      <c r="W785" s="145"/>
      <c r="X785" s="145"/>
      <c r="Y785" s="145"/>
      <c r="Z785" s="145"/>
      <c r="AA785" s="145"/>
      <c r="AB785" s="145"/>
      <c r="AC785" s="145"/>
      <c r="AD785" s="145"/>
      <c r="AE785" s="145"/>
      <c r="AF785" s="145"/>
      <c r="AG785" s="145"/>
      <c r="AH785" s="145"/>
      <c r="AI785" s="145"/>
      <c r="AJ785" s="145"/>
      <c r="AK785" s="145"/>
      <c r="AL785" s="145"/>
      <c r="AM785" s="145"/>
      <c r="AN785" s="145"/>
      <c r="AO785" s="145"/>
      <c r="AP785" s="145"/>
      <c r="AQ785" s="145"/>
      <c r="AR785" s="145"/>
      <c r="AS785" s="145"/>
      <c r="AT785" s="124"/>
      <c r="AU785" s="124"/>
      <c r="AV785" s="124"/>
      <c r="AW785" s="124"/>
      <c r="AX785" s="124"/>
      <c r="AY785" s="124"/>
      <c r="AZ785" s="124"/>
      <c r="BA785" s="124"/>
      <c r="BB785" s="88"/>
      <c r="BC785" s="88"/>
      <c r="BD785" s="88"/>
      <c r="BE785" s="88"/>
      <c r="BF785" s="88"/>
      <c r="BG785" s="88"/>
      <c r="BH785" s="88"/>
      <c r="BI785" s="88"/>
      <c r="BJ785" s="88"/>
      <c r="BK785" s="88"/>
      <c r="BL785" s="88"/>
      <c r="BM785" s="88"/>
      <c r="BN785" s="88"/>
      <c r="BO785" s="88"/>
      <c r="BP785" s="88"/>
      <c r="BQ785" s="88"/>
      <c r="BR785" s="88"/>
      <c r="BS785" s="88"/>
    </row>
    <row r="786">
      <c r="J786" s="73"/>
      <c r="K786" s="74"/>
      <c r="L786" s="74"/>
      <c r="M786" s="74"/>
      <c r="N786" s="74"/>
      <c r="S786" s="75"/>
      <c r="T786" s="145"/>
      <c r="U786" s="145"/>
      <c r="V786" s="145"/>
      <c r="W786" s="145"/>
      <c r="X786" s="145"/>
      <c r="Y786" s="145"/>
      <c r="Z786" s="145"/>
      <c r="AA786" s="145"/>
      <c r="AB786" s="145"/>
      <c r="AC786" s="145"/>
      <c r="AD786" s="145"/>
      <c r="AE786" s="145"/>
      <c r="AF786" s="145"/>
      <c r="AG786" s="145"/>
      <c r="AH786" s="145"/>
      <c r="AI786" s="145"/>
      <c r="AJ786" s="145"/>
      <c r="AK786" s="145"/>
      <c r="AL786" s="145"/>
      <c r="AM786" s="145"/>
      <c r="AN786" s="145"/>
      <c r="AO786" s="145"/>
      <c r="AP786" s="145"/>
      <c r="AQ786" s="145"/>
      <c r="AR786" s="145"/>
      <c r="AS786" s="145"/>
      <c r="AT786" s="124"/>
      <c r="AU786" s="124"/>
      <c r="AV786" s="124"/>
      <c r="AW786" s="124"/>
      <c r="AX786" s="124"/>
      <c r="AY786" s="124"/>
      <c r="AZ786" s="124"/>
      <c r="BA786" s="124"/>
      <c r="BB786" s="88"/>
      <c r="BC786" s="88"/>
      <c r="BD786" s="88"/>
      <c r="BE786" s="88"/>
      <c r="BF786" s="88"/>
      <c r="BG786" s="88"/>
      <c r="BH786" s="88"/>
      <c r="BI786" s="88"/>
      <c r="BJ786" s="88"/>
      <c r="BK786" s="88"/>
      <c r="BL786" s="88"/>
      <c r="BM786" s="88"/>
      <c r="BN786" s="88"/>
      <c r="BO786" s="88"/>
      <c r="BP786" s="88"/>
      <c r="BQ786" s="88"/>
      <c r="BR786" s="88"/>
      <c r="BS786" s="88"/>
    </row>
    <row r="787">
      <c r="J787" s="73"/>
      <c r="K787" s="74"/>
      <c r="L787" s="74"/>
      <c r="M787" s="74"/>
      <c r="N787" s="74"/>
      <c r="S787" s="75"/>
      <c r="T787" s="145"/>
      <c r="U787" s="145"/>
      <c r="V787" s="145"/>
      <c r="W787" s="145"/>
      <c r="X787" s="145"/>
      <c r="Y787" s="145"/>
      <c r="Z787" s="145"/>
      <c r="AA787" s="145"/>
      <c r="AB787" s="145"/>
      <c r="AC787" s="145"/>
      <c r="AD787" s="145"/>
      <c r="AE787" s="145"/>
      <c r="AF787" s="145"/>
      <c r="AG787" s="145"/>
      <c r="AH787" s="145"/>
      <c r="AI787" s="145"/>
      <c r="AJ787" s="145"/>
      <c r="AK787" s="145"/>
      <c r="AL787" s="145"/>
      <c r="AM787" s="145"/>
      <c r="AN787" s="145"/>
      <c r="AO787" s="145"/>
      <c r="AP787" s="145"/>
      <c r="AQ787" s="145"/>
      <c r="AR787" s="145"/>
      <c r="AS787" s="145"/>
      <c r="AT787" s="124"/>
      <c r="AU787" s="124"/>
      <c r="AV787" s="124"/>
      <c r="AW787" s="124"/>
      <c r="AX787" s="124"/>
      <c r="AY787" s="124"/>
      <c r="AZ787" s="124"/>
      <c r="BA787" s="124"/>
      <c r="BB787" s="88"/>
      <c r="BC787" s="88"/>
      <c r="BD787" s="88"/>
      <c r="BE787" s="88"/>
      <c r="BF787" s="88"/>
      <c r="BG787" s="88"/>
      <c r="BH787" s="88"/>
      <c r="BI787" s="88"/>
      <c r="BJ787" s="88"/>
      <c r="BK787" s="88"/>
      <c r="BL787" s="88"/>
      <c r="BM787" s="88"/>
      <c r="BN787" s="88"/>
      <c r="BO787" s="88"/>
      <c r="BP787" s="88"/>
      <c r="BQ787" s="88"/>
      <c r="BR787" s="88"/>
      <c r="BS787" s="88"/>
    </row>
    <row r="788">
      <c r="J788" s="73"/>
      <c r="K788" s="74"/>
      <c r="L788" s="74"/>
      <c r="M788" s="74"/>
      <c r="N788" s="74"/>
      <c r="S788" s="75"/>
      <c r="T788" s="145"/>
      <c r="U788" s="145"/>
      <c r="V788" s="145"/>
      <c r="W788" s="145"/>
      <c r="X788" s="145"/>
      <c r="Y788" s="145"/>
      <c r="Z788" s="145"/>
      <c r="AA788" s="145"/>
      <c r="AB788" s="145"/>
      <c r="AC788" s="145"/>
      <c r="AD788" s="145"/>
      <c r="AE788" s="145"/>
      <c r="AF788" s="145"/>
      <c r="AG788" s="145"/>
      <c r="AH788" s="145"/>
      <c r="AI788" s="145"/>
      <c r="AJ788" s="145"/>
      <c r="AK788" s="145"/>
      <c r="AL788" s="145"/>
      <c r="AM788" s="145"/>
      <c r="AN788" s="145"/>
      <c r="AO788" s="145"/>
      <c r="AP788" s="145"/>
      <c r="AQ788" s="145"/>
      <c r="AR788" s="145"/>
      <c r="AS788" s="145"/>
      <c r="AT788" s="124"/>
      <c r="AU788" s="124"/>
      <c r="AV788" s="124"/>
      <c r="AW788" s="124"/>
      <c r="AX788" s="124"/>
      <c r="AY788" s="124"/>
      <c r="AZ788" s="124"/>
      <c r="BA788" s="124"/>
      <c r="BB788" s="88"/>
      <c r="BC788" s="88"/>
      <c r="BD788" s="88"/>
      <c r="BE788" s="88"/>
      <c r="BF788" s="88"/>
      <c r="BG788" s="88"/>
      <c r="BH788" s="88"/>
      <c r="BI788" s="88"/>
      <c r="BJ788" s="88"/>
      <c r="BK788" s="88"/>
      <c r="BL788" s="88"/>
      <c r="BM788" s="88"/>
      <c r="BN788" s="88"/>
      <c r="BO788" s="88"/>
      <c r="BP788" s="88"/>
      <c r="BQ788" s="88"/>
      <c r="BR788" s="88"/>
      <c r="BS788" s="88"/>
    </row>
    <row r="789">
      <c r="J789" s="73"/>
      <c r="K789" s="74"/>
      <c r="L789" s="74"/>
      <c r="M789" s="74"/>
      <c r="N789" s="74"/>
      <c r="S789" s="75"/>
      <c r="T789" s="145"/>
      <c r="U789" s="145"/>
      <c r="V789" s="145"/>
      <c r="W789" s="145"/>
      <c r="X789" s="145"/>
      <c r="Y789" s="145"/>
      <c r="Z789" s="145"/>
      <c r="AA789" s="145"/>
      <c r="AB789" s="145"/>
      <c r="AC789" s="145"/>
      <c r="AD789" s="145"/>
      <c r="AE789" s="145"/>
      <c r="AF789" s="145"/>
      <c r="AG789" s="145"/>
      <c r="AH789" s="145"/>
      <c r="AI789" s="145"/>
      <c r="AJ789" s="145"/>
      <c r="AK789" s="145"/>
      <c r="AL789" s="145"/>
      <c r="AM789" s="145"/>
      <c r="AN789" s="145"/>
      <c r="AO789" s="145"/>
      <c r="AP789" s="145"/>
      <c r="AQ789" s="145"/>
      <c r="AR789" s="145"/>
      <c r="AS789" s="145"/>
      <c r="AT789" s="124"/>
      <c r="AU789" s="124"/>
      <c r="AV789" s="124"/>
      <c r="AW789" s="124"/>
      <c r="AX789" s="124"/>
      <c r="AY789" s="124"/>
      <c r="AZ789" s="124"/>
      <c r="BA789" s="124"/>
      <c r="BB789" s="88"/>
      <c r="BC789" s="88"/>
      <c r="BD789" s="88"/>
      <c r="BE789" s="88"/>
      <c r="BF789" s="88"/>
      <c r="BG789" s="88"/>
      <c r="BH789" s="88"/>
      <c r="BI789" s="88"/>
      <c r="BJ789" s="88"/>
      <c r="BK789" s="88"/>
      <c r="BL789" s="88"/>
      <c r="BM789" s="88"/>
      <c r="BN789" s="88"/>
      <c r="BO789" s="88"/>
      <c r="BP789" s="88"/>
      <c r="BQ789" s="88"/>
      <c r="BR789" s="88"/>
      <c r="BS789" s="88"/>
    </row>
    <row r="790">
      <c r="J790" s="73"/>
      <c r="K790" s="74"/>
      <c r="L790" s="74"/>
      <c r="M790" s="74"/>
      <c r="N790" s="74"/>
      <c r="S790" s="75"/>
      <c r="T790" s="145"/>
      <c r="U790" s="145"/>
      <c r="V790" s="145"/>
      <c r="W790" s="145"/>
      <c r="X790" s="145"/>
      <c r="Y790" s="145"/>
      <c r="Z790" s="145"/>
      <c r="AA790" s="145"/>
      <c r="AB790" s="145"/>
      <c r="AC790" s="145"/>
      <c r="AD790" s="145"/>
      <c r="AE790" s="145"/>
      <c r="AF790" s="145"/>
      <c r="AG790" s="145"/>
      <c r="AH790" s="145"/>
      <c r="AI790" s="145"/>
      <c r="AJ790" s="145"/>
      <c r="AK790" s="145"/>
      <c r="AL790" s="145"/>
      <c r="AM790" s="145"/>
      <c r="AN790" s="145"/>
      <c r="AO790" s="145"/>
      <c r="AP790" s="145"/>
      <c r="AQ790" s="145"/>
      <c r="AR790" s="145"/>
      <c r="AS790" s="145"/>
      <c r="AT790" s="124"/>
      <c r="AU790" s="124"/>
      <c r="AV790" s="124"/>
      <c r="AW790" s="124"/>
      <c r="AX790" s="124"/>
      <c r="AY790" s="124"/>
      <c r="AZ790" s="124"/>
      <c r="BA790" s="124"/>
      <c r="BB790" s="88"/>
      <c r="BC790" s="88"/>
      <c r="BD790" s="88"/>
      <c r="BE790" s="88"/>
      <c r="BF790" s="88"/>
      <c r="BG790" s="88"/>
      <c r="BH790" s="88"/>
      <c r="BI790" s="88"/>
      <c r="BJ790" s="88"/>
      <c r="BK790" s="88"/>
      <c r="BL790" s="88"/>
      <c r="BM790" s="88"/>
      <c r="BN790" s="88"/>
      <c r="BO790" s="88"/>
      <c r="BP790" s="88"/>
      <c r="BQ790" s="88"/>
      <c r="BR790" s="88"/>
      <c r="BS790" s="88"/>
    </row>
    <row r="791">
      <c r="J791" s="73"/>
      <c r="K791" s="74"/>
      <c r="L791" s="74"/>
      <c r="M791" s="74"/>
      <c r="N791" s="74"/>
      <c r="S791" s="75"/>
      <c r="T791" s="145"/>
      <c r="U791" s="145"/>
      <c r="V791" s="145"/>
      <c r="W791" s="145"/>
      <c r="X791" s="145"/>
      <c r="Y791" s="145"/>
      <c r="Z791" s="145"/>
      <c r="AA791" s="145"/>
      <c r="AB791" s="145"/>
      <c r="AC791" s="145"/>
      <c r="AD791" s="145"/>
      <c r="AE791" s="145"/>
      <c r="AF791" s="145"/>
      <c r="AG791" s="145"/>
      <c r="AH791" s="145"/>
      <c r="AI791" s="145"/>
      <c r="AJ791" s="145"/>
      <c r="AK791" s="145"/>
      <c r="AL791" s="145"/>
      <c r="AM791" s="145"/>
      <c r="AN791" s="145"/>
      <c r="AO791" s="145"/>
      <c r="AP791" s="145"/>
      <c r="AQ791" s="145"/>
      <c r="AR791" s="145"/>
      <c r="AS791" s="145"/>
      <c r="AT791" s="124"/>
      <c r="AU791" s="124"/>
      <c r="AV791" s="124"/>
      <c r="AW791" s="124"/>
      <c r="AX791" s="124"/>
      <c r="AY791" s="124"/>
      <c r="AZ791" s="124"/>
      <c r="BA791" s="124"/>
      <c r="BB791" s="88"/>
      <c r="BC791" s="88"/>
      <c r="BD791" s="88"/>
      <c r="BE791" s="88"/>
      <c r="BF791" s="88"/>
      <c r="BG791" s="88"/>
      <c r="BH791" s="88"/>
      <c r="BI791" s="88"/>
      <c r="BJ791" s="88"/>
      <c r="BK791" s="88"/>
      <c r="BL791" s="88"/>
      <c r="BM791" s="88"/>
      <c r="BN791" s="88"/>
      <c r="BO791" s="88"/>
      <c r="BP791" s="88"/>
      <c r="BQ791" s="88"/>
      <c r="BR791" s="88"/>
      <c r="BS791" s="88"/>
    </row>
    <row r="792">
      <c r="J792" s="73"/>
      <c r="K792" s="74"/>
      <c r="L792" s="74"/>
      <c r="M792" s="74"/>
      <c r="N792" s="74"/>
      <c r="S792" s="75"/>
      <c r="T792" s="145"/>
      <c r="U792" s="145"/>
      <c r="V792" s="145"/>
      <c r="W792" s="145"/>
      <c r="X792" s="145"/>
      <c r="Y792" s="145"/>
      <c r="Z792" s="145"/>
      <c r="AA792" s="145"/>
      <c r="AB792" s="145"/>
      <c r="AC792" s="145"/>
      <c r="AD792" s="145"/>
      <c r="AE792" s="145"/>
      <c r="AF792" s="145"/>
      <c r="AG792" s="145"/>
      <c r="AH792" s="145"/>
      <c r="AI792" s="145"/>
      <c r="AJ792" s="145"/>
      <c r="AK792" s="145"/>
      <c r="AL792" s="145"/>
      <c r="AM792" s="145"/>
      <c r="AN792" s="145"/>
      <c r="AO792" s="145"/>
      <c r="AP792" s="145"/>
      <c r="AQ792" s="145"/>
      <c r="AR792" s="145"/>
      <c r="AS792" s="145"/>
      <c r="AT792" s="124"/>
      <c r="AU792" s="124"/>
      <c r="AV792" s="124"/>
      <c r="AW792" s="124"/>
      <c r="AX792" s="124"/>
      <c r="AY792" s="124"/>
      <c r="AZ792" s="124"/>
      <c r="BA792" s="124"/>
      <c r="BB792" s="88"/>
      <c r="BC792" s="88"/>
      <c r="BD792" s="88"/>
      <c r="BE792" s="88"/>
      <c r="BF792" s="88"/>
      <c r="BG792" s="88"/>
      <c r="BH792" s="88"/>
      <c r="BI792" s="88"/>
      <c r="BJ792" s="88"/>
      <c r="BK792" s="88"/>
      <c r="BL792" s="88"/>
      <c r="BM792" s="88"/>
      <c r="BN792" s="88"/>
      <c r="BO792" s="88"/>
      <c r="BP792" s="88"/>
      <c r="BQ792" s="88"/>
      <c r="BR792" s="88"/>
      <c r="BS792" s="88"/>
    </row>
    <row r="793">
      <c r="J793" s="73"/>
      <c r="K793" s="74"/>
      <c r="L793" s="74"/>
      <c r="M793" s="74"/>
      <c r="N793" s="74"/>
      <c r="S793" s="75"/>
      <c r="T793" s="145"/>
      <c r="U793" s="145"/>
      <c r="V793" s="145"/>
      <c r="W793" s="145"/>
      <c r="X793" s="145"/>
      <c r="Y793" s="145"/>
      <c r="Z793" s="145"/>
      <c r="AA793" s="145"/>
      <c r="AB793" s="145"/>
      <c r="AC793" s="145"/>
      <c r="AD793" s="145"/>
      <c r="AE793" s="145"/>
      <c r="AF793" s="145"/>
      <c r="AG793" s="145"/>
      <c r="AH793" s="145"/>
      <c r="AI793" s="145"/>
      <c r="AJ793" s="145"/>
      <c r="AK793" s="145"/>
      <c r="AL793" s="145"/>
      <c r="AM793" s="145"/>
      <c r="AN793" s="145"/>
      <c r="AO793" s="145"/>
      <c r="AP793" s="145"/>
      <c r="AQ793" s="145"/>
      <c r="AR793" s="145"/>
      <c r="AS793" s="145"/>
      <c r="AT793" s="124"/>
      <c r="AU793" s="124"/>
      <c r="AV793" s="124"/>
      <c r="AW793" s="124"/>
      <c r="AX793" s="124"/>
      <c r="AY793" s="124"/>
      <c r="AZ793" s="124"/>
      <c r="BA793" s="124"/>
      <c r="BB793" s="88"/>
      <c r="BC793" s="88"/>
      <c r="BD793" s="88"/>
      <c r="BE793" s="88"/>
      <c r="BF793" s="88"/>
      <c r="BG793" s="88"/>
      <c r="BH793" s="88"/>
      <c r="BI793" s="88"/>
      <c r="BJ793" s="88"/>
      <c r="BK793" s="88"/>
      <c r="BL793" s="88"/>
      <c r="BM793" s="88"/>
      <c r="BN793" s="88"/>
      <c r="BO793" s="88"/>
      <c r="BP793" s="88"/>
      <c r="BQ793" s="88"/>
      <c r="BR793" s="88"/>
      <c r="BS793" s="88"/>
    </row>
    <row r="794">
      <c r="J794" s="73"/>
      <c r="K794" s="74"/>
      <c r="L794" s="74"/>
      <c r="M794" s="74"/>
      <c r="N794" s="74"/>
      <c r="S794" s="75"/>
      <c r="T794" s="145"/>
      <c r="U794" s="145"/>
      <c r="V794" s="145"/>
      <c r="W794" s="145"/>
      <c r="X794" s="145"/>
      <c r="Y794" s="145"/>
      <c r="Z794" s="145"/>
      <c r="AA794" s="145"/>
      <c r="AB794" s="145"/>
      <c r="AC794" s="145"/>
      <c r="AD794" s="145"/>
      <c r="AE794" s="145"/>
      <c r="AF794" s="145"/>
      <c r="AG794" s="145"/>
      <c r="AH794" s="145"/>
      <c r="AI794" s="145"/>
      <c r="AJ794" s="145"/>
      <c r="AK794" s="145"/>
      <c r="AL794" s="145"/>
      <c r="AM794" s="145"/>
      <c r="AN794" s="145"/>
      <c r="AO794" s="145"/>
      <c r="AP794" s="145"/>
      <c r="AQ794" s="145"/>
      <c r="AR794" s="145"/>
      <c r="AS794" s="145"/>
      <c r="AT794" s="124"/>
      <c r="AU794" s="124"/>
      <c r="AV794" s="124"/>
      <c r="AW794" s="124"/>
      <c r="AX794" s="124"/>
      <c r="AY794" s="124"/>
      <c r="AZ794" s="124"/>
      <c r="BA794" s="124"/>
      <c r="BB794" s="88"/>
      <c r="BC794" s="88"/>
      <c r="BD794" s="88"/>
      <c r="BE794" s="88"/>
      <c r="BF794" s="88"/>
      <c r="BG794" s="88"/>
      <c r="BH794" s="88"/>
      <c r="BI794" s="88"/>
      <c r="BJ794" s="88"/>
      <c r="BK794" s="88"/>
      <c r="BL794" s="88"/>
      <c r="BM794" s="88"/>
      <c r="BN794" s="88"/>
      <c r="BO794" s="88"/>
      <c r="BP794" s="88"/>
      <c r="BQ794" s="88"/>
      <c r="BR794" s="88"/>
      <c r="BS794" s="88"/>
    </row>
    <row r="795">
      <c r="J795" s="73"/>
      <c r="K795" s="74"/>
      <c r="L795" s="74"/>
      <c r="M795" s="74"/>
      <c r="N795" s="74"/>
      <c r="S795" s="75"/>
      <c r="T795" s="145"/>
      <c r="U795" s="145"/>
      <c r="V795" s="145"/>
      <c r="W795" s="145"/>
      <c r="X795" s="145"/>
      <c r="Y795" s="145"/>
      <c r="Z795" s="145"/>
      <c r="AA795" s="145"/>
      <c r="AB795" s="145"/>
      <c r="AC795" s="145"/>
      <c r="AD795" s="145"/>
      <c r="AE795" s="145"/>
      <c r="AF795" s="145"/>
      <c r="AG795" s="145"/>
      <c r="AH795" s="145"/>
      <c r="AI795" s="145"/>
      <c r="AJ795" s="145"/>
      <c r="AK795" s="145"/>
      <c r="AL795" s="145"/>
      <c r="AM795" s="145"/>
      <c r="AN795" s="145"/>
      <c r="AO795" s="145"/>
      <c r="AP795" s="145"/>
      <c r="AQ795" s="145"/>
      <c r="AR795" s="145"/>
      <c r="AS795" s="145"/>
      <c r="AT795" s="124"/>
      <c r="AU795" s="124"/>
      <c r="AV795" s="124"/>
      <c r="AW795" s="124"/>
      <c r="AX795" s="124"/>
      <c r="AY795" s="124"/>
      <c r="AZ795" s="124"/>
      <c r="BA795" s="124"/>
      <c r="BB795" s="88"/>
      <c r="BC795" s="88"/>
      <c r="BD795" s="88"/>
      <c r="BE795" s="88"/>
      <c r="BF795" s="88"/>
      <c r="BG795" s="88"/>
      <c r="BH795" s="88"/>
      <c r="BI795" s="88"/>
      <c r="BJ795" s="88"/>
      <c r="BK795" s="88"/>
      <c r="BL795" s="88"/>
      <c r="BM795" s="88"/>
      <c r="BN795" s="88"/>
      <c r="BO795" s="88"/>
      <c r="BP795" s="88"/>
      <c r="BQ795" s="88"/>
      <c r="BR795" s="88"/>
      <c r="BS795" s="88"/>
    </row>
    <row r="796">
      <c r="J796" s="73"/>
      <c r="K796" s="74"/>
      <c r="L796" s="74"/>
      <c r="M796" s="74"/>
      <c r="N796" s="74"/>
      <c r="S796" s="75"/>
      <c r="T796" s="145"/>
      <c r="U796" s="145"/>
      <c r="V796" s="145"/>
      <c r="W796" s="145"/>
      <c r="X796" s="145"/>
      <c r="Y796" s="145"/>
      <c r="Z796" s="145"/>
      <c r="AA796" s="145"/>
      <c r="AB796" s="145"/>
      <c r="AC796" s="145"/>
      <c r="AD796" s="145"/>
      <c r="AE796" s="145"/>
      <c r="AF796" s="145"/>
      <c r="AG796" s="145"/>
      <c r="AH796" s="145"/>
      <c r="AI796" s="145"/>
      <c r="AJ796" s="145"/>
      <c r="AK796" s="145"/>
      <c r="AL796" s="145"/>
      <c r="AM796" s="145"/>
      <c r="AN796" s="145"/>
      <c r="AO796" s="145"/>
      <c r="AP796" s="145"/>
      <c r="AQ796" s="145"/>
      <c r="AR796" s="145"/>
      <c r="AS796" s="145"/>
      <c r="AT796" s="124"/>
      <c r="AU796" s="124"/>
      <c r="AV796" s="124"/>
      <c r="AW796" s="124"/>
      <c r="AX796" s="124"/>
      <c r="AY796" s="124"/>
      <c r="AZ796" s="124"/>
      <c r="BA796" s="124"/>
      <c r="BB796" s="88"/>
      <c r="BC796" s="88"/>
      <c r="BD796" s="88"/>
      <c r="BE796" s="88"/>
      <c r="BF796" s="88"/>
      <c r="BG796" s="88"/>
      <c r="BH796" s="88"/>
      <c r="BI796" s="88"/>
      <c r="BJ796" s="88"/>
      <c r="BK796" s="88"/>
      <c r="BL796" s="88"/>
      <c r="BM796" s="88"/>
      <c r="BN796" s="88"/>
      <c r="BO796" s="88"/>
      <c r="BP796" s="88"/>
      <c r="BQ796" s="88"/>
      <c r="BR796" s="88"/>
      <c r="BS796" s="88"/>
    </row>
    <row r="797">
      <c r="J797" s="73"/>
      <c r="K797" s="74"/>
      <c r="L797" s="74"/>
      <c r="M797" s="74"/>
      <c r="N797" s="74"/>
      <c r="S797" s="75"/>
      <c r="T797" s="145"/>
      <c r="U797" s="145"/>
      <c r="V797" s="145"/>
      <c r="W797" s="145"/>
      <c r="X797" s="145"/>
      <c r="Y797" s="145"/>
      <c r="Z797" s="145"/>
      <c r="AA797" s="145"/>
      <c r="AB797" s="145"/>
      <c r="AC797" s="145"/>
      <c r="AD797" s="145"/>
      <c r="AE797" s="145"/>
      <c r="AF797" s="145"/>
      <c r="AG797" s="145"/>
      <c r="AH797" s="145"/>
      <c r="AI797" s="145"/>
      <c r="AJ797" s="145"/>
      <c r="AK797" s="145"/>
      <c r="AL797" s="145"/>
      <c r="AM797" s="145"/>
      <c r="AN797" s="145"/>
      <c r="AO797" s="145"/>
      <c r="AP797" s="145"/>
      <c r="AQ797" s="145"/>
      <c r="AR797" s="145"/>
      <c r="AS797" s="145"/>
      <c r="AT797" s="124"/>
      <c r="AU797" s="124"/>
      <c r="AV797" s="124"/>
      <c r="AW797" s="124"/>
      <c r="AX797" s="124"/>
      <c r="AY797" s="124"/>
      <c r="AZ797" s="124"/>
      <c r="BA797" s="124"/>
      <c r="BB797" s="88"/>
      <c r="BC797" s="88"/>
      <c r="BD797" s="88"/>
      <c r="BE797" s="88"/>
      <c r="BF797" s="88"/>
      <c r="BG797" s="88"/>
      <c r="BH797" s="88"/>
      <c r="BI797" s="88"/>
      <c r="BJ797" s="88"/>
      <c r="BK797" s="88"/>
      <c r="BL797" s="88"/>
      <c r="BM797" s="88"/>
      <c r="BN797" s="88"/>
      <c r="BO797" s="88"/>
      <c r="BP797" s="88"/>
      <c r="BQ797" s="88"/>
      <c r="BR797" s="88"/>
      <c r="BS797" s="88"/>
    </row>
    <row r="798">
      <c r="J798" s="73"/>
      <c r="K798" s="74"/>
      <c r="L798" s="74"/>
      <c r="M798" s="74"/>
      <c r="N798" s="74"/>
      <c r="S798" s="75"/>
      <c r="T798" s="145"/>
      <c r="U798" s="145"/>
      <c r="V798" s="145"/>
      <c r="W798" s="145"/>
      <c r="X798" s="145"/>
      <c r="Y798" s="145"/>
      <c r="Z798" s="145"/>
      <c r="AA798" s="145"/>
      <c r="AB798" s="145"/>
      <c r="AC798" s="145"/>
      <c r="AD798" s="145"/>
      <c r="AE798" s="145"/>
      <c r="AF798" s="145"/>
      <c r="AG798" s="145"/>
      <c r="AH798" s="145"/>
      <c r="AI798" s="145"/>
      <c r="AJ798" s="145"/>
      <c r="AK798" s="145"/>
      <c r="AL798" s="145"/>
      <c r="AM798" s="145"/>
      <c r="AN798" s="145"/>
      <c r="AO798" s="145"/>
      <c r="AP798" s="145"/>
      <c r="AQ798" s="145"/>
      <c r="AR798" s="145"/>
      <c r="AS798" s="145"/>
      <c r="AT798" s="124"/>
      <c r="AU798" s="124"/>
      <c r="AV798" s="124"/>
      <c r="AW798" s="124"/>
      <c r="AX798" s="124"/>
      <c r="AY798" s="124"/>
      <c r="AZ798" s="124"/>
      <c r="BA798" s="124"/>
      <c r="BB798" s="88"/>
      <c r="BC798" s="88"/>
      <c r="BD798" s="88"/>
      <c r="BE798" s="88"/>
      <c r="BF798" s="88"/>
      <c r="BG798" s="88"/>
      <c r="BH798" s="88"/>
      <c r="BI798" s="88"/>
      <c r="BJ798" s="88"/>
      <c r="BK798" s="88"/>
      <c r="BL798" s="88"/>
      <c r="BM798" s="88"/>
      <c r="BN798" s="88"/>
      <c r="BO798" s="88"/>
      <c r="BP798" s="88"/>
      <c r="BQ798" s="88"/>
      <c r="BR798" s="88"/>
      <c r="BS798" s="88"/>
    </row>
    <row r="799">
      <c r="J799" s="73"/>
      <c r="K799" s="74"/>
      <c r="L799" s="74"/>
      <c r="M799" s="74"/>
      <c r="N799" s="74"/>
      <c r="S799" s="75"/>
      <c r="T799" s="145"/>
      <c r="U799" s="145"/>
      <c r="V799" s="145"/>
      <c r="W799" s="145"/>
      <c r="X799" s="145"/>
      <c r="Y799" s="145"/>
      <c r="Z799" s="145"/>
      <c r="AA799" s="145"/>
      <c r="AB799" s="145"/>
      <c r="AC799" s="145"/>
      <c r="AD799" s="145"/>
      <c r="AE799" s="145"/>
      <c r="AF799" s="145"/>
      <c r="AG799" s="145"/>
      <c r="AH799" s="145"/>
      <c r="AI799" s="145"/>
      <c r="AJ799" s="145"/>
      <c r="AK799" s="145"/>
      <c r="AL799" s="145"/>
      <c r="AM799" s="145"/>
      <c r="AN799" s="145"/>
      <c r="AO799" s="145"/>
      <c r="AP799" s="145"/>
      <c r="AQ799" s="145"/>
      <c r="AR799" s="145"/>
      <c r="AS799" s="145"/>
      <c r="AT799" s="124"/>
      <c r="AU799" s="124"/>
      <c r="AV799" s="124"/>
      <c r="AW799" s="124"/>
      <c r="AX799" s="124"/>
      <c r="AY799" s="124"/>
      <c r="AZ799" s="124"/>
      <c r="BA799" s="124"/>
      <c r="BB799" s="88"/>
      <c r="BC799" s="88"/>
      <c r="BD799" s="88"/>
      <c r="BE799" s="88"/>
      <c r="BF799" s="88"/>
      <c r="BG799" s="88"/>
      <c r="BH799" s="88"/>
      <c r="BI799" s="88"/>
      <c r="BJ799" s="88"/>
      <c r="BK799" s="88"/>
      <c r="BL799" s="88"/>
      <c r="BM799" s="88"/>
      <c r="BN799" s="88"/>
      <c r="BO799" s="88"/>
      <c r="BP799" s="88"/>
      <c r="BQ799" s="88"/>
      <c r="BR799" s="88"/>
      <c r="BS799" s="88"/>
    </row>
    <row r="800">
      <c r="J800" s="73"/>
      <c r="K800" s="74"/>
      <c r="L800" s="74"/>
      <c r="M800" s="74"/>
      <c r="N800" s="74"/>
      <c r="S800" s="75"/>
      <c r="T800" s="145"/>
      <c r="U800" s="145"/>
      <c r="V800" s="145"/>
      <c r="W800" s="145"/>
      <c r="X800" s="145"/>
      <c r="Y800" s="145"/>
      <c r="Z800" s="145"/>
      <c r="AA800" s="145"/>
      <c r="AB800" s="145"/>
      <c r="AC800" s="145"/>
      <c r="AD800" s="145"/>
      <c r="AE800" s="145"/>
      <c r="AF800" s="145"/>
      <c r="AG800" s="145"/>
      <c r="AH800" s="145"/>
      <c r="AI800" s="145"/>
      <c r="AJ800" s="145"/>
      <c r="AK800" s="145"/>
      <c r="AL800" s="145"/>
      <c r="AM800" s="145"/>
      <c r="AN800" s="145"/>
      <c r="AO800" s="145"/>
      <c r="AP800" s="145"/>
      <c r="AQ800" s="145"/>
      <c r="AR800" s="145"/>
      <c r="AS800" s="145"/>
      <c r="AT800" s="124"/>
      <c r="AU800" s="124"/>
      <c r="AV800" s="124"/>
      <c r="AW800" s="124"/>
      <c r="AX800" s="124"/>
      <c r="AY800" s="124"/>
      <c r="AZ800" s="124"/>
      <c r="BA800" s="124"/>
      <c r="BB800" s="88"/>
      <c r="BC800" s="88"/>
      <c r="BD800" s="88"/>
      <c r="BE800" s="88"/>
      <c r="BF800" s="88"/>
      <c r="BG800" s="88"/>
      <c r="BH800" s="88"/>
      <c r="BI800" s="88"/>
      <c r="BJ800" s="88"/>
      <c r="BK800" s="88"/>
      <c r="BL800" s="88"/>
      <c r="BM800" s="88"/>
      <c r="BN800" s="88"/>
      <c r="BO800" s="88"/>
      <c r="BP800" s="88"/>
      <c r="BQ800" s="88"/>
      <c r="BR800" s="88"/>
      <c r="BS800" s="88"/>
    </row>
    <row r="801">
      <c r="J801" s="73"/>
      <c r="K801" s="74"/>
      <c r="L801" s="74"/>
      <c r="M801" s="74"/>
      <c r="N801" s="74"/>
      <c r="S801" s="75"/>
      <c r="T801" s="145"/>
      <c r="U801" s="145"/>
      <c r="V801" s="145"/>
      <c r="W801" s="145"/>
      <c r="X801" s="145"/>
      <c r="Y801" s="145"/>
      <c r="Z801" s="145"/>
      <c r="AA801" s="145"/>
      <c r="AB801" s="145"/>
      <c r="AC801" s="145"/>
      <c r="AD801" s="145"/>
      <c r="AE801" s="145"/>
      <c r="AF801" s="145"/>
      <c r="AG801" s="145"/>
      <c r="AH801" s="145"/>
      <c r="AI801" s="145"/>
      <c r="AJ801" s="145"/>
      <c r="AK801" s="145"/>
      <c r="AL801" s="145"/>
      <c r="AM801" s="145"/>
      <c r="AN801" s="145"/>
      <c r="AO801" s="145"/>
      <c r="AP801" s="145"/>
      <c r="AQ801" s="145"/>
      <c r="AR801" s="145"/>
      <c r="AS801" s="145"/>
      <c r="AT801" s="124"/>
      <c r="AU801" s="124"/>
      <c r="AV801" s="124"/>
      <c r="AW801" s="124"/>
      <c r="AX801" s="124"/>
      <c r="AY801" s="124"/>
      <c r="AZ801" s="124"/>
      <c r="BA801" s="124"/>
      <c r="BB801" s="88"/>
      <c r="BC801" s="88"/>
      <c r="BD801" s="88"/>
      <c r="BE801" s="88"/>
      <c r="BF801" s="88"/>
      <c r="BG801" s="88"/>
      <c r="BH801" s="88"/>
      <c r="BI801" s="88"/>
      <c r="BJ801" s="88"/>
      <c r="BK801" s="88"/>
      <c r="BL801" s="88"/>
      <c r="BM801" s="88"/>
      <c r="BN801" s="88"/>
      <c r="BO801" s="88"/>
      <c r="BP801" s="88"/>
      <c r="BQ801" s="88"/>
      <c r="BR801" s="88"/>
      <c r="BS801" s="88"/>
    </row>
    <row r="802">
      <c r="J802" s="73"/>
      <c r="K802" s="74"/>
      <c r="L802" s="74"/>
      <c r="M802" s="74"/>
      <c r="N802" s="74"/>
      <c r="S802" s="75"/>
      <c r="T802" s="145"/>
      <c r="U802" s="145"/>
      <c r="V802" s="145"/>
      <c r="W802" s="145"/>
      <c r="X802" s="145"/>
      <c r="Y802" s="145"/>
      <c r="Z802" s="145"/>
      <c r="AA802" s="145"/>
      <c r="AB802" s="145"/>
      <c r="AC802" s="145"/>
      <c r="AD802" s="145"/>
      <c r="AE802" s="145"/>
      <c r="AF802" s="145"/>
      <c r="AG802" s="145"/>
      <c r="AH802" s="145"/>
      <c r="AI802" s="145"/>
      <c r="AJ802" s="145"/>
      <c r="AK802" s="145"/>
      <c r="AL802" s="145"/>
      <c r="AM802" s="145"/>
      <c r="AN802" s="145"/>
      <c r="AO802" s="145"/>
      <c r="AP802" s="145"/>
      <c r="AQ802" s="145"/>
      <c r="AR802" s="145"/>
      <c r="AS802" s="145"/>
      <c r="AT802" s="124"/>
      <c r="AU802" s="124"/>
      <c r="AV802" s="124"/>
      <c r="AW802" s="124"/>
      <c r="AX802" s="124"/>
      <c r="AY802" s="124"/>
      <c r="AZ802" s="124"/>
      <c r="BA802" s="124"/>
      <c r="BB802" s="88"/>
      <c r="BC802" s="88"/>
      <c r="BD802" s="88"/>
      <c r="BE802" s="88"/>
      <c r="BF802" s="88"/>
      <c r="BG802" s="88"/>
      <c r="BH802" s="88"/>
      <c r="BI802" s="88"/>
      <c r="BJ802" s="88"/>
      <c r="BK802" s="88"/>
      <c r="BL802" s="88"/>
      <c r="BM802" s="88"/>
      <c r="BN802" s="88"/>
      <c r="BO802" s="88"/>
      <c r="BP802" s="88"/>
      <c r="BQ802" s="88"/>
      <c r="BR802" s="88"/>
      <c r="BS802" s="88"/>
    </row>
    <row r="803">
      <c r="J803" s="73"/>
      <c r="K803" s="74"/>
      <c r="L803" s="74"/>
      <c r="M803" s="74"/>
      <c r="N803" s="74"/>
      <c r="S803" s="75"/>
      <c r="T803" s="145"/>
      <c r="U803" s="145"/>
      <c r="V803" s="145"/>
      <c r="W803" s="145"/>
      <c r="X803" s="145"/>
      <c r="Y803" s="145"/>
      <c r="Z803" s="145"/>
      <c r="AA803" s="145"/>
      <c r="AB803" s="145"/>
      <c r="AC803" s="145"/>
      <c r="AD803" s="145"/>
      <c r="AE803" s="145"/>
      <c r="AF803" s="145"/>
      <c r="AG803" s="145"/>
      <c r="AH803" s="145"/>
      <c r="AI803" s="145"/>
      <c r="AJ803" s="145"/>
      <c r="AK803" s="145"/>
      <c r="AL803" s="145"/>
      <c r="AM803" s="145"/>
      <c r="AN803" s="145"/>
      <c r="AO803" s="145"/>
      <c r="AP803" s="145"/>
      <c r="AQ803" s="145"/>
      <c r="AR803" s="145"/>
      <c r="AS803" s="145"/>
      <c r="AT803" s="124"/>
      <c r="AU803" s="124"/>
      <c r="AV803" s="124"/>
      <c r="AW803" s="124"/>
      <c r="AX803" s="124"/>
      <c r="AY803" s="124"/>
      <c r="AZ803" s="124"/>
      <c r="BA803" s="124"/>
      <c r="BB803" s="88"/>
      <c r="BC803" s="88"/>
      <c r="BD803" s="88"/>
      <c r="BE803" s="88"/>
      <c r="BF803" s="88"/>
      <c r="BG803" s="88"/>
      <c r="BH803" s="88"/>
      <c r="BI803" s="88"/>
      <c r="BJ803" s="88"/>
      <c r="BK803" s="88"/>
      <c r="BL803" s="88"/>
      <c r="BM803" s="88"/>
      <c r="BN803" s="88"/>
      <c r="BO803" s="88"/>
      <c r="BP803" s="88"/>
      <c r="BQ803" s="88"/>
      <c r="BR803" s="88"/>
      <c r="BS803" s="88"/>
    </row>
    <row r="804">
      <c r="J804" s="73"/>
      <c r="K804" s="74"/>
      <c r="L804" s="74"/>
      <c r="M804" s="74"/>
      <c r="N804" s="74"/>
      <c r="S804" s="75"/>
      <c r="T804" s="145"/>
      <c r="U804" s="145"/>
      <c r="V804" s="145"/>
      <c r="W804" s="145"/>
      <c r="X804" s="145"/>
      <c r="Y804" s="145"/>
      <c r="Z804" s="145"/>
      <c r="AA804" s="145"/>
      <c r="AB804" s="145"/>
      <c r="AC804" s="145"/>
      <c r="AD804" s="145"/>
      <c r="AE804" s="145"/>
      <c r="AF804" s="145"/>
      <c r="AG804" s="145"/>
      <c r="AH804" s="145"/>
      <c r="AI804" s="145"/>
      <c r="AJ804" s="145"/>
      <c r="AK804" s="145"/>
      <c r="AL804" s="145"/>
      <c r="AM804" s="145"/>
      <c r="AN804" s="145"/>
      <c r="AO804" s="145"/>
      <c r="AP804" s="145"/>
      <c r="AQ804" s="145"/>
      <c r="AR804" s="145"/>
      <c r="AS804" s="145"/>
      <c r="AT804" s="124"/>
      <c r="AU804" s="124"/>
      <c r="AV804" s="124"/>
      <c r="AW804" s="124"/>
      <c r="AX804" s="124"/>
      <c r="AY804" s="124"/>
      <c r="AZ804" s="124"/>
      <c r="BA804" s="124"/>
      <c r="BB804" s="88"/>
      <c r="BC804" s="88"/>
      <c r="BD804" s="88"/>
      <c r="BE804" s="88"/>
      <c r="BF804" s="88"/>
      <c r="BG804" s="88"/>
      <c r="BH804" s="88"/>
      <c r="BI804" s="88"/>
      <c r="BJ804" s="88"/>
      <c r="BK804" s="88"/>
      <c r="BL804" s="88"/>
      <c r="BM804" s="88"/>
      <c r="BN804" s="88"/>
      <c r="BO804" s="88"/>
      <c r="BP804" s="88"/>
      <c r="BQ804" s="88"/>
      <c r="BR804" s="88"/>
      <c r="BS804" s="88"/>
    </row>
    <row r="805">
      <c r="J805" s="73"/>
      <c r="K805" s="74"/>
      <c r="L805" s="74"/>
      <c r="M805" s="74"/>
      <c r="N805" s="74"/>
      <c r="S805" s="75"/>
      <c r="T805" s="145"/>
      <c r="U805" s="145"/>
      <c r="V805" s="145"/>
      <c r="W805" s="145"/>
      <c r="X805" s="145"/>
      <c r="Y805" s="145"/>
      <c r="Z805" s="145"/>
      <c r="AA805" s="145"/>
      <c r="AB805" s="145"/>
      <c r="AC805" s="145"/>
      <c r="AD805" s="145"/>
      <c r="AE805" s="145"/>
      <c r="AF805" s="145"/>
      <c r="AG805" s="145"/>
      <c r="AH805" s="145"/>
      <c r="AI805" s="145"/>
      <c r="AJ805" s="145"/>
      <c r="AK805" s="145"/>
      <c r="AL805" s="145"/>
      <c r="AM805" s="145"/>
      <c r="AN805" s="145"/>
      <c r="AO805" s="145"/>
      <c r="AP805" s="145"/>
      <c r="AQ805" s="145"/>
      <c r="AR805" s="145"/>
      <c r="AS805" s="145"/>
      <c r="AT805" s="124"/>
      <c r="AU805" s="124"/>
      <c r="AV805" s="124"/>
      <c r="AW805" s="124"/>
      <c r="AX805" s="124"/>
      <c r="AY805" s="124"/>
      <c r="AZ805" s="124"/>
      <c r="BA805" s="124"/>
      <c r="BB805" s="88"/>
      <c r="BC805" s="88"/>
      <c r="BD805" s="88"/>
      <c r="BE805" s="88"/>
      <c r="BF805" s="88"/>
      <c r="BG805" s="88"/>
      <c r="BH805" s="88"/>
      <c r="BI805" s="88"/>
      <c r="BJ805" s="88"/>
      <c r="BK805" s="88"/>
      <c r="BL805" s="88"/>
      <c r="BM805" s="88"/>
      <c r="BN805" s="88"/>
      <c r="BO805" s="88"/>
      <c r="BP805" s="88"/>
      <c r="BQ805" s="88"/>
      <c r="BR805" s="88"/>
      <c r="BS805" s="88"/>
    </row>
    <row r="806">
      <c r="J806" s="73"/>
      <c r="K806" s="74"/>
      <c r="L806" s="74"/>
      <c r="M806" s="74"/>
      <c r="N806" s="74"/>
      <c r="S806" s="75"/>
      <c r="T806" s="145"/>
      <c r="U806" s="145"/>
      <c r="V806" s="145"/>
      <c r="W806" s="145"/>
      <c r="X806" s="145"/>
      <c r="Y806" s="145"/>
      <c r="Z806" s="145"/>
      <c r="AA806" s="145"/>
      <c r="AB806" s="145"/>
      <c r="AC806" s="145"/>
      <c r="AD806" s="145"/>
      <c r="AE806" s="145"/>
      <c r="AF806" s="145"/>
      <c r="AG806" s="145"/>
      <c r="AH806" s="145"/>
      <c r="AI806" s="145"/>
      <c r="AJ806" s="145"/>
      <c r="AK806" s="145"/>
      <c r="AL806" s="145"/>
      <c r="AM806" s="145"/>
      <c r="AN806" s="145"/>
      <c r="AO806" s="145"/>
      <c r="AP806" s="145"/>
      <c r="AQ806" s="145"/>
      <c r="AR806" s="145"/>
      <c r="AS806" s="145"/>
      <c r="AT806" s="124"/>
      <c r="AU806" s="124"/>
      <c r="AV806" s="124"/>
      <c r="AW806" s="124"/>
      <c r="AX806" s="124"/>
      <c r="AY806" s="124"/>
      <c r="AZ806" s="124"/>
      <c r="BA806" s="124"/>
      <c r="BB806" s="88"/>
      <c r="BC806" s="88"/>
      <c r="BD806" s="88"/>
      <c r="BE806" s="88"/>
      <c r="BF806" s="88"/>
      <c r="BG806" s="88"/>
      <c r="BH806" s="88"/>
      <c r="BI806" s="88"/>
      <c r="BJ806" s="88"/>
      <c r="BK806" s="88"/>
      <c r="BL806" s="88"/>
      <c r="BM806" s="88"/>
      <c r="BN806" s="88"/>
      <c r="BO806" s="88"/>
      <c r="BP806" s="88"/>
      <c r="BQ806" s="88"/>
      <c r="BR806" s="88"/>
      <c r="BS806" s="88"/>
    </row>
    <row r="807">
      <c r="J807" s="73"/>
      <c r="K807" s="74"/>
      <c r="L807" s="74"/>
      <c r="M807" s="74"/>
      <c r="N807" s="74"/>
      <c r="S807" s="75"/>
      <c r="T807" s="145"/>
      <c r="U807" s="145"/>
      <c r="V807" s="145"/>
      <c r="W807" s="145"/>
      <c r="X807" s="145"/>
      <c r="Y807" s="145"/>
      <c r="Z807" s="145"/>
      <c r="AA807" s="145"/>
      <c r="AB807" s="145"/>
      <c r="AC807" s="145"/>
      <c r="AD807" s="145"/>
      <c r="AE807" s="145"/>
      <c r="AF807" s="145"/>
      <c r="AG807" s="145"/>
      <c r="AH807" s="145"/>
      <c r="AI807" s="145"/>
      <c r="AJ807" s="145"/>
      <c r="AK807" s="145"/>
      <c r="AL807" s="145"/>
      <c r="AM807" s="145"/>
      <c r="AN807" s="145"/>
      <c r="AO807" s="145"/>
      <c r="AP807" s="145"/>
      <c r="AQ807" s="145"/>
      <c r="AR807" s="145"/>
      <c r="AS807" s="145"/>
      <c r="AT807" s="124"/>
      <c r="AU807" s="124"/>
      <c r="AV807" s="124"/>
      <c r="AW807" s="124"/>
      <c r="AX807" s="124"/>
      <c r="AY807" s="124"/>
      <c r="AZ807" s="124"/>
      <c r="BA807" s="124"/>
      <c r="BB807" s="88"/>
      <c r="BC807" s="88"/>
      <c r="BD807" s="88"/>
      <c r="BE807" s="88"/>
      <c r="BF807" s="88"/>
      <c r="BG807" s="88"/>
      <c r="BH807" s="88"/>
      <c r="BI807" s="88"/>
      <c r="BJ807" s="88"/>
      <c r="BK807" s="88"/>
      <c r="BL807" s="88"/>
      <c r="BM807" s="88"/>
      <c r="BN807" s="88"/>
      <c r="BO807" s="88"/>
      <c r="BP807" s="88"/>
      <c r="BQ807" s="88"/>
      <c r="BR807" s="88"/>
      <c r="BS807" s="88"/>
    </row>
    <row r="808">
      <c r="J808" s="73"/>
      <c r="K808" s="74"/>
      <c r="L808" s="74"/>
      <c r="M808" s="74"/>
      <c r="N808" s="74"/>
      <c r="S808" s="75"/>
      <c r="T808" s="145"/>
      <c r="U808" s="145"/>
      <c r="V808" s="145"/>
      <c r="W808" s="145"/>
      <c r="X808" s="145"/>
      <c r="Y808" s="145"/>
      <c r="Z808" s="145"/>
      <c r="AA808" s="145"/>
      <c r="AB808" s="145"/>
      <c r="AC808" s="145"/>
      <c r="AD808" s="145"/>
      <c r="AE808" s="145"/>
      <c r="AF808" s="145"/>
      <c r="AG808" s="145"/>
      <c r="AH808" s="145"/>
      <c r="AI808" s="145"/>
      <c r="AJ808" s="145"/>
      <c r="AK808" s="145"/>
      <c r="AL808" s="145"/>
      <c r="AM808" s="145"/>
      <c r="AN808" s="145"/>
      <c r="AO808" s="145"/>
      <c r="AP808" s="145"/>
      <c r="AQ808" s="145"/>
      <c r="AR808" s="145"/>
      <c r="AS808" s="145"/>
      <c r="AT808" s="124"/>
      <c r="AU808" s="124"/>
      <c r="AV808" s="124"/>
      <c r="AW808" s="124"/>
      <c r="AX808" s="124"/>
      <c r="AY808" s="124"/>
      <c r="AZ808" s="124"/>
      <c r="BA808" s="124"/>
      <c r="BB808" s="88"/>
      <c r="BC808" s="88"/>
      <c r="BD808" s="88"/>
      <c r="BE808" s="88"/>
      <c r="BF808" s="88"/>
      <c r="BG808" s="88"/>
      <c r="BH808" s="88"/>
      <c r="BI808" s="88"/>
      <c r="BJ808" s="88"/>
      <c r="BK808" s="88"/>
      <c r="BL808" s="88"/>
      <c r="BM808" s="88"/>
      <c r="BN808" s="88"/>
      <c r="BO808" s="88"/>
      <c r="BP808" s="88"/>
      <c r="BQ808" s="88"/>
      <c r="BR808" s="88"/>
      <c r="BS808" s="88"/>
    </row>
    <row r="809">
      <c r="J809" s="73"/>
      <c r="K809" s="74"/>
      <c r="L809" s="74"/>
      <c r="M809" s="74"/>
      <c r="N809" s="74"/>
      <c r="S809" s="75"/>
      <c r="T809" s="145"/>
      <c r="U809" s="145"/>
      <c r="V809" s="145"/>
      <c r="W809" s="145"/>
      <c r="X809" s="145"/>
      <c r="Y809" s="145"/>
      <c r="Z809" s="145"/>
      <c r="AA809" s="145"/>
      <c r="AB809" s="145"/>
      <c r="AC809" s="145"/>
      <c r="AD809" s="145"/>
      <c r="AE809" s="145"/>
      <c r="AF809" s="145"/>
      <c r="AG809" s="145"/>
      <c r="AH809" s="145"/>
      <c r="AI809" s="145"/>
      <c r="AJ809" s="145"/>
      <c r="AK809" s="145"/>
      <c r="AL809" s="145"/>
      <c r="AM809" s="145"/>
      <c r="AN809" s="145"/>
      <c r="AO809" s="145"/>
      <c r="AP809" s="145"/>
      <c r="AQ809" s="145"/>
      <c r="AR809" s="145"/>
      <c r="AS809" s="145"/>
      <c r="AT809" s="124"/>
      <c r="AU809" s="124"/>
      <c r="AV809" s="124"/>
      <c r="AW809" s="124"/>
      <c r="AX809" s="124"/>
      <c r="AY809" s="124"/>
      <c r="AZ809" s="124"/>
      <c r="BA809" s="124"/>
      <c r="BB809" s="88"/>
      <c r="BC809" s="88"/>
      <c r="BD809" s="88"/>
      <c r="BE809" s="88"/>
      <c r="BF809" s="88"/>
      <c r="BG809" s="88"/>
      <c r="BH809" s="88"/>
      <c r="BI809" s="88"/>
      <c r="BJ809" s="88"/>
      <c r="BK809" s="88"/>
      <c r="BL809" s="88"/>
      <c r="BM809" s="88"/>
      <c r="BN809" s="88"/>
      <c r="BO809" s="88"/>
      <c r="BP809" s="88"/>
      <c r="BQ809" s="88"/>
      <c r="BR809" s="88"/>
      <c r="BS809" s="88"/>
    </row>
    <row r="810">
      <c r="J810" s="73"/>
      <c r="K810" s="74"/>
      <c r="L810" s="74"/>
      <c r="M810" s="74"/>
      <c r="N810" s="74"/>
      <c r="S810" s="75"/>
      <c r="T810" s="145"/>
      <c r="U810" s="145"/>
      <c r="V810" s="145"/>
      <c r="W810" s="145"/>
      <c r="X810" s="145"/>
      <c r="Y810" s="145"/>
      <c r="Z810" s="145"/>
      <c r="AA810" s="145"/>
      <c r="AB810" s="145"/>
      <c r="AC810" s="145"/>
      <c r="AD810" s="145"/>
      <c r="AE810" s="145"/>
      <c r="AF810" s="145"/>
      <c r="AG810" s="145"/>
      <c r="AH810" s="145"/>
      <c r="AI810" s="145"/>
      <c r="AJ810" s="145"/>
      <c r="AK810" s="145"/>
      <c r="AL810" s="145"/>
      <c r="AM810" s="145"/>
      <c r="AN810" s="145"/>
      <c r="AO810" s="145"/>
      <c r="AP810" s="145"/>
      <c r="AQ810" s="145"/>
      <c r="AR810" s="145"/>
      <c r="AS810" s="145"/>
      <c r="AT810" s="124"/>
      <c r="AU810" s="124"/>
      <c r="AV810" s="124"/>
      <c r="AW810" s="124"/>
      <c r="AX810" s="124"/>
      <c r="AY810" s="124"/>
      <c r="AZ810" s="124"/>
      <c r="BA810" s="124"/>
      <c r="BB810" s="88"/>
      <c r="BC810" s="88"/>
      <c r="BD810" s="88"/>
      <c r="BE810" s="88"/>
      <c r="BF810" s="88"/>
      <c r="BG810" s="88"/>
      <c r="BH810" s="88"/>
      <c r="BI810" s="88"/>
      <c r="BJ810" s="88"/>
      <c r="BK810" s="88"/>
      <c r="BL810" s="88"/>
      <c r="BM810" s="88"/>
      <c r="BN810" s="88"/>
      <c r="BO810" s="88"/>
      <c r="BP810" s="88"/>
      <c r="BQ810" s="88"/>
      <c r="BR810" s="88"/>
      <c r="BS810" s="88"/>
    </row>
    <row r="811">
      <c r="J811" s="73"/>
      <c r="K811" s="74"/>
      <c r="L811" s="74"/>
      <c r="M811" s="74"/>
      <c r="N811" s="74"/>
      <c r="S811" s="75"/>
      <c r="T811" s="145"/>
      <c r="U811" s="145"/>
      <c r="V811" s="145"/>
      <c r="W811" s="145"/>
      <c r="X811" s="145"/>
      <c r="Y811" s="145"/>
      <c r="Z811" s="145"/>
      <c r="AA811" s="145"/>
      <c r="AB811" s="145"/>
      <c r="AC811" s="145"/>
      <c r="AD811" s="145"/>
      <c r="AE811" s="145"/>
      <c r="AF811" s="145"/>
      <c r="AG811" s="145"/>
      <c r="AH811" s="145"/>
      <c r="AI811" s="145"/>
      <c r="AJ811" s="145"/>
      <c r="AK811" s="145"/>
      <c r="AL811" s="145"/>
      <c r="AM811" s="145"/>
      <c r="AN811" s="145"/>
      <c r="AO811" s="145"/>
      <c r="AP811" s="145"/>
      <c r="AQ811" s="145"/>
      <c r="AR811" s="145"/>
      <c r="AS811" s="145"/>
      <c r="AT811" s="124"/>
      <c r="AU811" s="124"/>
      <c r="AV811" s="124"/>
      <c r="AW811" s="124"/>
      <c r="AX811" s="124"/>
      <c r="AY811" s="124"/>
      <c r="AZ811" s="124"/>
      <c r="BA811" s="124"/>
      <c r="BB811" s="88"/>
      <c r="BC811" s="88"/>
      <c r="BD811" s="88"/>
      <c r="BE811" s="88"/>
      <c r="BF811" s="88"/>
      <c r="BG811" s="88"/>
      <c r="BH811" s="88"/>
      <c r="BI811" s="88"/>
      <c r="BJ811" s="88"/>
      <c r="BK811" s="88"/>
      <c r="BL811" s="88"/>
      <c r="BM811" s="88"/>
      <c r="BN811" s="88"/>
      <c r="BO811" s="88"/>
      <c r="BP811" s="88"/>
      <c r="BQ811" s="88"/>
      <c r="BR811" s="88"/>
      <c r="BS811" s="88"/>
    </row>
    <row r="812">
      <c r="J812" s="73"/>
      <c r="K812" s="74"/>
      <c r="L812" s="74"/>
      <c r="M812" s="74"/>
      <c r="N812" s="74"/>
      <c r="S812" s="75"/>
      <c r="T812" s="145"/>
      <c r="U812" s="145"/>
      <c r="V812" s="145"/>
      <c r="W812" s="145"/>
      <c r="X812" s="145"/>
      <c r="Y812" s="145"/>
      <c r="Z812" s="145"/>
      <c r="AA812" s="145"/>
      <c r="AB812" s="145"/>
      <c r="AC812" s="145"/>
      <c r="AD812" s="145"/>
      <c r="AE812" s="145"/>
      <c r="AF812" s="145"/>
      <c r="AG812" s="145"/>
      <c r="AH812" s="145"/>
      <c r="AI812" s="145"/>
      <c r="AJ812" s="145"/>
      <c r="AK812" s="145"/>
      <c r="AL812" s="145"/>
      <c r="AM812" s="145"/>
      <c r="AN812" s="145"/>
      <c r="AO812" s="145"/>
      <c r="AP812" s="145"/>
      <c r="AQ812" s="145"/>
      <c r="AR812" s="145"/>
      <c r="AS812" s="145"/>
      <c r="AT812" s="124"/>
      <c r="AU812" s="124"/>
      <c r="AV812" s="124"/>
      <c r="AW812" s="124"/>
      <c r="AX812" s="124"/>
      <c r="AY812" s="124"/>
      <c r="AZ812" s="124"/>
      <c r="BA812" s="124"/>
      <c r="BB812" s="88"/>
      <c r="BC812" s="88"/>
      <c r="BD812" s="88"/>
      <c r="BE812" s="88"/>
      <c r="BF812" s="88"/>
      <c r="BG812" s="88"/>
      <c r="BH812" s="88"/>
      <c r="BI812" s="88"/>
      <c r="BJ812" s="88"/>
      <c r="BK812" s="88"/>
      <c r="BL812" s="88"/>
      <c r="BM812" s="88"/>
      <c r="BN812" s="88"/>
      <c r="BO812" s="88"/>
      <c r="BP812" s="88"/>
      <c r="BQ812" s="88"/>
      <c r="BR812" s="88"/>
      <c r="BS812" s="88"/>
    </row>
    <row r="813">
      <c r="J813" s="73"/>
      <c r="K813" s="74"/>
      <c r="L813" s="74"/>
      <c r="M813" s="74"/>
      <c r="N813" s="74"/>
      <c r="S813" s="75"/>
      <c r="T813" s="145"/>
      <c r="U813" s="145"/>
      <c r="V813" s="145"/>
      <c r="W813" s="145"/>
      <c r="X813" s="145"/>
      <c r="Y813" s="145"/>
      <c r="Z813" s="145"/>
      <c r="AA813" s="145"/>
      <c r="AB813" s="145"/>
      <c r="AC813" s="145"/>
      <c r="AD813" s="145"/>
      <c r="AE813" s="145"/>
      <c r="AF813" s="145"/>
      <c r="AG813" s="145"/>
      <c r="AH813" s="145"/>
      <c r="AI813" s="145"/>
      <c r="AJ813" s="145"/>
      <c r="AK813" s="145"/>
      <c r="AL813" s="145"/>
      <c r="AM813" s="145"/>
      <c r="AN813" s="145"/>
      <c r="AO813" s="145"/>
      <c r="AP813" s="145"/>
      <c r="AQ813" s="145"/>
      <c r="AR813" s="145"/>
      <c r="AS813" s="145"/>
      <c r="AT813" s="124"/>
      <c r="AU813" s="124"/>
      <c r="AV813" s="124"/>
      <c r="AW813" s="124"/>
      <c r="AX813" s="124"/>
      <c r="AY813" s="124"/>
      <c r="AZ813" s="124"/>
      <c r="BA813" s="124"/>
      <c r="BB813" s="88"/>
      <c r="BC813" s="88"/>
      <c r="BD813" s="88"/>
      <c r="BE813" s="88"/>
      <c r="BF813" s="88"/>
      <c r="BG813" s="88"/>
      <c r="BH813" s="88"/>
      <c r="BI813" s="88"/>
      <c r="BJ813" s="88"/>
      <c r="BK813" s="88"/>
      <c r="BL813" s="88"/>
      <c r="BM813" s="88"/>
      <c r="BN813" s="88"/>
      <c r="BO813" s="88"/>
      <c r="BP813" s="88"/>
      <c r="BQ813" s="88"/>
      <c r="BR813" s="88"/>
      <c r="BS813" s="88"/>
    </row>
    <row r="814">
      <c r="J814" s="73"/>
      <c r="K814" s="74"/>
      <c r="L814" s="74"/>
      <c r="M814" s="74"/>
      <c r="N814" s="74"/>
      <c r="S814" s="75"/>
      <c r="T814" s="145"/>
      <c r="U814" s="145"/>
      <c r="V814" s="145"/>
      <c r="W814" s="145"/>
      <c r="X814" s="145"/>
      <c r="Y814" s="145"/>
      <c r="Z814" s="145"/>
      <c r="AA814" s="145"/>
      <c r="AB814" s="145"/>
      <c r="AC814" s="145"/>
      <c r="AD814" s="145"/>
      <c r="AE814" s="145"/>
      <c r="AF814" s="145"/>
      <c r="AG814" s="145"/>
      <c r="AH814" s="145"/>
      <c r="AI814" s="145"/>
      <c r="AJ814" s="145"/>
      <c r="AK814" s="145"/>
      <c r="AL814" s="145"/>
      <c r="AM814" s="145"/>
      <c r="AN814" s="145"/>
      <c r="AO814" s="145"/>
      <c r="AP814" s="145"/>
      <c r="AQ814" s="145"/>
      <c r="AR814" s="145"/>
      <c r="AS814" s="145"/>
      <c r="AT814" s="124"/>
      <c r="AU814" s="124"/>
      <c r="AV814" s="124"/>
      <c r="AW814" s="124"/>
      <c r="AX814" s="124"/>
      <c r="AY814" s="124"/>
      <c r="AZ814" s="124"/>
      <c r="BA814" s="124"/>
      <c r="BB814" s="88"/>
      <c r="BC814" s="88"/>
      <c r="BD814" s="88"/>
      <c r="BE814" s="88"/>
      <c r="BF814" s="88"/>
      <c r="BG814" s="88"/>
      <c r="BH814" s="88"/>
      <c r="BI814" s="88"/>
      <c r="BJ814" s="88"/>
      <c r="BK814" s="88"/>
      <c r="BL814" s="88"/>
      <c r="BM814" s="88"/>
      <c r="BN814" s="88"/>
      <c r="BO814" s="88"/>
      <c r="BP814" s="88"/>
      <c r="BQ814" s="88"/>
      <c r="BR814" s="88"/>
      <c r="BS814" s="88"/>
    </row>
    <row r="815">
      <c r="J815" s="73"/>
      <c r="K815" s="74"/>
      <c r="L815" s="74"/>
      <c r="M815" s="74"/>
      <c r="N815" s="74"/>
      <c r="S815" s="75"/>
      <c r="T815" s="145"/>
      <c r="U815" s="145"/>
      <c r="V815" s="145"/>
      <c r="W815" s="145"/>
      <c r="X815" s="145"/>
      <c r="Y815" s="145"/>
      <c r="Z815" s="145"/>
      <c r="AA815" s="145"/>
      <c r="AB815" s="145"/>
      <c r="AC815" s="145"/>
      <c r="AD815" s="145"/>
      <c r="AE815" s="145"/>
      <c r="AF815" s="145"/>
      <c r="AG815" s="145"/>
      <c r="AH815" s="145"/>
      <c r="AI815" s="145"/>
      <c r="AJ815" s="145"/>
      <c r="AK815" s="145"/>
      <c r="AL815" s="145"/>
      <c r="AM815" s="145"/>
      <c r="AN815" s="145"/>
      <c r="AO815" s="145"/>
      <c r="AP815" s="145"/>
      <c r="AQ815" s="145"/>
      <c r="AR815" s="145"/>
      <c r="AS815" s="145"/>
      <c r="AT815" s="124"/>
      <c r="AU815" s="124"/>
      <c r="AV815" s="124"/>
      <c r="AW815" s="124"/>
      <c r="AX815" s="124"/>
      <c r="AY815" s="124"/>
      <c r="AZ815" s="124"/>
      <c r="BA815" s="124"/>
      <c r="BB815" s="88"/>
      <c r="BC815" s="88"/>
      <c r="BD815" s="88"/>
      <c r="BE815" s="88"/>
      <c r="BF815" s="88"/>
      <c r="BG815" s="88"/>
      <c r="BH815" s="88"/>
      <c r="BI815" s="88"/>
      <c r="BJ815" s="88"/>
      <c r="BK815" s="88"/>
      <c r="BL815" s="88"/>
      <c r="BM815" s="88"/>
      <c r="BN815" s="88"/>
      <c r="BO815" s="88"/>
      <c r="BP815" s="88"/>
      <c r="BQ815" s="88"/>
      <c r="BR815" s="88"/>
      <c r="BS815" s="88"/>
    </row>
    <row r="816">
      <c r="J816" s="73"/>
      <c r="K816" s="74"/>
      <c r="L816" s="74"/>
      <c r="M816" s="74"/>
      <c r="N816" s="74"/>
      <c r="S816" s="75"/>
      <c r="T816" s="145"/>
      <c r="U816" s="145"/>
      <c r="V816" s="145"/>
      <c r="W816" s="145"/>
      <c r="X816" s="145"/>
      <c r="Y816" s="145"/>
      <c r="Z816" s="145"/>
      <c r="AA816" s="145"/>
      <c r="AB816" s="145"/>
      <c r="AC816" s="145"/>
      <c r="AD816" s="145"/>
      <c r="AE816" s="145"/>
      <c r="AF816" s="145"/>
      <c r="AG816" s="145"/>
      <c r="AH816" s="145"/>
      <c r="AI816" s="145"/>
      <c r="AJ816" s="145"/>
      <c r="AK816" s="145"/>
      <c r="AL816" s="145"/>
      <c r="AM816" s="145"/>
      <c r="AN816" s="145"/>
      <c r="AO816" s="145"/>
      <c r="AP816" s="145"/>
      <c r="AQ816" s="145"/>
      <c r="AR816" s="145"/>
      <c r="AS816" s="145"/>
      <c r="AT816" s="124"/>
      <c r="AU816" s="124"/>
      <c r="AV816" s="124"/>
      <c r="AW816" s="124"/>
      <c r="AX816" s="124"/>
      <c r="AY816" s="124"/>
      <c r="AZ816" s="124"/>
      <c r="BA816" s="124"/>
      <c r="BB816" s="88"/>
      <c r="BC816" s="88"/>
      <c r="BD816" s="88"/>
      <c r="BE816" s="88"/>
      <c r="BF816" s="88"/>
      <c r="BG816" s="88"/>
      <c r="BH816" s="88"/>
      <c r="BI816" s="88"/>
      <c r="BJ816" s="88"/>
      <c r="BK816" s="88"/>
      <c r="BL816" s="88"/>
      <c r="BM816" s="88"/>
      <c r="BN816" s="88"/>
      <c r="BO816" s="88"/>
      <c r="BP816" s="88"/>
      <c r="BQ816" s="88"/>
      <c r="BR816" s="88"/>
      <c r="BS816" s="88"/>
    </row>
    <row r="817">
      <c r="J817" s="73"/>
      <c r="K817" s="74"/>
      <c r="L817" s="74"/>
      <c r="M817" s="74"/>
      <c r="N817" s="74"/>
      <c r="S817" s="75"/>
      <c r="T817" s="145"/>
      <c r="U817" s="145"/>
      <c r="V817" s="145"/>
      <c r="W817" s="145"/>
      <c r="X817" s="145"/>
      <c r="Y817" s="145"/>
      <c r="Z817" s="145"/>
      <c r="AA817" s="145"/>
      <c r="AB817" s="145"/>
      <c r="AC817" s="145"/>
      <c r="AD817" s="145"/>
      <c r="AE817" s="145"/>
      <c r="AF817" s="145"/>
      <c r="AG817" s="145"/>
      <c r="AH817" s="145"/>
      <c r="AI817" s="145"/>
      <c r="AJ817" s="145"/>
      <c r="AK817" s="145"/>
      <c r="AL817" s="145"/>
      <c r="AM817" s="145"/>
      <c r="AN817" s="145"/>
      <c r="AO817" s="145"/>
      <c r="AP817" s="145"/>
      <c r="AQ817" s="145"/>
      <c r="AR817" s="145"/>
      <c r="AS817" s="145"/>
      <c r="AT817" s="124"/>
      <c r="AU817" s="124"/>
      <c r="AV817" s="124"/>
      <c r="AW817" s="124"/>
      <c r="AX817" s="124"/>
      <c r="AY817" s="124"/>
      <c r="AZ817" s="124"/>
      <c r="BA817" s="124"/>
      <c r="BB817" s="88"/>
      <c r="BC817" s="88"/>
      <c r="BD817" s="88"/>
      <c r="BE817" s="88"/>
      <c r="BF817" s="88"/>
      <c r="BG817" s="88"/>
      <c r="BH817" s="88"/>
      <c r="BI817" s="88"/>
      <c r="BJ817" s="88"/>
      <c r="BK817" s="88"/>
      <c r="BL817" s="88"/>
      <c r="BM817" s="88"/>
      <c r="BN817" s="88"/>
      <c r="BO817" s="88"/>
      <c r="BP817" s="88"/>
      <c r="BQ817" s="88"/>
      <c r="BR817" s="88"/>
      <c r="BS817" s="88"/>
    </row>
    <row r="818">
      <c r="J818" s="73"/>
      <c r="K818" s="74"/>
      <c r="L818" s="74"/>
      <c r="M818" s="74"/>
      <c r="N818" s="74"/>
      <c r="S818" s="75"/>
      <c r="T818" s="145"/>
      <c r="U818" s="145"/>
      <c r="V818" s="145"/>
      <c r="W818" s="145"/>
      <c r="X818" s="145"/>
      <c r="Y818" s="145"/>
      <c r="Z818" s="145"/>
      <c r="AA818" s="145"/>
      <c r="AB818" s="145"/>
      <c r="AC818" s="145"/>
      <c r="AD818" s="145"/>
      <c r="AE818" s="145"/>
      <c r="AF818" s="145"/>
      <c r="AG818" s="145"/>
      <c r="AH818" s="145"/>
      <c r="AI818" s="145"/>
      <c r="AJ818" s="145"/>
      <c r="AK818" s="145"/>
      <c r="AL818" s="145"/>
      <c r="AM818" s="145"/>
      <c r="AN818" s="145"/>
      <c r="AO818" s="145"/>
      <c r="AP818" s="145"/>
      <c r="AQ818" s="145"/>
      <c r="AR818" s="145"/>
      <c r="AS818" s="145"/>
      <c r="AT818" s="124"/>
      <c r="AU818" s="124"/>
      <c r="AV818" s="124"/>
      <c r="AW818" s="124"/>
      <c r="AX818" s="124"/>
      <c r="AY818" s="124"/>
      <c r="AZ818" s="124"/>
      <c r="BA818" s="124"/>
      <c r="BB818" s="88"/>
      <c r="BC818" s="88"/>
      <c r="BD818" s="88"/>
      <c r="BE818" s="88"/>
      <c r="BF818" s="88"/>
      <c r="BG818" s="88"/>
      <c r="BH818" s="88"/>
      <c r="BI818" s="88"/>
      <c r="BJ818" s="88"/>
      <c r="BK818" s="88"/>
      <c r="BL818" s="88"/>
      <c r="BM818" s="88"/>
      <c r="BN818" s="88"/>
      <c r="BO818" s="88"/>
      <c r="BP818" s="88"/>
      <c r="BQ818" s="88"/>
      <c r="BR818" s="88"/>
      <c r="BS818" s="88"/>
    </row>
    <row r="819">
      <c r="J819" s="73"/>
      <c r="K819" s="74"/>
      <c r="L819" s="74"/>
      <c r="M819" s="74"/>
      <c r="N819" s="74"/>
      <c r="S819" s="75"/>
      <c r="T819" s="145"/>
      <c r="U819" s="145"/>
      <c r="V819" s="145"/>
      <c r="W819" s="145"/>
      <c r="X819" s="145"/>
      <c r="Y819" s="145"/>
      <c r="Z819" s="145"/>
      <c r="AA819" s="145"/>
      <c r="AB819" s="145"/>
      <c r="AC819" s="145"/>
      <c r="AD819" s="145"/>
      <c r="AE819" s="145"/>
      <c r="AF819" s="145"/>
      <c r="AG819" s="145"/>
      <c r="AH819" s="145"/>
      <c r="AI819" s="145"/>
      <c r="AJ819" s="145"/>
      <c r="AK819" s="145"/>
      <c r="AL819" s="145"/>
      <c r="AM819" s="145"/>
      <c r="AN819" s="145"/>
      <c r="AO819" s="145"/>
      <c r="AP819" s="145"/>
      <c r="AQ819" s="145"/>
      <c r="AR819" s="145"/>
      <c r="AS819" s="145"/>
      <c r="AT819" s="124"/>
      <c r="AU819" s="124"/>
      <c r="AV819" s="124"/>
      <c r="AW819" s="124"/>
      <c r="AX819" s="124"/>
      <c r="AY819" s="124"/>
      <c r="AZ819" s="124"/>
      <c r="BA819" s="124"/>
      <c r="BB819" s="88"/>
      <c r="BC819" s="88"/>
      <c r="BD819" s="88"/>
      <c r="BE819" s="88"/>
      <c r="BF819" s="88"/>
      <c r="BG819" s="88"/>
      <c r="BH819" s="88"/>
      <c r="BI819" s="88"/>
      <c r="BJ819" s="88"/>
      <c r="BK819" s="88"/>
      <c r="BL819" s="88"/>
      <c r="BM819" s="88"/>
      <c r="BN819" s="88"/>
      <c r="BO819" s="88"/>
      <c r="BP819" s="88"/>
      <c r="BQ819" s="88"/>
      <c r="BR819" s="88"/>
      <c r="BS819" s="88"/>
    </row>
    <row r="820">
      <c r="J820" s="73"/>
      <c r="K820" s="74"/>
      <c r="L820" s="74"/>
      <c r="M820" s="74"/>
      <c r="N820" s="74"/>
      <c r="S820" s="75"/>
      <c r="T820" s="145"/>
      <c r="U820" s="145"/>
      <c r="V820" s="145"/>
      <c r="W820" s="145"/>
      <c r="X820" s="145"/>
      <c r="Y820" s="145"/>
      <c r="Z820" s="145"/>
      <c r="AA820" s="145"/>
      <c r="AB820" s="145"/>
      <c r="AC820" s="145"/>
      <c r="AD820" s="145"/>
      <c r="AE820" s="145"/>
      <c r="AF820" s="145"/>
      <c r="AG820" s="145"/>
      <c r="AH820" s="145"/>
      <c r="AI820" s="145"/>
      <c r="AJ820" s="145"/>
      <c r="AK820" s="145"/>
      <c r="AL820" s="145"/>
      <c r="AM820" s="145"/>
      <c r="AN820" s="145"/>
      <c r="AO820" s="145"/>
      <c r="AP820" s="145"/>
      <c r="AQ820" s="145"/>
      <c r="AR820" s="145"/>
      <c r="AS820" s="145"/>
      <c r="AT820" s="124"/>
      <c r="AU820" s="124"/>
      <c r="AV820" s="124"/>
      <c r="AW820" s="124"/>
      <c r="AX820" s="124"/>
      <c r="AY820" s="124"/>
      <c r="AZ820" s="124"/>
      <c r="BA820" s="124"/>
      <c r="BB820" s="88"/>
      <c r="BC820" s="88"/>
      <c r="BD820" s="88"/>
      <c r="BE820" s="88"/>
      <c r="BF820" s="88"/>
      <c r="BG820" s="88"/>
      <c r="BH820" s="88"/>
      <c r="BI820" s="88"/>
      <c r="BJ820" s="88"/>
      <c r="BK820" s="88"/>
      <c r="BL820" s="88"/>
      <c r="BM820" s="88"/>
      <c r="BN820" s="88"/>
      <c r="BO820" s="88"/>
      <c r="BP820" s="88"/>
      <c r="BQ820" s="88"/>
      <c r="BR820" s="88"/>
      <c r="BS820" s="88"/>
    </row>
    <row r="821">
      <c r="J821" s="73"/>
      <c r="K821" s="74"/>
      <c r="L821" s="74"/>
      <c r="M821" s="74"/>
      <c r="N821" s="74"/>
      <c r="S821" s="75"/>
      <c r="T821" s="145"/>
      <c r="U821" s="145"/>
      <c r="V821" s="145"/>
      <c r="W821" s="145"/>
      <c r="X821" s="145"/>
      <c r="Y821" s="145"/>
      <c r="Z821" s="145"/>
      <c r="AA821" s="145"/>
      <c r="AB821" s="145"/>
      <c r="AC821" s="145"/>
      <c r="AD821" s="145"/>
      <c r="AE821" s="145"/>
      <c r="AF821" s="145"/>
      <c r="AG821" s="145"/>
      <c r="AH821" s="145"/>
      <c r="AI821" s="145"/>
      <c r="AJ821" s="145"/>
      <c r="AK821" s="145"/>
      <c r="AL821" s="145"/>
      <c r="AM821" s="145"/>
      <c r="AN821" s="145"/>
      <c r="AO821" s="145"/>
      <c r="AP821" s="145"/>
      <c r="AQ821" s="145"/>
      <c r="AR821" s="145"/>
      <c r="AS821" s="145"/>
      <c r="AT821" s="124"/>
      <c r="AU821" s="124"/>
      <c r="AV821" s="124"/>
      <c r="AW821" s="124"/>
      <c r="AX821" s="124"/>
      <c r="AY821" s="124"/>
      <c r="AZ821" s="124"/>
      <c r="BA821" s="124"/>
      <c r="BB821" s="88"/>
      <c r="BC821" s="88"/>
      <c r="BD821" s="88"/>
      <c r="BE821" s="88"/>
      <c r="BF821" s="88"/>
      <c r="BG821" s="88"/>
      <c r="BH821" s="88"/>
      <c r="BI821" s="88"/>
      <c r="BJ821" s="88"/>
      <c r="BK821" s="88"/>
      <c r="BL821" s="88"/>
      <c r="BM821" s="88"/>
      <c r="BN821" s="88"/>
      <c r="BO821" s="88"/>
      <c r="BP821" s="88"/>
      <c r="BQ821" s="88"/>
      <c r="BR821" s="88"/>
      <c r="BS821" s="88"/>
    </row>
    <row r="822">
      <c r="J822" s="73"/>
      <c r="K822" s="74"/>
      <c r="L822" s="74"/>
      <c r="M822" s="74"/>
      <c r="N822" s="74"/>
      <c r="S822" s="75"/>
      <c r="T822" s="145"/>
      <c r="U822" s="145"/>
      <c r="V822" s="145"/>
      <c r="W822" s="145"/>
      <c r="X822" s="145"/>
      <c r="Y822" s="145"/>
      <c r="Z822" s="145"/>
      <c r="AA822" s="145"/>
      <c r="AB822" s="145"/>
      <c r="AC822" s="145"/>
      <c r="AD822" s="145"/>
      <c r="AE822" s="145"/>
      <c r="AF822" s="145"/>
      <c r="AG822" s="145"/>
      <c r="AH822" s="145"/>
      <c r="AI822" s="145"/>
      <c r="AJ822" s="145"/>
      <c r="AK822" s="145"/>
      <c r="AL822" s="145"/>
      <c r="AM822" s="145"/>
      <c r="AN822" s="145"/>
      <c r="AO822" s="145"/>
      <c r="AP822" s="145"/>
      <c r="AQ822" s="145"/>
      <c r="AR822" s="145"/>
      <c r="AS822" s="145"/>
      <c r="AT822" s="124"/>
      <c r="AU822" s="124"/>
      <c r="AV822" s="124"/>
      <c r="AW822" s="124"/>
      <c r="AX822" s="124"/>
      <c r="AY822" s="124"/>
      <c r="AZ822" s="124"/>
      <c r="BA822" s="124"/>
      <c r="BB822" s="88"/>
      <c r="BC822" s="88"/>
      <c r="BD822" s="88"/>
      <c r="BE822" s="88"/>
      <c r="BF822" s="88"/>
      <c r="BG822" s="88"/>
      <c r="BH822" s="88"/>
      <c r="BI822" s="88"/>
      <c r="BJ822" s="88"/>
      <c r="BK822" s="88"/>
      <c r="BL822" s="88"/>
      <c r="BM822" s="88"/>
      <c r="BN822" s="88"/>
      <c r="BO822" s="88"/>
      <c r="BP822" s="88"/>
      <c r="BQ822" s="88"/>
      <c r="BR822" s="88"/>
      <c r="BS822" s="88"/>
    </row>
    <row r="823">
      <c r="J823" s="73"/>
      <c r="K823" s="74"/>
      <c r="L823" s="74"/>
      <c r="M823" s="74"/>
      <c r="N823" s="74"/>
      <c r="S823" s="75"/>
      <c r="T823" s="145"/>
      <c r="U823" s="145"/>
      <c r="V823" s="145"/>
      <c r="W823" s="145"/>
      <c r="X823" s="145"/>
      <c r="Y823" s="145"/>
      <c r="Z823" s="145"/>
      <c r="AA823" s="145"/>
      <c r="AB823" s="145"/>
      <c r="AC823" s="145"/>
      <c r="AD823" s="145"/>
      <c r="AE823" s="145"/>
      <c r="AF823" s="145"/>
      <c r="AG823" s="145"/>
      <c r="AH823" s="145"/>
      <c r="AI823" s="145"/>
      <c r="AJ823" s="145"/>
      <c r="AK823" s="145"/>
      <c r="AL823" s="145"/>
      <c r="AM823" s="145"/>
      <c r="AN823" s="145"/>
      <c r="AO823" s="145"/>
      <c r="AP823" s="145"/>
      <c r="AQ823" s="145"/>
      <c r="AR823" s="145"/>
      <c r="AS823" s="145"/>
      <c r="AT823" s="124"/>
      <c r="AU823" s="124"/>
      <c r="AV823" s="124"/>
      <c r="AW823" s="124"/>
      <c r="AX823" s="124"/>
      <c r="AY823" s="124"/>
      <c r="AZ823" s="124"/>
      <c r="BA823" s="124"/>
      <c r="BB823" s="88"/>
      <c r="BC823" s="88"/>
      <c r="BD823" s="88"/>
      <c r="BE823" s="88"/>
      <c r="BF823" s="88"/>
      <c r="BG823" s="88"/>
      <c r="BH823" s="88"/>
      <c r="BI823" s="88"/>
      <c r="BJ823" s="88"/>
      <c r="BK823" s="88"/>
      <c r="BL823" s="88"/>
      <c r="BM823" s="88"/>
      <c r="BN823" s="88"/>
      <c r="BO823" s="88"/>
      <c r="BP823" s="88"/>
      <c r="BQ823" s="88"/>
      <c r="BR823" s="88"/>
      <c r="BS823" s="88"/>
    </row>
    <row r="824">
      <c r="J824" s="73"/>
      <c r="K824" s="74"/>
      <c r="L824" s="74"/>
      <c r="M824" s="74"/>
      <c r="N824" s="74"/>
      <c r="S824" s="75"/>
      <c r="T824" s="145"/>
      <c r="U824" s="145"/>
      <c r="V824" s="145"/>
      <c r="W824" s="145"/>
      <c r="X824" s="145"/>
      <c r="Y824" s="145"/>
      <c r="Z824" s="145"/>
      <c r="AA824" s="145"/>
      <c r="AB824" s="145"/>
      <c r="AC824" s="145"/>
      <c r="AD824" s="145"/>
      <c r="AE824" s="145"/>
      <c r="AF824" s="145"/>
      <c r="AG824" s="145"/>
      <c r="AH824" s="145"/>
      <c r="AI824" s="145"/>
      <c r="AJ824" s="145"/>
      <c r="AK824" s="145"/>
      <c r="AL824" s="145"/>
      <c r="AM824" s="145"/>
      <c r="AN824" s="145"/>
      <c r="AO824" s="145"/>
      <c r="AP824" s="145"/>
      <c r="AQ824" s="145"/>
      <c r="AR824" s="145"/>
      <c r="AS824" s="145"/>
      <c r="AT824" s="124"/>
      <c r="AU824" s="124"/>
      <c r="AV824" s="124"/>
      <c r="AW824" s="124"/>
      <c r="AX824" s="124"/>
      <c r="AY824" s="124"/>
      <c r="AZ824" s="124"/>
      <c r="BA824" s="124"/>
      <c r="BB824" s="88"/>
      <c r="BC824" s="88"/>
      <c r="BD824" s="88"/>
      <c r="BE824" s="88"/>
      <c r="BF824" s="88"/>
      <c r="BG824" s="88"/>
      <c r="BH824" s="88"/>
      <c r="BI824" s="88"/>
      <c r="BJ824" s="88"/>
      <c r="BK824" s="88"/>
      <c r="BL824" s="88"/>
      <c r="BM824" s="88"/>
      <c r="BN824" s="88"/>
      <c r="BO824" s="88"/>
      <c r="BP824" s="88"/>
      <c r="BQ824" s="88"/>
      <c r="BR824" s="88"/>
      <c r="BS824" s="88"/>
    </row>
    <row r="825">
      <c r="J825" s="73"/>
      <c r="K825" s="74"/>
      <c r="L825" s="74"/>
      <c r="M825" s="74"/>
      <c r="N825" s="74"/>
      <c r="S825" s="75"/>
      <c r="T825" s="145"/>
      <c r="U825" s="145"/>
      <c r="V825" s="145"/>
      <c r="W825" s="145"/>
      <c r="X825" s="145"/>
      <c r="Y825" s="145"/>
      <c r="Z825" s="145"/>
      <c r="AA825" s="145"/>
      <c r="AB825" s="145"/>
      <c r="AC825" s="145"/>
      <c r="AD825" s="145"/>
      <c r="AE825" s="145"/>
      <c r="AF825" s="145"/>
      <c r="AG825" s="145"/>
      <c r="AH825" s="145"/>
      <c r="AI825" s="145"/>
      <c r="AJ825" s="145"/>
      <c r="AK825" s="145"/>
      <c r="AL825" s="145"/>
      <c r="AM825" s="145"/>
      <c r="AN825" s="145"/>
      <c r="AO825" s="145"/>
      <c r="AP825" s="145"/>
      <c r="AQ825" s="145"/>
      <c r="AR825" s="145"/>
      <c r="AS825" s="145"/>
      <c r="AT825" s="124"/>
      <c r="AU825" s="124"/>
      <c r="AV825" s="124"/>
      <c r="AW825" s="124"/>
      <c r="AX825" s="124"/>
      <c r="AY825" s="124"/>
      <c r="AZ825" s="124"/>
      <c r="BA825" s="124"/>
      <c r="BB825" s="88"/>
      <c r="BC825" s="88"/>
      <c r="BD825" s="88"/>
      <c r="BE825" s="88"/>
      <c r="BF825" s="88"/>
      <c r="BG825" s="88"/>
      <c r="BH825" s="88"/>
      <c r="BI825" s="88"/>
      <c r="BJ825" s="88"/>
      <c r="BK825" s="88"/>
      <c r="BL825" s="88"/>
      <c r="BM825" s="88"/>
      <c r="BN825" s="88"/>
      <c r="BO825" s="88"/>
      <c r="BP825" s="88"/>
      <c r="BQ825" s="88"/>
      <c r="BR825" s="88"/>
      <c r="BS825" s="88"/>
    </row>
    <row r="826">
      <c r="J826" s="73"/>
      <c r="K826" s="74"/>
      <c r="L826" s="74"/>
      <c r="M826" s="74"/>
      <c r="N826" s="74"/>
      <c r="S826" s="75"/>
      <c r="T826" s="145"/>
      <c r="U826" s="145"/>
      <c r="V826" s="145"/>
      <c r="W826" s="145"/>
      <c r="X826" s="145"/>
      <c r="Y826" s="145"/>
      <c r="Z826" s="145"/>
      <c r="AA826" s="145"/>
      <c r="AB826" s="145"/>
      <c r="AC826" s="145"/>
      <c r="AD826" s="145"/>
      <c r="AE826" s="145"/>
      <c r="AF826" s="145"/>
      <c r="AG826" s="145"/>
      <c r="AH826" s="145"/>
      <c r="AI826" s="145"/>
      <c r="AJ826" s="145"/>
      <c r="AK826" s="145"/>
      <c r="AL826" s="145"/>
      <c r="AM826" s="145"/>
      <c r="AN826" s="145"/>
      <c r="AO826" s="145"/>
      <c r="AP826" s="145"/>
      <c r="AQ826" s="145"/>
      <c r="AR826" s="145"/>
      <c r="AS826" s="145"/>
      <c r="AT826" s="124"/>
      <c r="AU826" s="124"/>
      <c r="AV826" s="124"/>
      <c r="AW826" s="124"/>
      <c r="AX826" s="124"/>
      <c r="AY826" s="124"/>
      <c r="AZ826" s="124"/>
      <c r="BA826" s="124"/>
      <c r="BB826" s="88"/>
      <c r="BC826" s="88"/>
      <c r="BD826" s="88"/>
      <c r="BE826" s="88"/>
      <c r="BF826" s="88"/>
      <c r="BG826" s="88"/>
      <c r="BH826" s="88"/>
      <c r="BI826" s="88"/>
      <c r="BJ826" s="88"/>
      <c r="BK826" s="88"/>
      <c r="BL826" s="88"/>
      <c r="BM826" s="88"/>
      <c r="BN826" s="88"/>
      <c r="BO826" s="88"/>
      <c r="BP826" s="88"/>
      <c r="BQ826" s="88"/>
      <c r="BR826" s="88"/>
      <c r="BS826" s="88"/>
    </row>
    <row r="827">
      <c r="J827" s="73"/>
      <c r="K827" s="74"/>
      <c r="L827" s="74"/>
      <c r="M827" s="74"/>
      <c r="N827" s="74"/>
      <c r="S827" s="75"/>
      <c r="T827" s="145"/>
      <c r="U827" s="145"/>
      <c r="V827" s="145"/>
      <c r="W827" s="145"/>
      <c r="X827" s="145"/>
      <c r="Y827" s="145"/>
      <c r="Z827" s="145"/>
      <c r="AA827" s="145"/>
      <c r="AB827" s="145"/>
      <c r="AC827" s="145"/>
      <c r="AD827" s="145"/>
      <c r="AE827" s="145"/>
      <c r="AF827" s="145"/>
      <c r="AG827" s="145"/>
      <c r="AH827" s="145"/>
      <c r="AI827" s="145"/>
      <c r="AJ827" s="145"/>
      <c r="AK827" s="145"/>
      <c r="AL827" s="145"/>
      <c r="AM827" s="145"/>
      <c r="AN827" s="145"/>
      <c r="AO827" s="145"/>
      <c r="AP827" s="145"/>
      <c r="AQ827" s="145"/>
      <c r="AR827" s="145"/>
      <c r="AS827" s="145"/>
      <c r="AT827" s="124"/>
      <c r="AU827" s="124"/>
      <c r="AV827" s="124"/>
      <c r="AW827" s="124"/>
      <c r="AX827" s="124"/>
      <c r="AY827" s="124"/>
      <c r="AZ827" s="124"/>
      <c r="BA827" s="124"/>
      <c r="BB827" s="88"/>
      <c r="BC827" s="88"/>
      <c r="BD827" s="88"/>
      <c r="BE827" s="88"/>
      <c r="BF827" s="88"/>
      <c r="BG827" s="88"/>
      <c r="BH827" s="88"/>
      <c r="BI827" s="88"/>
      <c r="BJ827" s="88"/>
      <c r="BK827" s="88"/>
      <c r="BL827" s="88"/>
      <c r="BM827" s="88"/>
      <c r="BN827" s="88"/>
      <c r="BO827" s="88"/>
      <c r="BP827" s="88"/>
      <c r="BQ827" s="88"/>
      <c r="BR827" s="88"/>
      <c r="BS827" s="88"/>
    </row>
    <row r="828">
      <c r="J828" s="73"/>
      <c r="K828" s="74"/>
      <c r="L828" s="74"/>
      <c r="M828" s="74"/>
      <c r="N828" s="74"/>
      <c r="S828" s="75"/>
      <c r="T828" s="145"/>
      <c r="U828" s="145"/>
      <c r="V828" s="145"/>
      <c r="W828" s="145"/>
      <c r="X828" s="145"/>
      <c r="Y828" s="145"/>
      <c r="Z828" s="145"/>
      <c r="AA828" s="145"/>
      <c r="AB828" s="145"/>
      <c r="AC828" s="145"/>
      <c r="AD828" s="145"/>
      <c r="AE828" s="145"/>
      <c r="AF828" s="145"/>
      <c r="AG828" s="145"/>
      <c r="AH828" s="145"/>
      <c r="AI828" s="145"/>
      <c r="AJ828" s="145"/>
      <c r="AK828" s="145"/>
      <c r="AL828" s="145"/>
      <c r="AM828" s="145"/>
      <c r="AN828" s="145"/>
      <c r="AO828" s="145"/>
      <c r="AP828" s="145"/>
      <c r="AQ828" s="145"/>
      <c r="AR828" s="145"/>
      <c r="AS828" s="145"/>
      <c r="AT828" s="124"/>
      <c r="AU828" s="124"/>
      <c r="AV828" s="124"/>
      <c r="AW828" s="124"/>
      <c r="AX828" s="124"/>
      <c r="AY828" s="124"/>
      <c r="AZ828" s="124"/>
      <c r="BA828" s="124"/>
      <c r="BB828" s="88"/>
      <c r="BC828" s="88"/>
      <c r="BD828" s="88"/>
      <c r="BE828" s="88"/>
      <c r="BF828" s="88"/>
      <c r="BG828" s="88"/>
      <c r="BH828" s="88"/>
      <c r="BI828" s="88"/>
      <c r="BJ828" s="88"/>
      <c r="BK828" s="88"/>
      <c r="BL828" s="88"/>
      <c r="BM828" s="88"/>
      <c r="BN828" s="88"/>
      <c r="BO828" s="88"/>
      <c r="BP828" s="88"/>
      <c r="BQ828" s="88"/>
      <c r="BR828" s="88"/>
      <c r="BS828" s="88"/>
    </row>
    <row r="829">
      <c r="J829" s="73"/>
      <c r="K829" s="74"/>
      <c r="L829" s="74"/>
      <c r="M829" s="74"/>
      <c r="N829" s="74"/>
      <c r="S829" s="75"/>
      <c r="T829" s="145"/>
      <c r="U829" s="145"/>
      <c r="V829" s="145"/>
      <c r="W829" s="145"/>
      <c r="X829" s="145"/>
      <c r="Y829" s="145"/>
      <c r="Z829" s="145"/>
      <c r="AA829" s="145"/>
      <c r="AB829" s="145"/>
      <c r="AC829" s="145"/>
      <c r="AD829" s="145"/>
      <c r="AE829" s="145"/>
      <c r="AF829" s="145"/>
      <c r="AG829" s="145"/>
      <c r="AH829" s="145"/>
      <c r="AI829" s="145"/>
      <c r="AJ829" s="145"/>
      <c r="AK829" s="145"/>
      <c r="AL829" s="145"/>
      <c r="AM829" s="145"/>
      <c r="AN829" s="145"/>
      <c r="AO829" s="145"/>
      <c r="AP829" s="145"/>
      <c r="AQ829" s="145"/>
      <c r="AR829" s="145"/>
      <c r="AS829" s="145"/>
      <c r="AT829" s="124"/>
      <c r="AU829" s="124"/>
      <c r="AV829" s="124"/>
      <c r="AW829" s="124"/>
      <c r="AX829" s="124"/>
      <c r="AY829" s="124"/>
      <c r="AZ829" s="124"/>
      <c r="BA829" s="124"/>
      <c r="BB829" s="88"/>
      <c r="BC829" s="88"/>
      <c r="BD829" s="88"/>
      <c r="BE829" s="88"/>
      <c r="BF829" s="88"/>
      <c r="BG829" s="88"/>
      <c r="BH829" s="88"/>
      <c r="BI829" s="88"/>
      <c r="BJ829" s="88"/>
      <c r="BK829" s="88"/>
      <c r="BL829" s="88"/>
      <c r="BM829" s="88"/>
      <c r="BN829" s="88"/>
      <c r="BO829" s="88"/>
      <c r="BP829" s="88"/>
      <c r="BQ829" s="88"/>
      <c r="BR829" s="88"/>
      <c r="BS829" s="88"/>
    </row>
    <row r="830">
      <c r="J830" s="73"/>
      <c r="K830" s="74"/>
      <c r="L830" s="74"/>
      <c r="M830" s="74"/>
      <c r="N830" s="74"/>
      <c r="S830" s="75"/>
      <c r="T830" s="145"/>
      <c r="U830" s="145"/>
      <c r="V830" s="145"/>
      <c r="W830" s="145"/>
      <c r="X830" s="145"/>
      <c r="Y830" s="145"/>
      <c r="Z830" s="145"/>
      <c r="AA830" s="145"/>
      <c r="AB830" s="145"/>
      <c r="AC830" s="145"/>
      <c r="AD830" s="145"/>
      <c r="AE830" s="145"/>
      <c r="AF830" s="145"/>
      <c r="AG830" s="145"/>
      <c r="AH830" s="145"/>
      <c r="AI830" s="145"/>
      <c r="AJ830" s="145"/>
      <c r="AK830" s="145"/>
      <c r="AL830" s="145"/>
      <c r="AM830" s="145"/>
      <c r="AN830" s="145"/>
      <c r="AO830" s="145"/>
      <c r="AP830" s="145"/>
      <c r="AQ830" s="145"/>
      <c r="AR830" s="145"/>
      <c r="AS830" s="145"/>
      <c r="AT830" s="124"/>
      <c r="AU830" s="124"/>
      <c r="AV830" s="124"/>
      <c r="AW830" s="124"/>
      <c r="AX830" s="124"/>
      <c r="AY830" s="124"/>
      <c r="AZ830" s="124"/>
      <c r="BA830" s="124"/>
      <c r="BB830" s="88"/>
      <c r="BC830" s="88"/>
      <c r="BD830" s="88"/>
      <c r="BE830" s="88"/>
      <c r="BF830" s="88"/>
      <c r="BG830" s="88"/>
      <c r="BH830" s="88"/>
      <c r="BI830" s="88"/>
      <c r="BJ830" s="88"/>
      <c r="BK830" s="88"/>
      <c r="BL830" s="88"/>
      <c r="BM830" s="88"/>
      <c r="BN830" s="88"/>
      <c r="BO830" s="88"/>
      <c r="BP830" s="88"/>
      <c r="BQ830" s="88"/>
      <c r="BR830" s="88"/>
      <c r="BS830" s="88"/>
    </row>
    <row r="831">
      <c r="J831" s="73"/>
      <c r="K831" s="74"/>
      <c r="L831" s="74"/>
      <c r="M831" s="74"/>
      <c r="N831" s="74"/>
      <c r="S831" s="75"/>
      <c r="T831" s="145"/>
      <c r="U831" s="145"/>
      <c r="V831" s="145"/>
      <c r="W831" s="145"/>
      <c r="X831" s="145"/>
      <c r="Y831" s="145"/>
      <c r="Z831" s="145"/>
      <c r="AA831" s="145"/>
      <c r="AB831" s="145"/>
      <c r="AC831" s="145"/>
      <c r="AD831" s="145"/>
      <c r="AE831" s="145"/>
      <c r="AF831" s="145"/>
      <c r="AG831" s="145"/>
      <c r="AH831" s="145"/>
      <c r="AI831" s="145"/>
      <c r="AJ831" s="145"/>
      <c r="AK831" s="145"/>
      <c r="AL831" s="145"/>
      <c r="AM831" s="145"/>
      <c r="AN831" s="145"/>
      <c r="AO831" s="145"/>
      <c r="AP831" s="145"/>
      <c r="AQ831" s="145"/>
      <c r="AR831" s="145"/>
      <c r="AS831" s="145"/>
      <c r="AT831" s="124"/>
      <c r="AU831" s="124"/>
      <c r="AV831" s="124"/>
      <c r="AW831" s="124"/>
      <c r="AX831" s="124"/>
      <c r="AY831" s="124"/>
      <c r="AZ831" s="124"/>
      <c r="BA831" s="124"/>
      <c r="BB831" s="88"/>
      <c r="BC831" s="88"/>
      <c r="BD831" s="88"/>
      <c r="BE831" s="88"/>
      <c r="BF831" s="88"/>
      <c r="BG831" s="88"/>
      <c r="BH831" s="88"/>
      <c r="BI831" s="88"/>
      <c r="BJ831" s="88"/>
      <c r="BK831" s="88"/>
      <c r="BL831" s="88"/>
      <c r="BM831" s="88"/>
      <c r="BN831" s="88"/>
      <c r="BO831" s="88"/>
      <c r="BP831" s="88"/>
      <c r="BQ831" s="88"/>
      <c r="BR831" s="88"/>
      <c r="BS831" s="88"/>
    </row>
    <row r="832">
      <c r="J832" s="73"/>
      <c r="K832" s="74"/>
      <c r="L832" s="74"/>
      <c r="M832" s="74"/>
      <c r="N832" s="74"/>
      <c r="S832" s="75"/>
      <c r="T832" s="145"/>
      <c r="U832" s="145"/>
      <c r="V832" s="145"/>
      <c r="W832" s="145"/>
      <c r="X832" s="145"/>
      <c r="Y832" s="145"/>
      <c r="Z832" s="145"/>
      <c r="AA832" s="145"/>
      <c r="AB832" s="145"/>
      <c r="AC832" s="145"/>
      <c r="AD832" s="145"/>
      <c r="AE832" s="145"/>
      <c r="AF832" s="145"/>
      <c r="AG832" s="145"/>
      <c r="AH832" s="145"/>
      <c r="AI832" s="145"/>
      <c r="AJ832" s="145"/>
      <c r="AK832" s="145"/>
      <c r="AL832" s="145"/>
      <c r="AM832" s="145"/>
      <c r="AN832" s="145"/>
      <c r="AO832" s="145"/>
      <c r="AP832" s="145"/>
      <c r="AQ832" s="145"/>
      <c r="AR832" s="145"/>
      <c r="AS832" s="145"/>
      <c r="AT832" s="124"/>
      <c r="AU832" s="124"/>
      <c r="AV832" s="124"/>
      <c r="AW832" s="124"/>
      <c r="AX832" s="124"/>
      <c r="AY832" s="124"/>
      <c r="AZ832" s="124"/>
      <c r="BA832" s="124"/>
      <c r="BB832" s="88"/>
      <c r="BC832" s="88"/>
      <c r="BD832" s="88"/>
      <c r="BE832" s="88"/>
      <c r="BF832" s="88"/>
      <c r="BG832" s="88"/>
      <c r="BH832" s="88"/>
      <c r="BI832" s="88"/>
      <c r="BJ832" s="88"/>
      <c r="BK832" s="88"/>
      <c r="BL832" s="88"/>
      <c r="BM832" s="88"/>
      <c r="BN832" s="88"/>
      <c r="BO832" s="88"/>
      <c r="BP832" s="88"/>
      <c r="BQ832" s="88"/>
      <c r="BR832" s="88"/>
      <c r="BS832" s="88"/>
    </row>
    <row r="833">
      <c r="J833" s="73"/>
      <c r="K833" s="74"/>
      <c r="L833" s="74"/>
      <c r="M833" s="74"/>
      <c r="N833" s="74"/>
      <c r="S833" s="75"/>
      <c r="T833" s="145"/>
      <c r="U833" s="145"/>
      <c r="V833" s="145"/>
      <c r="W833" s="145"/>
      <c r="X833" s="145"/>
      <c r="Y833" s="145"/>
      <c r="Z833" s="145"/>
      <c r="AA833" s="145"/>
      <c r="AB833" s="145"/>
      <c r="AC833" s="145"/>
      <c r="AD833" s="145"/>
      <c r="AE833" s="145"/>
      <c r="AF833" s="145"/>
      <c r="AG833" s="145"/>
      <c r="AH833" s="145"/>
      <c r="AI833" s="145"/>
      <c r="AJ833" s="145"/>
      <c r="AK833" s="145"/>
      <c r="AL833" s="145"/>
      <c r="AM833" s="145"/>
      <c r="AN833" s="145"/>
      <c r="AO833" s="145"/>
      <c r="AP833" s="145"/>
      <c r="AQ833" s="145"/>
      <c r="AR833" s="145"/>
      <c r="AS833" s="145"/>
      <c r="AT833" s="124"/>
      <c r="AU833" s="124"/>
      <c r="AV833" s="124"/>
      <c r="AW833" s="124"/>
      <c r="AX833" s="124"/>
      <c r="AY833" s="124"/>
      <c r="AZ833" s="124"/>
      <c r="BA833" s="124"/>
      <c r="BB833" s="88"/>
      <c r="BC833" s="88"/>
      <c r="BD833" s="88"/>
      <c r="BE833" s="88"/>
      <c r="BF833" s="88"/>
      <c r="BG833" s="88"/>
      <c r="BH833" s="88"/>
      <c r="BI833" s="88"/>
      <c r="BJ833" s="88"/>
      <c r="BK833" s="88"/>
      <c r="BL833" s="88"/>
      <c r="BM833" s="88"/>
      <c r="BN833" s="88"/>
      <c r="BO833" s="88"/>
      <c r="BP833" s="88"/>
      <c r="BQ833" s="88"/>
      <c r="BR833" s="88"/>
      <c r="BS833" s="88"/>
    </row>
    <row r="834">
      <c r="J834" s="73"/>
      <c r="K834" s="74"/>
      <c r="L834" s="74"/>
      <c r="M834" s="74"/>
      <c r="N834" s="74"/>
      <c r="S834" s="75"/>
      <c r="T834" s="145"/>
      <c r="U834" s="145"/>
      <c r="V834" s="145"/>
      <c r="W834" s="145"/>
      <c r="X834" s="145"/>
      <c r="Y834" s="145"/>
      <c r="Z834" s="145"/>
      <c r="AA834" s="145"/>
      <c r="AB834" s="145"/>
      <c r="AC834" s="145"/>
      <c r="AD834" s="145"/>
      <c r="AE834" s="145"/>
      <c r="AF834" s="145"/>
      <c r="AG834" s="145"/>
      <c r="AH834" s="145"/>
      <c r="AI834" s="145"/>
      <c r="AJ834" s="145"/>
      <c r="AK834" s="145"/>
      <c r="AL834" s="145"/>
      <c r="AM834" s="145"/>
      <c r="AN834" s="145"/>
      <c r="AO834" s="145"/>
      <c r="AP834" s="145"/>
      <c r="AQ834" s="145"/>
      <c r="AR834" s="145"/>
      <c r="AS834" s="145"/>
      <c r="AT834" s="124"/>
      <c r="AU834" s="124"/>
      <c r="AV834" s="124"/>
      <c r="AW834" s="124"/>
      <c r="AX834" s="124"/>
      <c r="AY834" s="124"/>
      <c r="AZ834" s="124"/>
      <c r="BA834" s="124"/>
      <c r="BB834" s="88"/>
      <c r="BC834" s="88"/>
      <c r="BD834" s="88"/>
      <c r="BE834" s="88"/>
      <c r="BF834" s="88"/>
      <c r="BG834" s="88"/>
      <c r="BH834" s="88"/>
      <c r="BI834" s="88"/>
      <c r="BJ834" s="88"/>
      <c r="BK834" s="88"/>
      <c r="BL834" s="88"/>
      <c r="BM834" s="88"/>
      <c r="BN834" s="88"/>
      <c r="BO834" s="88"/>
      <c r="BP834" s="88"/>
      <c r="BQ834" s="88"/>
      <c r="BR834" s="88"/>
      <c r="BS834" s="88"/>
    </row>
    <row r="835">
      <c r="J835" s="73"/>
      <c r="K835" s="74"/>
      <c r="L835" s="74"/>
      <c r="M835" s="74"/>
      <c r="N835" s="74"/>
      <c r="S835" s="75"/>
      <c r="T835" s="145"/>
      <c r="U835" s="145"/>
      <c r="V835" s="145"/>
      <c r="W835" s="145"/>
      <c r="X835" s="145"/>
      <c r="Y835" s="145"/>
      <c r="Z835" s="145"/>
      <c r="AA835" s="145"/>
      <c r="AB835" s="145"/>
      <c r="AC835" s="145"/>
      <c r="AD835" s="145"/>
      <c r="AE835" s="145"/>
      <c r="AF835" s="145"/>
      <c r="AG835" s="145"/>
      <c r="AH835" s="145"/>
      <c r="AI835" s="145"/>
      <c r="AJ835" s="145"/>
      <c r="AK835" s="145"/>
      <c r="AL835" s="145"/>
      <c r="AM835" s="145"/>
      <c r="AN835" s="145"/>
      <c r="AO835" s="145"/>
      <c r="AP835" s="145"/>
      <c r="AQ835" s="145"/>
      <c r="AR835" s="145"/>
      <c r="AS835" s="145"/>
      <c r="AT835" s="124"/>
      <c r="AU835" s="124"/>
      <c r="AV835" s="124"/>
      <c r="AW835" s="124"/>
      <c r="AX835" s="124"/>
      <c r="AY835" s="124"/>
      <c r="AZ835" s="124"/>
      <c r="BA835" s="124"/>
      <c r="BB835" s="88"/>
      <c r="BC835" s="88"/>
      <c r="BD835" s="88"/>
      <c r="BE835" s="88"/>
      <c r="BF835" s="88"/>
      <c r="BG835" s="88"/>
      <c r="BH835" s="88"/>
      <c r="BI835" s="88"/>
      <c r="BJ835" s="88"/>
      <c r="BK835" s="88"/>
      <c r="BL835" s="88"/>
      <c r="BM835" s="88"/>
      <c r="BN835" s="88"/>
      <c r="BO835" s="88"/>
      <c r="BP835" s="88"/>
      <c r="BQ835" s="88"/>
      <c r="BR835" s="88"/>
      <c r="BS835" s="88"/>
    </row>
    <row r="836">
      <c r="J836" s="73"/>
      <c r="K836" s="74"/>
      <c r="L836" s="74"/>
      <c r="M836" s="74"/>
      <c r="N836" s="74"/>
      <c r="S836" s="75"/>
      <c r="T836" s="145"/>
      <c r="U836" s="145"/>
      <c r="V836" s="145"/>
      <c r="W836" s="145"/>
      <c r="X836" s="145"/>
      <c r="Y836" s="145"/>
      <c r="Z836" s="145"/>
      <c r="AA836" s="145"/>
      <c r="AB836" s="145"/>
      <c r="AC836" s="145"/>
      <c r="AD836" s="145"/>
      <c r="AE836" s="145"/>
      <c r="AF836" s="145"/>
      <c r="AG836" s="145"/>
      <c r="AH836" s="145"/>
      <c r="AI836" s="145"/>
      <c r="AJ836" s="145"/>
      <c r="AK836" s="145"/>
      <c r="AL836" s="145"/>
      <c r="AM836" s="145"/>
      <c r="AN836" s="145"/>
      <c r="AO836" s="145"/>
      <c r="AP836" s="145"/>
      <c r="AQ836" s="145"/>
      <c r="AR836" s="145"/>
      <c r="AS836" s="145"/>
      <c r="AT836" s="124"/>
      <c r="AU836" s="124"/>
      <c r="AV836" s="124"/>
      <c r="AW836" s="124"/>
      <c r="AX836" s="124"/>
      <c r="AY836" s="124"/>
      <c r="AZ836" s="124"/>
      <c r="BA836" s="124"/>
      <c r="BB836" s="88"/>
      <c r="BC836" s="88"/>
      <c r="BD836" s="88"/>
      <c r="BE836" s="88"/>
      <c r="BF836" s="88"/>
      <c r="BG836" s="88"/>
      <c r="BH836" s="88"/>
      <c r="BI836" s="88"/>
      <c r="BJ836" s="88"/>
      <c r="BK836" s="88"/>
      <c r="BL836" s="88"/>
      <c r="BM836" s="88"/>
      <c r="BN836" s="88"/>
      <c r="BO836" s="88"/>
      <c r="BP836" s="88"/>
      <c r="BQ836" s="88"/>
      <c r="BR836" s="88"/>
      <c r="BS836" s="88"/>
    </row>
    <row r="837">
      <c r="J837" s="73"/>
      <c r="K837" s="74"/>
      <c r="L837" s="74"/>
      <c r="M837" s="74"/>
      <c r="N837" s="74"/>
      <c r="S837" s="75"/>
      <c r="T837" s="145"/>
      <c r="U837" s="145"/>
      <c r="V837" s="145"/>
      <c r="W837" s="145"/>
      <c r="X837" s="145"/>
      <c r="Y837" s="145"/>
      <c r="Z837" s="145"/>
      <c r="AA837" s="145"/>
      <c r="AB837" s="145"/>
      <c r="AC837" s="145"/>
      <c r="AD837" s="145"/>
      <c r="AE837" s="145"/>
      <c r="AF837" s="145"/>
      <c r="AG837" s="145"/>
      <c r="AH837" s="145"/>
      <c r="AI837" s="145"/>
      <c r="AJ837" s="145"/>
      <c r="AK837" s="145"/>
      <c r="AL837" s="145"/>
      <c r="AM837" s="145"/>
      <c r="AN837" s="145"/>
      <c r="AO837" s="145"/>
      <c r="AP837" s="145"/>
      <c r="AQ837" s="145"/>
      <c r="AR837" s="145"/>
      <c r="AS837" s="145"/>
      <c r="AT837" s="124"/>
      <c r="AU837" s="124"/>
      <c r="AV837" s="124"/>
      <c r="AW837" s="124"/>
      <c r="AX837" s="124"/>
      <c r="AY837" s="124"/>
      <c r="AZ837" s="124"/>
      <c r="BA837" s="124"/>
      <c r="BB837" s="88"/>
      <c r="BC837" s="88"/>
      <c r="BD837" s="88"/>
      <c r="BE837" s="88"/>
      <c r="BF837" s="88"/>
      <c r="BG837" s="88"/>
      <c r="BH837" s="88"/>
      <c r="BI837" s="88"/>
      <c r="BJ837" s="88"/>
      <c r="BK837" s="88"/>
      <c r="BL837" s="88"/>
      <c r="BM837" s="88"/>
      <c r="BN837" s="88"/>
      <c r="BO837" s="88"/>
      <c r="BP837" s="88"/>
      <c r="BQ837" s="88"/>
      <c r="BR837" s="88"/>
      <c r="BS837" s="88"/>
    </row>
    <row r="838">
      <c r="J838" s="73"/>
      <c r="K838" s="74"/>
      <c r="L838" s="74"/>
      <c r="M838" s="74"/>
      <c r="N838" s="74"/>
      <c r="S838" s="75"/>
      <c r="T838" s="145"/>
      <c r="U838" s="145"/>
      <c r="V838" s="145"/>
      <c r="W838" s="145"/>
      <c r="X838" s="145"/>
      <c r="Y838" s="145"/>
      <c r="Z838" s="145"/>
      <c r="AA838" s="145"/>
      <c r="AB838" s="145"/>
      <c r="AC838" s="145"/>
      <c r="AD838" s="145"/>
      <c r="AE838" s="145"/>
      <c r="AF838" s="145"/>
      <c r="AG838" s="145"/>
      <c r="AH838" s="145"/>
      <c r="AI838" s="145"/>
      <c r="AJ838" s="145"/>
      <c r="AK838" s="145"/>
      <c r="AL838" s="145"/>
      <c r="AM838" s="145"/>
      <c r="AN838" s="145"/>
      <c r="AO838" s="145"/>
      <c r="AP838" s="145"/>
      <c r="AQ838" s="145"/>
      <c r="AR838" s="145"/>
      <c r="AS838" s="145"/>
      <c r="AT838" s="124"/>
      <c r="AU838" s="124"/>
      <c r="AV838" s="124"/>
      <c r="AW838" s="124"/>
      <c r="AX838" s="124"/>
      <c r="AY838" s="124"/>
      <c r="AZ838" s="124"/>
      <c r="BA838" s="124"/>
      <c r="BB838" s="88"/>
      <c r="BC838" s="88"/>
      <c r="BD838" s="88"/>
      <c r="BE838" s="88"/>
      <c r="BF838" s="88"/>
      <c r="BG838" s="88"/>
      <c r="BH838" s="88"/>
      <c r="BI838" s="88"/>
      <c r="BJ838" s="88"/>
      <c r="BK838" s="88"/>
      <c r="BL838" s="88"/>
      <c r="BM838" s="88"/>
      <c r="BN838" s="88"/>
      <c r="BO838" s="88"/>
      <c r="BP838" s="88"/>
      <c r="BQ838" s="88"/>
      <c r="BR838" s="88"/>
      <c r="BS838" s="88"/>
    </row>
    <row r="839">
      <c r="J839" s="73"/>
      <c r="K839" s="74"/>
      <c r="L839" s="74"/>
      <c r="M839" s="74"/>
      <c r="N839" s="74"/>
      <c r="S839" s="75"/>
      <c r="T839" s="145"/>
      <c r="U839" s="145"/>
      <c r="V839" s="145"/>
      <c r="W839" s="145"/>
      <c r="X839" s="145"/>
      <c r="Y839" s="145"/>
      <c r="Z839" s="145"/>
      <c r="AA839" s="145"/>
      <c r="AB839" s="145"/>
      <c r="AC839" s="145"/>
      <c r="AD839" s="145"/>
      <c r="AE839" s="145"/>
      <c r="AF839" s="145"/>
      <c r="AG839" s="145"/>
      <c r="AH839" s="145"/>
      <c r="AI839" s="145"/>
      <c r="AJ839" s="145"/>
      <c r="AK839" s="145"/>
      <c r="AL839" s="145"/>
      <c r="AM839" s="145"/>
      <c r="AN839" s="145"/>
      <c r="AO839" s="145"/>
      <c r="AP839" s="145"/>
      <c r="AQ839" s="145"/>
      <c r="AR839" s="145"/>
      <c r="AS839" s="145"/>
      <c r="AT839" s="124"/>
      <c r="AU839" s="124"/>
      <c r="AV839" s="124"/>
      <c r="AW839" s="124"/>
      <c r="AX839" s="124"/>
      <c r="AY839" s="124"/>
      <c r="AZ839" s="124"/>
      <c r="BA839" s="124"/>
      <c r="BB839" s="88"/>
      <c r="BC839" s="88"/>
      <c r="BD839" s="88"/>
      <c r="BE839" s="88"/>
      <c r="BF839" s="88"/>
      <c r="BG839" s="88"/>
      <c r="BH839" s="88"/>
      <c r="BI839" s="88"/>
      <c r="BJ839" s="88"/>
      <c r="BK839" s="88"/>
      <c r="BL839" s="88"/>
      <c r="BM839" s="88"/>
      <c r="BN839" s="88"/>
      <c r="BO839" s="88"/>
      <c r="BP839" s="88"/>
      <c r="BQ839" s="88"/>
      <c r="BR839" s="88"/>
      <c r="BS839" s="88"/>
    </row>
    <row r="840">
      <c r="J840" s="73"/>
      <c r="K840" s="74"/>
      <c r="L840" s="74"/>
      <c r="M840" s="74"/>
      <c r="N840" s="74"/>
      <c r="S840" s="75"/>
      <c r="T840" s="145"/>
      <c r="U840" s="145"/>
      <c r="V840" s="145"/>
      <c r="W840" s="145"/>
      <c r="X840" s="145"/>
      <c r="Y840" s="145"/>
      <c r="Z840" s="145"/>
      <c r="AA840" s="145"/>
      <c r="AB840" s="145"/>
      <c r="AC840" s="145"/>
      <c r="AD840" s="145"/>
      <c r="AE840" s="145"/>
      <c r="AF840" s="145"/>
      <c r="AG840" s="145"/>
      <c r="AH840" s="145"/>
      <c r="AI840" s="145"/>
      <c r="AJ840" s="145"/>
      <c r="AK840" s="145"/>
      <c r="AL840" s="145"/>
      <c r="AM840" s="145"/>
      <c r="AN840" s="145"/>
      <c r="AO840" s="145"/>
      <c r="AP840" s="145"/>
      <c r="AQ840" s="145"/>
      <c r="AR840" s="145"/>
      <c r="AS840" s="145"/>
      <c r="AT840" s="124"/>
      <c r="AU840" s="124"/>
      <c r="AV840" s="124"/>
      <c r="AW840" s="124"/>
      <c r="AX840" s="124"/>
      <c r="AY840" s="124"/>
      <c r="AZ840" s="124"/>
      <c r="BA840" s="124"/>
      <c r="BB840" s="88"/>
      <c r="BC840" s="88"/>
      <c r="BD840" s="88"/>
      <c r="BE840" s="88"/>
      <c r="BF840" s="88"/>
      <c r="BG840" s="88"/>
      <c r="BH840" s="88"/>
      <c r="BI840" s="88"/>
      <c r="BJ840" s="88"/>
      <c r="BK840" s="88"/>
      <c r="BL840" s="88"/>
      <c r="BM840" s="88"/>
      <c r="BN840" s="88"/>
      <c r="BO840" s="88"/>
      <c r="BP840" s="88"/>
      <c r="BQ840" s="88"/>
      <c r="BR840" s="88"/>
      <c r="BS840" s="88"/>
    </row>
    <row r="841">
      <c r="J841" s="73"/>
      <c r="K841" s="74"/>
      <c r="L841" s="74"/>
      <c r="M841" s="74"/>
      <c r="N841" s="74"/>
      <c r="S841" s="75"/>
      <c r="T841" s="145"/>
      <c r="U841" s="145"/>
      <c r="V841" s="145"/>
      <c r="W841" s="145"/>
      <c r="X841" s="145"/>
      <c r="Y841" s="145"/>
      <c r="Z841" s="145"/>
      <c r="AA841" s="145"/>
      <c r="AB841" s="145"/>
      <c r="AC841" s="145"/>
      <c r="AD841" s="145"/>
      <c r="AE841" s="145"/>
      <c r="AF841" s="145"/>
      <c r="AG841" s="145"/>
      <c r="AH841" s="145"/>
      <c r="AI841" s="145"/>
      <c r="AJ841" s="145"/>
      <c r="AK841" s="145"/>
      <c r="AL841" s="145"/>
      <c r="AM841" s="145"/>
      <c r="AN841" s="145"/>
      <c r="AO841" s="145"/>
      <c r="AP841" s="145"/>
      <c r="AQ841" s="145"/>
      <c r="AR841" s="145"/>
      <c r="AS841" s="145"/>
      <c r="AT841" s="124"/>
      <c r="AU841" s="124"/>
      <c r="AV841" s="124"/>
      <c r="AW841" s="124"/>
      <c r="AX841" s="124"/>
      <c r="AY841" s="124"/>
      <c r="AZ841" s="124"/>
      <c r="BA841" s="124"/>
      <c r="BB841" s="88"/>
      <c r="BC841" s="88"/>
      <c r="BD841" s="88"/>
      <c r="BE841" s="88"/>
      <c r="BF841" s="88"/>
      <c r="BG841" s="88"/>
      <c r="BH841" s="88"/>
      <c r="BI841" s="88"/>
      <c r="BJ841" s="88"/>
      <c r="BK841" s="88"/>
      <c r="BL841" s="88"/>
      <c r="BM841" s="88"/>
      <c r="BN841" s="88"/>
      <c r="BO841" s="88"/>
      <c r="BP841" s="88"/>
      <c r="BQ841" s="88"/>
      <c r="BR841" s="88"/>
      <c r="BS841" s="88"/>
    </row>
    <row r="842">
      <c r="J842" s="73"/>
      <c r="K842" s="74"/>
      <c r="L842" s="74"/>
      <c r="M842" s="74"/>
      <c r="N842" s="74"/>
      <c r="S842" s="75"/>
      <c r="T842" s="145"/>
      <c r="U842" s="145"/>
      <c r="V842" s="145"/>
      <c r="W842" s="145"/>
      <c r="X842" s="145"/>
      <c r="Y842" s="145"/>
      <c r="Z842" s="145"/>
      <c r="AA842" s="145"/>
      <c r="AB842" s="145"/>
      <c r="AC842" s="145"/>
      <c r="AD842" s="145"/>
      <c r="AE842" s="145"/>
      <c r="AF842" s="145"/>
      <c r="AG842" s="145"/>
      <c r="AH842" s="145"/>
      <c r="AI842" s="145"/>
      <c r="AJ842" s="145"/>
      <c r="AK842" s="145"/>
      <c r="AL842" s="145"/>
      <c r="AM842" s="145"/>
      <c r="AN842" s="145"/>
      <c r="AO842" s="145"/>
      <c r="AP842" s="145"/>
      <c r="AQ842" s="145"/>
      <c r="AR842" s="145"/>
      <c r="AS842" s="145"/>
      <c r="AT842" s="124"/>
      <c r="AU842" s="124"/>
      <c r="AV842" s="124"/>
      <c r="AW842" s="124"/>
      <c r="AX842" s="124"/>
      <c r="AY842" s="124"/>
      <c r="AZ842" s="124"/>
      <c r="BA842" s="124"/>
      <c r="BB842" s="88"/>
      <c r="BC842" s="88"/>
      <c r="BD842" s="88"/>
      <c r="BE842" s="88"/>
      <c r="BF842" s="88"/>
      <c r="BG842" s="88"/>
      <c r="BH842" s="88"/>
      <c r="BI842" s="88"/>
      <c r="BJ842" s="88"/>
      <c r="BK842" s="88"/>
      <c r="BL842" s="88"/>
      <c r="BM842" s="88"/>
      <c r="BN842" s="88"/>
      <c r="BO842" s="88"/>
      <c r="BP842" s="88"/>
      <c r="BQ842" s="88"/>
      <c r="BR842" s="88"/>
      <c r="BS842" s="88"/>
    </row>
    <row r="843">
      <c r="J843" s="73"/>
      <c r="K843" s="74"/>
      <c r="L843" s="74"/>
      <c r="M843" s="74"/>
      <c r="N843" s="74"/>
      <c r="S843" s="75"/>
      <c r="T843" s="145"/>
      <c r="U843" s="145"/>
      <c r="V843" s="145"/>
      <c r="W843" s="145"/>
      <c r="X843" s="145"/>
      <c r="Y843" s="145"/>
      <c r="Z843" s="145"/>
      <c r="AA843" s="145"/>
      <c r="AB843" s="145"/>
      <c r="AC843" s="145"/>
      <c r="AD843" s="145"/>
      <c r="AE843" s="145"/>
      <c r="AF843" s="145"/>
      <c r="AG843" s="145"/>
      <c r="AH843" s="145"/>
      <c r="AI843" s="145"/>
      <c r="AJ843" s="145"/>
      <c r="AK843" s="145"/>
      <c r="AL843" s="145"/>
      <c r="AM843" s="145"/>
      <c r="AN843" s="145"/>
      <c r="AO843" s="145"/>
      <c r="AP843" s="145"/>
      <c r="AQ843" s="145"/>
      <c r="AR843" s="145"/>
      <c r="AS843" s="145"/>
      <c r="AT843" s="124"/>
      <c r="AU843" s="124"/>
      <c r="AV843" s="124"/>
      <c r="AW843" s="124"/>
      <c r="AX843" s="124"/>
      <c r="AY843" s="124"/>
      <c r="AZ843" s="124"/>
      <c r="BA843" s="124"/>
      <c r="BB843" s="88"/>
      <c r="BC843" s="88"/>
      <c r="BD843" s="88"/>
      <c r="BE843" s="88"/>
      <c r="BF843" s="88"/>
      <c r="BG843" s="88"/>
      <c r="BH843" s="88"/>
      <c r="BI843" s="88"/>
      <c r="BJ843" s="88"/>
      <c r="BK843" s="88"/>
      <c r="BL843" s="88"/>
      <c r="BM843" s="88"/>
      <c r="BN843" s="88"/>
      <c r="BO843" s="88"/>
      <c r="BP843" s="88"/>
      <c r="BQ843" s="88"/>
      <c r="BR843" s="88"/>
      <c r="BS843" s="88"/>
    </row>
    <row r="844">
      <c r="J844" s="73"/>
      <c r="K844" s="74"/>
      <c r="L844" s="74"/>
      <c r="M844" s="74"/>
      <c r="N844" s="74"/>
      <c r="S844" s="75"/>
      <c r="T844" s="145"/>
      <c r="U844" s="145"/>
      <c r="V844" s="145"/>
      <c r="W844" s="145"/>
      <c r="X844" s="145"/>
      <c r="Y844" s="145"/>
      <c r="Z844" s="145"/>
      <c r="AA844" s="145"/>
      <c r="AB844" s="145"/>
      <c r="AC844" s="145"/>
      <c r="AD844" s="145"/>
      <c r="AE844" s="145"/>
      <c r="AF844" s="145"/>
      <c r="AG844" s="145"/>
      <c r="AH844" s="145"/>
      <c r="AI844" s="145"/>
      <c r="AJ844" s="145"/>
      <c r="AK844" s="145"/>
      <c r="AL844" s="145"/>
      <c r="AM844" s="145"/>
      <c r="AN844" s="145"/>
      <c r="AO844" s="145"/>
      <c r="AP844" s="145"/>
      <c r="AQ844" s="145"/>
      <c r="AR844" s="145"/>
      <c r="AS844" s="145"/>
      <c r="AT844" s="124"/>
      <c r="AU844" s="124"/>
      <c r="AV844" s="124"/>
      <c r="AW844" s="124"/>
      <c r="AX844" s="124"/>
      <c r="AY844" s="124"/>
      <c r="AZ844" s="124"/>
      <c r="BA844" s="124"/>
      <c r="BB844" s="88"/>
      <c r="BC844" s="88"/>
      <c r="BD844" s="88"/>
      <c r="BE844" s="88"/>
      <c r="BF844" s="88"/>
      <c r="BG844" s="88"/>
      <c r="BH844" s="88"/>
      <c r="BI844" s="88"/>
      <c r="BJ844" s="88"/>
      <c r="BK844" s="88"/>
      <c r="BL844" s="88"/>
      <c r="BM844" s="88"/>
      <c r="BN844" s="88"/>
      <c r="BO844" s="88"/>
      <c r="BP844" s="88"/>
      <c r="BQ844" s="88"/>
      <c r="BR844" s="88"/>
      <c r="BS844" s="88"/>
    </row>
    <row r="845">
      <c r="J845" s="73"/>
      <c r="K845" s="74"/>
      <c r="L845" s="74"/>
      <c r="M845" s="74"/>
      <c r="N845" s="74"/>
      <c r="S845" s="75"/>
      <c r="T845" s="145"/>
      <c r="U845" s="145"/>
      <c r="V845" s="145"/>
      <c r="W845" s="145"/>
      <c r="X845" s="145"/>
      <c r="Y845" s="145"/>
      <c r="Z845" s="145"/>
      <c r="AA845" s="145"/>
      <c r="AB845" s="145"/>
      <c r="AC845" s="145"/>
      <c r="AD845" s="145"/>
      <c r="AE845" s="145"/>
      <c r="AF845" s="145"/>
      <c r="AG845" s="145"/>
      <c r="AH845" s="145"/>
      <c r="AI845" s="145"/>
      <c r="AJ845" s="145"/>
      <c r="AK845" s="145"/>
      <c r="AL845" s="145"/>
      <c r="AM845" s="145"/>
      <c r="AN845" s="145"/>
      <c r="AO845" s="145"/>
      <c r="AP845" s="145"/>
      <c r="AQ845" s="145"/>
      <c r="AR845" s="145"/>
      <c r="AS845" s="145"/>
      <c r="AT845" s="124"/>
      <c r="AU845" s="124"/>
      <c r="AV845" s="124"/>
      <c r="AW845" s="124"/>
      <c r="AX845" s="124"/>
      <c r="AY845" s="124"/>
      <c r="AZ845" s="124"/>
      <c r="BA845" s="124"/>
      <c r="BB845" s="88"/>
      <c r="BC845" s="88"/>
      <c r="BD845" s="88"/>
      <c r="BE845" s="88"/>
      <c r="BF845" s="88"/>
      <c r="BG845" s="88"/>
      <c r="BH845" s="88"/>
      <c r="BI845" s="88"/>
      <c r="BJ845" s="88"/>
      <c r="BK845" s="88"/>
      <c r="BL845" s="88"/>
      <c r="BM845" s="88"/>
      <c r="BN845" s="88"/>
      <c r="BO845" s="88"/>
      <c r="BP845" s="88"/>
      <c r="BQ845" s="88"/>
      <c r="BR845" s="88"/>
      <c r="BS845" s="88"/>
    </row>
    <row r="846">
      <c r="J846" s="73"/>
      <c r="K846" s="74"/>
      <c r="L846" s="74"/>
      <c r="M846" s="74"/>
      <c r="N846" s="74"/>
      <c r="S846" s="75"/>
      <c r="T846" s="145"/>
      <c r="U846" s="145"/>
      <c r="V846" s="145"/>
      <c r="W846" s="145"/>
      <c r="X846" s="145"/>
      <c r="Y846" s="145"/>
      <c r="Z846" s="145"/>
      <c r="AA846" s="145"/>
      <c r="AB846" s="145"/>
      <c r="AC846" s="145"/>
      <c r="AD846" s="145"/>
      <c r="AE846" s="145"/>
      <c r="AF846" s="145"/>
      <c r="AG846" s="145"/>
      <c r="AH846" s="145"/>
      <c r="AI846" s="145"/>
      <c r="AJ846" s="145"/>
      <c r="AK846" s="145"/>
      <c r="AL846" s="145"/>
      <c r="AM846" s="145"/>
      <c r="AN846" s="145"/>
      <c r="AO846" s="145"/>
      <c r="AP846" s="145"/>
      <c r="AQ846" s="145"/>
      <c r="AR846" s="145"/>
      <c r="AS846" s="145"/>
      <c r="AT846" s="124"/>
      <c r="AU846" s="124"/>
      <c r="AV846" s="124"/>
      <c r="AW846" s="124"/>
      <c r="AX846" s="124"/>
      <c r="AY846" s="124"/>
      <c r="AZ846" s="124"/>
      <c r="BA846" s="124"/>
      <c r="BB846" s="88"/>
      <c r="BC846" s="88"/>
      <c r="BD846" s="88"/>
      <c r="BE846" s="88"/>
      <c r="BF846" s="88"/>
      <c r="BG846" s="88"/>
      <c r="BH846" s="88"/>
      <c r="BI846" s="88"/>
      <c r="BJ846" s="88"/>
      <c r="BK846" s="88"/>
      <c r="BL846" s="88"/>
      <c r="BM846" s="88"/>
      <c r="BN846" s="88"/>
      <c r="BO846" s="88"/>
      <c r="BP846" s="88"/>
      <c r="BQ846" s="88"/>
      <c r="BR846" s="88"/>
      <c r="BS846" s="88"/>
    </row>
    <row r="847">
      <c r="J847" s="73"/>
      <c r="K847" s="74"/>
      <c r="L847" s="74"/>
      <c r="M847" s="74"/>
      <c r="N847" s="74"/>
      <c r="S847" s="75"/>
      <c r="T847" s="145"/>
      <c r="U847" s="145"/>
      <c r="V847" s="145"/>
      <c r="W847" s="145"/>
      <c r="X847" s="145"/>
      <c r="Y847" s="145"/>
      <c r="Z847" s="145"/>
      <c r="AA847" s="145"/>
      <c r="AB847" s="145"/>
      <c r="AC847" s="145"/>
      <c r="AD847" s="145"/>
      <c r="AE847" s="145"/>
      <c r="AF847" s="145"/>
      <c r="AG847" s="145"/>
      <c r="AH847" s="145"/>
      <c r="AI847" s="145"/>
      <c r="AJ847" s="145"/>
      <c r="AK847" s="145"/>
      <c r="AL847" s="145"/>
      <c r="AM847" s="145"/>
      <c r="AN847" s="145"/>
      <c r="AO847" s="145"/>
      <c r="AP847" s="145"/>
      <c r="AQ847" s="145"/>
      <c r="AR847" s="145"/>
      <c r="AS847" s="145"/>
      <c r="AT847" s="124"/>
      <c r="AU847" s="124"/>
      <c r="AV847" s="124"/>
      <c r="AW847" s="124"/>
      <c r="AX847" s="124"/>
      <c r="AY847" s="124"/>
      <c r="AZ847" s="124"/>
      <c r="BA847" s="124"/>
      <c r="BB847" s="88"/>
      <c r="BC847" s="88"/>
      <c r="BD847" s="88"/>
      <c r="BE847" s="88"/>
      <c r="BF847" s="88"/>
      <c r="BG847" s="88"/>
      <c r="BH847" s="88"/>
      <c r="BI847" s="88"/>
      <c r="BJ847" s="88"/>
      <c r="BK847" s="88"/>
      <c r="BL847" s="88"/>
      <c r="BM847" s="88"/>
      <c r="BN847" s="88"/>
      <c r="BO847" s="88"/>
      <c r="BP847" s="88"/>
      <c r="BQ847" s="88"/>
      <c r="BR847" s="88"/>
      <c r="BS847" s="88"/>
    </row>
    <row r="848">
      <c r="J848" s="73"/>
      <c r="K848" s="74"/>
      <c r="L848" s="74"/>
      <c r="M848" s="74"/>
      <c r="N848" s="74"/>
      <c r="S848" s="75"/>
      <c r="T848" s="145"/>
      <c r="U848" s="145"/>
      <c r="V848" s="145"/>
      <c r="W848" s="145"/>
      <c r="X848" s="145"/>
      <c r="Y848" s="145"/>
      <c r="Z848" s="145"/>
      <c r="AA848" s="145"/>
      <c r="AB848" s="145"/>
      <c r="AC848" s="145"/>
      <c r="AD848" s="145"/>
      <c r="AE848" s="145"/>
      <c r="AF848" s="145"/>
      <c r="AG848" s="145"/>
      <c r="AH848" s="145"/>
      <c r="AI848" s="145"/>
      <c r="AJ848" s="145"/>
      <c r="AK848" s="145"/>
      <c r="AL848" s="145"/>
      <c r="AM848" s="145"/>
      <c r="AN848" s="145"/>
      <c r="AO848" s="145"/>
      <c r="AP848" s="145"/>
      <c r="AQ848" s="145"/>
      <c r="AR848" s="145"/>
      <c r="AS848" s="145"/>
      <c r="AT848" s="124"/>
      <c r="AU848" s="124"/>
      <c r="AV848" s="124"/>
      <c r="AW848" s="124"/>
      <c r="AX848" s="124"/>
      <c r="AY848" s="124"/>
      <c r="AZ848" s="124"/>
      <c r="BA848" s="124"/>
      <c r="BB848" s="88"/>
      <c r="BC848" s="88"/>
      <c r="BD848" s="88"/>
      <c r="BE848" s="88"/>
      <c r="BF848" s="88"/>
      <c r="BG848" s="88"/>
      <c r="BH848" s="88"/>
      <c r="BI848" s="88"/>
      <c r="BJ848" s="88"/>
      <c r="BK848" s="88"/>
      <c r="BL848" s="88"/>
      <c r="BM848" s="88"/>
      <c r="BN848" s="88"/>
      <c r="BO848" s="88"/>
      <c r="BP848" s="88"/>
      <c r="BQ848" s="88"/>
      <c r="BR848" s="88"/>
      <c r="BS848" s="88"/>
    </row>
    <row r="849">
      <c r="J849" s="73"/>
      <c r="K849" s="74"/>
      <c r="L849" s="74"/>
      <c r="M849" s="74"/>
      <c r="N849" s="74"/>
      <c r="S849" s="75"/>
      <c r="T849" s="145"/>
      <c r="U849" s="145"/>
      <c r="V849" s="145"/>
      <c r="W849" s="145"/>
      <c r="X849" s="145"/>
      <c r="Y849" s="145"/>
      <c r="Z849" s="145"/>
      <c r="AA849" s="145"/>
      <c r="AB849" s="145"/>
      <c r="AC849" s="145"/>
      <c r="AD849" s="145"/>
      <c r="AE849" s="145"/>
      <c r="AF849" s="145"/>
      <c r="AG849" s="145"/>
      <c r="AH849" s="145"/>
      <c r="AI849" s="145"/>
      <c r="AJ849" s="145"/>
      <c r="AK849" s="145"/>
      <c r="AL849" s="145"/>
      <c r="AM849" s="145"/>
      <c r="AN849" s="145"/>
      <c r="AO849" s="145"/>
      <c r="AP849" s="145"/>
      <c r="AQ849" s="145"/>
      <c r="AR849" s="145"/>
      <c r="AS849" s="145"/>
      <c r="AT849" s="124"/>
      <c r="AU849" s="124"/>
      <c r="AV849" s="124"/>
      <c r="AW849" s="124"/>
      <c r="AX849" s="124"/>
      <c r="AY849" s="124"/>
      <c r="AZ849" s="124"/>
      <c r="BA849" s="124"/>
      <c r="BB849" s="88"/>
      <c r="BC849" s="88"/>
      <c r="BD849" s="88"/>
      <c r="BE849" s="88"/>
      <c r="BF849" s="88"/>
      <c r="BG849" s="88"/>
      <c r="BH849" s="88"/>
      <c r="BI849" s="88"/>
      <c r="BJ849" s="88"/>
      <c r="BK849" s="88"/>
      <c r="BL849" s="88"/>
      <c r="BM849" s="88"/>
      <c r="BN849" s="88"/>
      <c r="BO849" s="88"/>
      <c r="BP849" s="88"/>
      <c r="BQ849" s="88"/>
      <c r="BR849" s="88"/>
      <c r="BS849" s="88"/>
    </row>
    <row r="850">
      <c r="J850" s="73"/>
      <c r="K850" s="74"/>
      <c r="L850" s="74"/>
      <c r="M850" s="74"/>
      <c r="N850" s="74"/>
      <c r="S850" s="75"/>
      <c r="T850" s="145"/>
      <c r="U850" s="145"/>
      <c r="V850" s="145"/>
      <c r="W850" s="145"/>
      <c r="X850" s="145"/>
      <c r="Y850" s="145"/>
      <c r="Z850" s="145"/>
      <c r="AA850" s="145"/>
      <c r="AB850" s="145"/>
      <c r="AC850" s="145"/>
      <c r="AD850" s="145"/>
      <c r="AE850" s="145"/>
      <c r="AF850" s="145"/>
      <c r="AG850" s="145"/>
      <c r="AH850" s="145"/>
      <c r="AI850" s="145"/>
      <c r="AJ850" s="145"/>
      <c r="AK850" s="145"/>
      <c r="AL850" s="145"/>
      <c r="AM850" s="145"/>
      <c r="AN850" s="145"/>
      <c r="AO850" s="145"/>
      <c r="AP850" s="145"/>
      <c r="AQ850" s="145"/>
      <c r="AR850" s="145"/>
      <c r="AS850" s="145"/>
      <c r="AT850" s="124"/>
      <c r="AU850" s="124"/>
      <c r="AV850" s="124"/>
      <c r="AW850" s="124"/>
      <c r="AX850" s="124"/>
      <c r="AY850" s="124"/>
      <c r="AZ850" s="124"/>
      <c r="BA850" s="124"/>
      <c r="BB850" s="88"/>
      <c r="BC850" s="88"/>
      <c r="BD850" s="88"/>
      <c r="BE850" s="88"/>
      <c r="BF850" s="88"/>
      <c r="BG850" s="88"/>
      <c r="BH850" s="88"/>
      <c r="BI850" s="88"/>
      <c r="BJ850" s="88"/>
      <c r="BK850" s="88"/>
      <c r="BL850" s="88"/>
      <c r="BM850" s="88"/>
      <c r="BN850" s="88"/>
      <c r="BO850" s="88"/>
      <c r="BP850" s="88"/>
      <c r="BQ850" s="88"/>
      <c r="BR850" s="88"/>
      <c r="BS850" s="88"/>
    </row>
    <row r="851">
      <c r="J851" s="73"/>
      <c r="K851" s="74"/>
      <c r="L851" s="74"/>
      <c r="M851" s="74"/>
      <c r="N851" s="74"/>
      <c r="S851" s="75"/>
      <c r="T851" s="145"/>
      <c r="U851" s="145"/>
      <c r="V851" s="145"/>
      <c r="W851" s="145"/>
      <c r="X851" s="145"/>
      <c r="Y851" s="145"/>
      <c r="Z851" s="145"/>
      <c r="AA851" s="145"/>
      <c r="AB851" s="145"/>
      <c r="AC851" s="145"/>
      <c r="AD851" s="145"/>
      <c r="AE851" s="145"/>
      <c r="AF851" s="145"/>
      <c r="AG851" s="145"/>
      <c r="AH851" s="145"/>
      <c r="AI851" s="145"/>
      <c r="AJ851" s="145"/>
      <c r="AK851" s="145"/>
      <c r="AL851" s="145"/>
      <c r="AM851" s="145"/>
      <c r="AN851" s="145"/>
      <c r="AO851" s="145"/>
      <c r="AP851" s="145"/>
      <c r="AQ851" s="145"/>
      <c r="AR851" s="145"/>
      <c r="AS851" s="145"/>
      <c r="AT851" s="124"/>
      <c r="AU851" s="124"/>
      <c r="AV851" s="124"/>
      <c r="AW851" s="124"/>
      <c r="AX851" s="124"/>
      <c r="AY851" s="124"/>
      <c r="AZ851" s="124"/>
      <c r="BA851" s="124"/>
      <c r="BB851" s="88"/>
      <c r="BC851" s="88"/>
      <c r="BD851" s="88"/>
      <c r="BE851" s="88"/>
      <c r="BF851" s="88"/>
      <c r="BG851" s="88"/>
      <c r="BH851" s="88"/>
      <c r="BI851" s="88"/>
      <c r="BJ851" s="88"/>
      <c r="BK851" s="88"/>
      <c r="BL851" s="88"/>
      <c r="BM851" s="88"/>
      <c r="BN851" s="88"/>
      <c r="BO851" s="88"/>
      <c r="BP851" s="88"/>
      <c r="BQ851" s="88"/>
      <c r="BR851" s="88"/>
      <c r="BS851" s="88"/>
    </row>
    <row r="852">
      <c r="J852" s="73"/>
      <c r="K852" s="74"/>
      <c r="L852" s="74"/>
      <c r="M852" s="74"/>
      <c r="N852" s="74"/>
      <c r="S852" s="75"/>
      <c r="T852" s="145"/>
      <c r="U852" s="145"/>
      <c r="V852" s="145"/>
      <c r="W852" s="145"/>
      <c r="X852" s="145"/>
      <c r="Y852" s="145"/>
      <c r="Z852" s="145"/>
      <c r="AA852" s="145"/>
      <c r="AB852" s="145"/>
      <c r="AC852" s="145"/>
      <c r="AD852" s="145"/>
      <c r="AE852" s="145"/>
      <c r="AF852" s="145"/>
      <c r="AG852" s="145"/>
      <c r="AH852" s="145"/>
      <c r="AI852" s="145"/>
      <c r="AJ852" s="145"/>
      <c r="AK852" s="145"/>
      <c r="AL852" s="145"/>
      <c r="AM852" s="145"/>
      <c r="AN852" s="145"/>
      <c r="AO852" s="145"/>
      <c r="AP852" s="145"/>
      <c r="AQ852" s="145"/>
      <c r="AR852" s="145"/>
      <c r="AS852" s="145"/>
      <c r="AT852" s="124"/>
      <c r="AU852" s="124"/>
      <c r="AV852" s="124"/>
      <c r="AW852" s="124"/>
      <c r="AX852" s="124"/>
      <c r="AY852" s="124"/>
      <c r="AZ852" s="124"/>
      <c r="BA852" s="124"/>
      <c r="BB852" s="88"/>
      <c r="BC852" s="88"/>
      <c r="BD852" s="88"/>
      <c r="BE852" s="88"/>
      <c r="BF852" s="88"/>
      <c r="BG852" s="88"/>
      <c r="BH852" s="88"/>
      <c r="BI852" s="88"/>
      <c r="BJ852" s="88"/>
      <c r="BK852" s="88"/>
      <c r="BL852" s="88"/>
      <c r="BM852" s="88"/>
      <c r="BN852" s="88"/>
      <c r="BO852" s="88"/>
      <c r="BP852" s="88"/>
      <c r="BQ852" s="88"/>
      <c r="BR852" s="88"/>
      <c r="BS852" s="88"/>
    </row>
    <row r="853">
      <c r="J853" s="73"/>
      <c r="K853" s="74"/>
      <c r="L853" s="74"/>
      <c r="M853" s="74"/>
      <c r="N853" s="74"/>
      <c r="S853" s="75"/>
      <c r="T853" s="145"/>
      <c r="U853" s="145"/>
      <c r="V853" s="145"/>
      <c r="W853" s="145"/>
      <c r="X853" s="145"/>
      <c r="Y853" s="145"/>
      <c r="Z853" s="145"/>
      <c r="AA853" s="145"/>
      <c r="AB853" s="145"/>
      <c r="AC853" s="145"/>
      <c r="AD853" s="145"/>
      <c r="AE853" s="145"/>
      <c r="AF853" s="145"/>
      <c r="AG853" s="145"/>
      <c r="AH853" s="145"/>
      <c r="AI853" s="145"/>
      <c r="AJ853" s="145"/>
      <c r="AK853" s="145"/>
      <c r="AL853" s="145"/>
      <c r="AM853" s="145"/>
      <c r="AN853" s="145"/>
      <c r="AO853" s="145"/>
      <c r="AP853" s="145"/>
      <c r="AQ853" s="145"/>
      <c r="AR853" s="145"/>
      <c r="AS853" s="145"/>
      <c r="AT853" s="124"/>
      <c r="AU853" s="124"/>
      <c r="AV853" s="124"/>
      <c r="AW853" s="124"/>
      <c r="AX853" s="124"/>
      <c r="AY853" s="124"/>
      <c r="AZ853" s="124"/>
      <c r="BA853" s="124"/>
      <c r="BB853" s="88"/>
      <c r="BC853" s="88"/>
      <c r="BD853" s="88"/>
      <c r="BE853" s="88"/>
      <c r="BF853" s="88"/>
      <c r="BG853" s="88"/>
      <c r="BH853" s="88"/>
      <c r="BI853" s="88"/>
      <c r="BJ853" s="88"/>
      <c r="BK853" s="88"/>
      <c r="BL853" s="88"/>
      <c r="BM853" s="88"/>
      <c r="BN853" s="88"/>
      <c r="BO853" s="88"/>
      <c r="BP853" s="88"/>
      <c r="BQ853" s="88"/>
      <c r="BR853" s="88"/>
      <c r="BS853" s="88"/>
    </row>
    <row r="854">
      <c r="J854" s="73"/>
      <c r="K854" s="74"/>
      <c r="L854" s="74"/>
      <c r="M854" s="74"/>
      <c r="N854" s="74"/>
      <c r="S854" s="75"/>
      <c r="T854" s="145"/>
      <c r="U854" s="145"/>
      <c r="V854" s="145"/>
      <c r="W854" s="145"/>
      <c r="X854" s="145"/>
      <c r="Y854" s="145"/>
      <c r="Z854" s="145"/>
      <c r="AA854" s="145"/>
      <c r="AB854" s="145"/>
      <c r="AC854" s="145"/>
      <c r="AD854" s="145"/>
      <c r="AE854" s="145"/>
      <c r="AF854" s="145"/>
      <c r="AG854" s="145"/>
      <c r="AH854" s="145"/>
      <c r="AI854" s="145"/>
      <c r="AJ854" s="145"/>
      <c r="AK854" s="145"/>
      <c r="AL854" s="145"/>
      <c r="AM854" s="145"/>
      <c r="AN854" s="145"/>
      <c r="AO854" s="145"/>
      <c r="AP854" s="145"/>
      <c r="AQ854" s="145"/>
      <c r="AR854" s="145"/>
      <c r="AS854" s="145"/>
      <c r="AT854" s="124"/>
      <c r="AU854" s="124"/>
      <c r="AV854" s="124"/>
      <c r="AW854" s="124"/>
      <c r="AX854" s="124"/>
      <c r="AY854" s="124"/>
      <c r="AZ854" s="124"/>
      <c r="BA854" s="124"/>
      <c r="BB854" s="88"/>
      <c r="BC854" s="88"/>
      <c r="BD854" s="88"/>
      <c r="BE854" s="88"/>
      <c r="BF854" s="88"/>
      <c r="BG854" s="88"/>
      <c r="BH854" s="88"/>
      <c r="BI854" s="88"/>
      <c r="BJ854" s="88"/>
      <c r="BK854" s="88"/>
      <c r="BL854" s="88"/>
      <c r="BM854" s="88"/>
      <c r="BN854" s="88"/>
      <c r="BO854" s="88"/>
      <c r="BP854" s="88"/>
      <c r="BQ854" s="88"/>
      <c r="BR854" s="88"/>
      <c r="BS854" s="88"/>
    </row>
    <row r="855">
      <c r="J855" s="73"/>
      <c r="K855" s="74"/>
      <c r="L855" s="74"/>
      <c r="M855" s="74"/>
      <c r="N855" s="74"/>
      <c r="S855" s="75"/>
      <c r="T855" s="145"/>
      <c r="U855" s="145"/>
      <c r="V855" s="145"/>
      <c r="W855" s="145"/>
      <c r="X855" s="145"/>
      <c r="Y855" s="145"/>
      <c r="Z855" s="145"/>
      <c r="AA855" s="145"/>
      <c r="AB855" s="145"/>
      <c r="AC855" s="145"/>
      <c r="AD855" s="145"/>
      <c r="AE855" s="145"/>
      <c r="AF855" s="145"/>
      <c r="AG855" s="145"/>
      <c r="AH855" s="145"/>
      <c r="AI855" s="145"/>
      <c r="AJ855" s="145"/>
      <c r="AK855" s="145"/>
      <c r="AL855" s="145"/>
      <c r="AM855" s="145"/>
      <c r="AN855" s="145"/>
      <c r="AO855" s="145"/>
      <c r="AP855" s="145"/>
      <c r="AQ855" s="145"/>
      <c r="AR855" s="145"/>
      <c r="AS855" s="145"/>
      <c r="AT855" s="124"/>
      <c r="AU855" s="124"/>
      <c r="AV855" s="124"/>
      <c r="AW855" s="124"/>
      <c r="AX855" s="124"/>
      <c r="AY855" s="124"/>
      <c r="AZ855" s="124"/>
      <c r="BA855" s="124"/>
      <c r="BB855" s="88"/>
      <c r="BC855" s="88"/>
      <c r="BD855" s="88"/>
      <c r="BE855" s="88"/>
      <c r="BF855" s="88"/>
      <c r="BG855" s="88"/>
      <c r="BH855" s="88"/>
      <c r="BI855" s="88"/>
      <c r="BJ855" s="88"/>
      <c r="BK855" s="88"/>
      <c r="BL855" s="88"/>
      <c r="BM855" s="88"/>
      <c r="BN855" s="88"/>
      <c r="BO855" s="88"/>
      <c r="BP855" s="88"/>
      <c r="BQ855" s="88"/>
      <c r="BR855" s="88"/>
      <c r="BS855" s="88"/>
    </row>
    <row r="856">
      <c r="J856" s="73"/>
      <c r="K856" s="74"/>
      <c r="L856" s="74"/>
      <c r="M856" s="74"/>
      <c r="N856" s="74"/>
      <c r="S856" s="75"/>
      <c r="T856" s="145"/>
      <c r="U856" s="145"/>
      <c r="V856" s="145"/>
      <c r="W856" s="145"/>
      <c r="X856" s="145"/>
      <c r="Y856" s="145"/>
      <c r="Z856" s="145"/>
      <c r="AA856" s="145"/>
      <c r="AB856" s="145"/>
      <c r="AC856" s="145"/>
      <c r="AD856" s="145"/>
      <c r="AE856" s="145"/>
      <c r="AF856" s="145"/>
      <c r="AG856" s="145"/>
      <c r="AH856" s="145"/>
      <c r="AI856" s="145"/>
      <c r="AJ856" s="145"/>
      <c r="AK856" s="145"/>
      <c r="AL856" s="145"/>
      <c r="AM856" s="145"/>
      <c r="AN856" s="145"/>
      <c r="AO856" s="145"/>
      <c r="AP856" s="145"/>
      <c r="AQ856" s="145"/>
      <c r="AR856" s="145"/>
      <c r="AS856" s="145"/>
      <c r="AT856" s="124"/>
      <c r="AU856" s="124"/>
      <c r="AV856" s="124"/>
      <c r="AW856" s="124"/>
      <c r="AX856" s="124"/>
      <c r="AY856" s="124"/>
      <c r="AZ856" s="124"/>
      <c r="BA856" s="124"/>
      <c r="BB856" s="88"/>
      <c r="BC856" s="88"/>
      <c r="BD856" s="88"/>
      <c r="BE856" s="88"/>
      <c r="BF856" s="88"/>
      <c r="BG856" s="88"/>
      <c r="BH856" s="88"/>
      <c r="BI856" s="88"/>
      <c r="BJ856" s="88"/>
      <c r="BK856" s="88"/>
      <c r="BL856" s="88"/>
      <c r="BM856" s="88"/>
      <c r="BN856" s="88"/>
      <c r="BO856" s="88"/>
      <c r="BP856" s="88"/>
      <c r="BQ856" s="88"/>
      <c r="BR856" s="88"/>
      <c r="BS856" s="88"/>
    </row>
    <row r="857">
      <c r="J857" s="73"/>
      <c r="K857" s="74"/>
      <c r="L857" s="74"/>
      <c r="M857" s="74"/>
      <c r="N857" s="74"/>
      <c r="S857" s="75"/>
      <c r="T857" s="145"/>
      <c r="U857" s="145"/>
      <c r="V857" s="145"/>
      <c r="W857" s="145"/>
      <c r="X857" s="145"/>
      <c r="Y857" s="145"/>
      <c r="Z857" s="145"/>
      <c r="AA857" s="145"/>
      <c r="AB857" s="145"/>
      <c r="AC857" s="145"/>
      <c r="AD857" s="145"/>
      <c r="AE857" s="145"/>
      <c r="AF857" s="145"/>
      <c r="AG857" s="145"/>
      <c r="AH857" s="145"/>
      <c r="AI857" s="145"/>
      <c r="AJ857" s="145"/>
      <c r="AK857" s="145"/>
      <c r="AL857" s="145"/>
      <c r="AM857" s="145"/>
      <c r="AN857" s="145"/>
      <c r="AO857" s="145"/>
      <c r="AP857" s="145"/>
      <c r="AQ857" s="145"/>
      <c r="AR857" s="145"/>
      <c r="AS857" s="145"/>
      <c r="AT857" s="124"/>
      <c r="AU857" s="124"/>
      <c r="AV857" s="124"/>
      <c r="AW857" s="124"/>
      <c r="AX857" s="124"/>
      <c r="AY857" s="124"/>
      <c r="AZ857" s="124"/>
      <c r="BA857" s="124"/>
      <c r="BB857" s="88"/>
      <c r="BC857" s="88"/>
      <c r="BD857" s="88"/>
      <c r="BE857" s="88"/>
      <c r="BF857" s="88"/>
      <c r="BG857" s="88"/>
      <c r="BH857" s="88"/>
      <c r="BI857" s="88"/>
      <c r="BJ857" s="88"/>
      <c r="BK857" s="88"/>
      <c r="BL857" s="88"/>
      <c r="BM857" s="88"/>
      <c r="BN857" s="88"/>
      <c r="BO857" s="88"/>
      <c r="BP857" s="88"/>
      <c r="BQ857" s="88"/>
      <c r="BR857" s="88"/>
      <c r="BS857" s="88"/>
    </row>
    <row r="858">
      <c r="J858" s="73"/>
      <c r="K858" s="74"/>
      <c r="L858" s="74"/>
      <c r="M858" s="74"/>
      <c r="N858" s="74"/>
      <c r="S858" s="75"/>
      <c r="T858" s="145"/>
      <c r="U858" s="145"/>
      <c r="V858" s="145"/>
      <c r="W858" s="145"/>
      <c r="X858" s="145"/>
      <c r="Y858" s="145"/>
      <c r="Z858" s="145"/>
      <c r="AA858" s="145"/>
      <c r="AB858" s="145"/>
      <c r="AC858" s="145"/>
      <c r="AD858" s="145"/>
      <c r="AE858" s="145"/>
      <c r="AF858" s="145"/>
      <c r="AG858" s="145"/>
      <c r="AH858" s="145"/>
      <c r="AI858" s="145"/>
      <c r="AJ858" s="145"/>
      <c r="AK858" s="145"/>
      <c r="AL858" s="145"/>
      <c r="AM858" s="145"/>
      <c r="AN858" s="145"/>
      <c r="AO858" s="145"/>
      <c r="AP858" s="145"/>
      <c r="AQ858" s="145"/>
      <c r="AR858" s="145"/>
      <c r="AS858" s="145"/>
      <c r="AT858" s="124"/>
      <c r="AU858" s="124"/>
      <c r="AV858" s="124"/>
      <c r="AW858" s="124"/>
      <c r="AX858" s="124"/>
      <c r="AY858" s="124"/>
      <c r="AZ858" s="124"/>
      <c r="BA858" s="124"/>
      <c r="BB858" s="88"/>
      <c r="BC858" s="88"/>
      <c r="BD858" s="88"/>
      <c r="BE858" s="88"/>
      <c r="BF858" s="88"/>
      <c r="BG858" s="88"/>
      <c r="BH858" s="88"/>
      <c r="BI858" s="88"/>
      <c r="BJ858" s="88"/>
      <c r="BK858" s="88"/>
      <c r="BL858" s="88"/>
      <c r="BM858" s="88"/>
      <c r="BN858" s="88"/>
      <c r="BO858" s="88"/>
      <c r="BP858" s="88"/>
      <c r="BQ858" s="88"/>
      <c r="BR858" s="88"/>
      <c r="BS858" s="88"/>
    </row>
    <row r="859">
      <c r="J859" s="73"/>
      <c r="K859" s="74"/>
      <c r="L859" s="74"/>
      <c r="M859" s="74"/>
      <c r="N859" s="74"/>
      <c r="S859" s="75"/>
      <c r="T859" s="145"/>
      <c r="U859" s="145"/>
      <c r="V859" s="145"/>
      <c r="W859" s="145"/>
      <c r="X859" s="145"/>
      <c r="Y859" s="145"/>
      <c r="Z859" s="145"/>
      <c r="AA859" s="145"/>
      <c r="AB859" s="145"/>
      <c r="AC859" s="145"/>
      <c r="AD859" s="145"/>
      <c r="AE859" s="145"/>
      <c r="AF859" s="145"/>
      <c r="AG859" s="145"/>
      <c r="AH859" s="145"/>
      <c r="AI859" s="145"/>
      <c r="AJ859" s="145"/>
      <c r="AK859" s="145"/>
      <c r="AL859" s="145"/>
      <c r="AM859" s="145"/>
      <c r="AN859" s="145"/>
      <c r="AO859" s="145"/>
      <c r="AP859" s="145"/>
      <c r="AQ859" s="145"/>
      <c r="AR859" s="145"/>
      <c r="AS859" s="145"/>
      <c r="AT859" s="124"/>
      <c r="AU859" s="124"/>
      <c r="AV859" s="124"/>
      <c r="AW859" s="124"/>
      <c r="AX859" s="124"/>
      <c r="AY859" s="124"/>
      <c r="AZ859" s="124"/>
      <c r="BA859" s="124"/>
      <c r="BB859" s="88"/>
      <c r="BC859" s="88"/>
      <c r="BD859" s="88"/>
      <c r="BE859" s="88"/>
      <c r="BF859" s="88"/>
      <c r="BG859" s="88"/>
      <c r="BH859" s="88"/>
      <c r="BI859" s="88"/>
      <c r="BJ859" s="88"/>
      <c r="BK859" s="88"/>
      <c r="BL859" s="88"/>
      <c r="BM859" s="88"/>
      <c r="BN859" s="88"/>
      <c r="BO859" s="88"/>
      <c r="BP859" s="88"/>
      <c r="BQ859" s="88"/>
      <c r="BR859" s="88"/>
      <c r="BS859" s="88"/>
    </row>
    <row r="860">
      <c r="J860" s="73"/>
      <c r="K860" s="74"/>
      <c r="L860" s="74"/>
      <c r="M860" s="74"/>
      <c r="N860" s="74"/>
      <c r="S860" s="75"/>
      <c r="T860" s="145"/>
      <c r="U860" s="145"/>
      <c r="V860" s="145"/>
      <c r="W860" s="145"/>
      <c r="X860" s="145"/>
      <c r="Y860" s="145"/>
      <c r="Z860" s="145"/>
      <c r="AA860" s="145"/>
      <c r="AB860" s="145"/>
      <c r="AC860" s="145"/>
      <c r="AD860" s="145"/>
      <c r="AE860" s="145"/>
      <c r="AF860" s="145"/>
      <c r="AG860" s="145"/>
      <c r="AH860" s="145"/>
      <c r="AI860" s="145"/>
      <c r="AJ860" s="145"/>
      <c r="AK860" s="145"/>
      <c r="AL860" s="145"/>
      <c r="AM860" s="145"/>
      <c r="AN860" s="145"/>
      <c r="AO860" s="145"/>
      <c r="AP860" s="145"/>
      <c r="AQ860" s="145"/>
      <c r="AR860" s="145"/>
      <c r="AS860" s="145"/>
      <c r="AT860" s="124"/>
      <c r="AU860" s="124"/>
      <c r="AV860" s="124"/>
      <c r="AW860" s="124"/>
      <c r="AX860" s="124"/>
      <c r="AY860" s="124"/>
      <c r="AZ860" s="124"/>
      <c r="BA860" s="124"/>
      <c r="BB860" s="88"/>
      <c r="BC860" s="88"/>
      <c r="BD860" s="88"/>
      <c r="BE860" s="88"/>
      <c r="BF860" s="88"/>
      <c r="BG860" s="88"/>
      <c r="BH860" s="88"/>
      <c r="BI860" s="88"/>
      <c r="BJ860" s="88"/>
      <c r="BK860" s="88"/>
      <c r="BL860" s="88"/>
      <c r="BM860" s="88"/>
      <c r="BN860" s="88"/>
      <c r="BO860" s="88"/>
      <c r="BP860" s="88"/>
      <c r="BQ860" s="88"/>
      <c r="BR860" s="88"/>
      <c r="BS860" s="88"/>
    </row>
    <row r="861">
      <c r="J861" s="73"/>
      <c r="K861" s="74"/>
      <c r="L861" s="74"/>
      <c r="M861" s="74"/>
      <c r="N861" s="74"/>
      <c r="S861" s="75"/>
      <c r="T861" s="145"/>
      <c r="U861" s="145"/>
      <c r="V861" s="145"/>
      <c r="W861" s="145"/>
      <c r="X861" s="145"/>
      <c r="Y861" s="145"/>
      <c r="Z861" s="145"/>
      <c r="AA861" s="145"/>
      <c r="AB861" s="145"/>
      <c r="AC861" s="145"/>
      <c r="AD861" s="145"/>
      <c r="AE861" s="145"/>
      <c r="AF861" s="145"/>
      <c r="AG861" s="145"/>
      <c r="AH861" s="145"/>
      <c r="AI861" s="145"/>
      <c r="AJ861" s="145"/>
      <c r="AK861" s="145"/>
      <c r="AL861" s="145"/>
      <c r="AM861" s="145"/>
      <c r="AN861" s="145"/>
      <c r="AO861" s="145"/>
      <c r="AP861" s="145"/>
      <c r="AQ861" s="145"/>
      <c r="AR861" s="145"/>
      <c r="AS861" s="145"/>
      <c r="AT861" s="124"/>
      <c r="AU861" s="124"/>
      <c r="AV861" s="124"/>
      <c r="AW861" s="124"/>
      <c r="AX861" s="124"/>
      <c r="AY861" s="124"/>
      <c r="AZ861" s="124"/>
      <c r="BA861" s="124"/>
      <c r="BB861" s="88"/>
      <c r="BC861" s="88"/>
      <c r="BD861" s="88"/>
      <c r="BE861" s="88"/>
      <c r="BF861" s="88"/>
      <c r="BG861" s="88"/>
      <c r="BH861" s="88"/>
      <c r="BI861" s="88"/>
      <c r="BJ861" s="88"/>
      <c r="BK861" s="88"/>
      <c r="BL861" s="88"/>
      <c r="BM861" s="88"/>
      <c r="BN861" s="88"/>
      <c r="BO861" s="88"/>
      <c r="BP861" s="88"/>
      <c r="BQ861" s="88"/>
      <c r="BR861" s="88"/>
      <c r="BS861" s="88"/>
    </row>
    <row r="862">
      <c r="J862" s="73"/>
      <c r="K862" s="74"/>
      <c r="L862" s="74"/>
      <c r="M862" s="74"/>
      <c r="N862" s="74"/>
      <c r="S862" s="75"/>
      <c r="T862" s="145"/>
      <c r="U862" s="145"/>
      <c r="V862" s="145"/>
      <c r="W862" s="145"/>
      <c r="X862" s="145"/>
      <c r="Y862" s="145"/>
      <c r="Z862" s="145"/>
      <c r="AA862" s="145"/>
      <c r="AB862" s="145"/>
      <c r="AC862" s="145"/>
      <c r="AD862" s="145"/>
      <c r="AE862" s="145"/>
      <c r="AF862" s="145"/>
      <c r="AG862" s="145"/>
      <c r="AH862" s="145"/>
      <c r="AI862" s="145"/>
      <c r="AJ862" s="145"/>
      <c r="AK862" s="145"/>
      <c r="AL862" s="145"/>
      <c r="AM862" s="145"/>
      <c r="AN862" s="145"/>
      <c r="AO862" s="145"/>
      <c r="AP862" s="145"/>
      <c r="AQ862" s="145"/>
      <c r="AR862" s="145"/>
      <c r="AS862" s="145"/>
      <c r="AT862" s="124"/>
      <c r="AU862" s="124"/>
      <c r="AV862" s="124"/>
      <c r="AW862" s="124"/>
      <c r="AX862" s="124"/>
      <c r="AY862" s="124"/>
      <c r="AZ862" s="124"/>
      <c r="BA862" s="124"/>
      <c r="BB862" s="88"/>
      <c r="BC862" s="88"/>
      <c r="BD862" s="88"/>
      <c r="BE862" s="88"/>
      <c r="BF862" s="88"/>
      <c r="BG862" s="88"/>
      <c r="BH862" s="88"/>
      <c r="BI862" s="88"/>
      <c r="BJ862" s="88"/>
      <c r="BK862" s="88"/>
      <c r="BL862" s="88"/>
      <c r="BM862" s="88"/>
      <c r="BN862" s="88"/>
      <c r="BO862" s="88"/>
      <c r="BP862" s="88"/>
      <c r="BQ862" s="88"/>
      <c r="BR862" s="88"/>
      <c r="BS862" s="88"/>
    </row>
    <row r="863">
      <c r="J863" s="73"/>
      <c r="K863" s="74"/>
      <c r="L863" s="74"/>
      <c r="M863" s="74"/>
      <c r="N863" s="74"/>
      <c r="S863" s="75"/>
      <c r="T863" s="145"/>
      <c r="U863" s="145"/>
      <c r="V863" s="145"/>
      <c r="W863" s="145"/>
      <c r="X863" s="145"/>
      <c r="Y863" s="145"/>
      <c r="Z863" s="145"/>
      <c r="AA863" s="145"/>
      <c r="AB863" s="145"/>
      <c r="AC863" s="145"/>
      <c r="AD863" s="145"/>
      <c r="AE863" s="145"/>
      <c r="AF863" s="145"/>
      <c r="AG863" s="145"/>
      <c r="AH863" s="145"/>
      <c r="AI863" s="145"/>
      <c r="AJ863" s="145"/>
      <c r="AK863" s="145"/>
      <c r="AL863" s="145"/>
      <c r="AM863" s="145"/>
      <c r="AN863" s="145"/>
      <c r="AO863" s="145"/>
      <c r="AP863" s="145"/>
      <c r="AQ863" s="145"/>
      <c r="AR863" s="145"/>
      <c r="AS863" s="145"/>
      <c r="AT863" s="124"/>
      <c r="AU863" s="124"/>
      <c r="AV863" s="124"/>
      <c r="AW863" s="124"/>
      <c r="AX863" s="124"/>
      <c r="AY863" s="124"/>
      <c r="AZ863" s="124"/>
      <c r="BA863" s="124"/>
      <c r="BB863" s="88"/>
      <c r="BC863" s="88"/>
      <c r="BD863" s="88"/>
      <c r="BE863" s="88"/>
      <c r="BF863" s="88"/>
      <c r="BG863" s="88"/>
      <c r="BH863" s="88"/>
      <c r="BI863" s="88"/>
      <c r="BJ863" s="88"/>
      <c r="BK863" s="88"/>
      <c r="BL863" s="88"/>
      <c r="BM863" s="88"/>
      <c r="BN863" s="88"/>
      <c r="BO863" s="88"/>
      <c r="BP863" s="88"/>
      <c r="BQ863" s="88"/>
      <c r="BR863" s="88"/>
      <c r="BS863" s="88"/>
    </row>
    <row r="864">
      <c r="J864" s="73"/>
      <c r="K864" s="74"/>
      <c r="L864" s="74"/>
      <c r="M864" s="74"/>
      <c r="N864" s="74"/>
      <c r="S864" s="75"/>
      <c r="T864" s="145"/>
      <c r="U864" s="145"/>
      <c r="V864" s="145"/>
      <c r="W864" s="145"/>
      <c r="X864" s="145"/>
      <c r="Y864" s="145"/>
      <c r="Z864" s="145"/>
      <c r="AA864" s="145"/>
      <c r="AB864" s="145"/>
      <c r="AC864" s="145"/>
      <c r="AD864" s="145"/>
      <c r="AE864" s="145"/>
      <c r="AF864" s="145"/>
      <c r="AG864" s="145"/>
      <c r="AH864" s="145"/>
      <c r="AI864" s="145"/>
      <c r="AJ864" s="145"/>
      <c r="AK864" s="145"/>
      <c r="AL864" s="145"/>
      <c r="AM864" s="145"/>
      <c r="AN864" s="145"/>
      <c r="AO864" s="145"/>
      <c r="AP864" s="145"/>
      <c r="AQ864" s="145"/>
      <c r="AR864" s="145"/>
      <c r="AS864" s="145"/>
      <c r="AT864" s="124"/>
      <c r="AU864" s="124"/>
      <c r="AV864" s="124"/>
      <c r="AW864" s="124"/>
      <c r="AX864" s="124"/>
      <c r="AY864" s="124"/>
      <c r="AZ864" s="124"/>
      <c r="BA864" s="124"/>
      <c r="BB864" s="88"/>
      <c r="BC864" s="88"/>
      <c r="BD864" s="88"/>
      <c r="BE864" s="88"/>
      <c r="BF864" s="88"/>
      <c r="BG864" s="88"/>
      <c r="BH864" s="88"/>
      <c r="BI864" s="88"/>
      <c r="BJ864" s="88"/>
      <c r="BK864" s="88"/>
      <c r="BL864" s="88"/>
      <c r="BM864" s="88"/>
      <c r="BN864" s="88"/>
      <c r="BO864" s="88"/>
      <c r="BP864" s="88"/>
      <c r="BQ864" s="88"/>
      <c r="BR864" s="88"/>
      <c r="BS864" s="88"/>
    </row>
    <row r="865">
      <c r="J865" s="73"/>
      <c r="K865" s="74"/>
      <c r="L865" s="74"/>
      <c r="M865" s="74"/>
      <c r="N865" s="74"/>
      <c r="S865" s="75"/>
      <c r="T865" s="145"/>
      <c r="U865" s="145"/>
      <c r="V865" s="145"/>
      <c r="W865" s="145"/>
      <c r="X865" s="145"/>
      <c r="Y865" s="145"/>
      <c r="Z865" s="145"/>
      <c r="AA865" s="145"/>
      <c r="AB865" s="145"/>
      <c r="AC865" s="145"/>
      <c r="AD865" s="145"/>
      <c r="AE865" s="145"/>
      <c r="AF865" s="145"/>
      <c r="AG865" s="145"/>
      <c r="AH865" s="145"/>
      <c r="AI865" s="145"/>
      <c r="AJ865" s="145"/>
      <c r="AK865" s="145"/>
      <c r="AL865" s="145"/>
      <c r="AM865" s="145"/>
      <c r="AN865" s="145"/>
      <c r="AO865" s="145"/>
      <c r="AP865" s="145"/>
      <c r="AQ865" s="145"/>
      <c r="AR865" s="145"/>
      <c r="AS865" s="145"/>
      <c r="AT865" s="124"/>
      <c r="AU865" s="124"/>
      <c r="AV865" s="124"/>
      <c r="AW865" s="124"/>
      <c r="AX865" s="124"/>
      <c r="AY865" s="124"/>
      <c r="AZ865" s="124"/>
      <c r="BA865" s="124"/>
      <c r="BB865" s="88"/>
      <c r="BC865" s="88"/>
      <c r="BD865" s="88"/>
      <c r="BE865" s="88"/>
      <c r="BF865" s="88"/>
      <c r="BG865" s="88"/>
      <c r="BH865" s="88"/>
      <c r="BI865" s="88"/>
      <c r="BJ865" s="88"/>
      <c r="BK865" s="88"/>
      <c r="BL865" s="88"/>
      <c r="BM865" s="88"/>
      <c r="BN865" s="88"/>
      <c r="BO865" s="88"/>
      <c r="BP865" s="88"/>
      <c r="BQ865" s="88"/>
      <c r="BR865" s="88"/>
      <c r="BS865" s="88"/>
    </row>
    <row r="866">
      <c r="J866" s="73"/>
      <c r="K866" s="74"/>
      <c r="L866" s="74"/>
      <c r="M866" s="74"/>
      <c r="N866" s="74"/>
      <c r="S866" s="75"/>
      <c r="T866" s="145"/>
      <c r="U866" s="145"/>
      <c r="V866" s="145"/>
      <c r="W866" s="145"/>
      <c r="X866" s="145"/>
      <c r="Y866" s="145"/>
      <c r="Z866" s="145"/>
      <c r="AA866" s="145"/>
      <c r="AB866" s="145"/>
      <c r="AC866" s="145"/>
      <c r="AD866" s="145"/>
      <c r="AE866" s="145"/>
      <c r="AF866" s="145"/>
      <c r="AG866" s="145"/>
      <c r="AH866" s="145"/>
      <c r="AI866" s="145"/>
      <c r="AJ866" s="145"/>
      <c r="AK866" s="145"/>
      <c r="AL866" s="145"/>
      <c r="AM866" s="145"/>
      <c r="AN866" s="145"/>
      <c r="AO866" s="145"/>
      <c r="AP866" s="145"/>
      <c r="AQ866" s="145"/>
      <c r="AR866" s="145"/>
      <c r="AS866" s="145"/>
      <c r="AT866" s="124"/>
      <c r="AU866" s="124"/>
      <c r="AV866" s="124"/>
      <c r="AW866" s="124"/>
      <c r="AX866" s="124"/>
      <c r="AY866" s="124"/>
      <c r="AZ866" s="124"/>
      <c r="BA866" s="124"/>
      <c r="BB866" s="88"/>
      <c r="BC866" s="88"/>
      <c r="BD866" s="88"/>
      <c r="BE866" s="88"/>
      <c r="BF866" s="88"/>
      <c r="BG866" s="88"/>
      <c r="BH866" s="88"/>
      <c r="BI866" s="88"/>
      <c r="BJ866" s="88"/>
      <c r="BK866" s="88"/>
      <c r="BL866" s="88"/>
      <c r="BM866" s="88"/>
      <c r="BN866" s="88"/>
      <c r="BO866" s="88"/>
      <c r="BP866" s="88"/>
      <c r="BQ866" s="88"/>
      <c r="BR866" s="88"/>
      <c r="BS866" s="88"/>
    </row>
    <row r="867">
      <c r="J867" s="73"/>
      <c r="K867" s="74"/>
      <c r="L867" s="74"/>
      <c r="M867" s="74"/>
      <c r="N867" s="74"/>
      <c r="S867" s="75"/>
      <c r="T867" s="145"/>
      <c r="U867" s="145"/>
      <c r="V867" s="145"/>
      <c r="W867" s="145"/>
      <c r="X867" s="145"/>
      <c r="Y867" s="145"/>
      <c r="Z867" s="145"/>
      <c r="AA867" s="145"/>
      <c r="AB867" s="145"/>
      <c r="AC867" s="145"/>
      <c r="AD867" s="145"/>
      <c r="AE867" s="145"/>
      <c r="AF867" s="145"/>
      <c r="AG867" s="145"/>
      <c r="AH867" s="145"/>
      <c r="AI867" s="145"/>
      <c r="AJ867" s="145"/>
      <c r="AK867" s="145"/>
      <c r="AL867" s="145"/>
      <c r="AM867" s="145"/>
      <c r="AN867" s="145"/>
      <c r="AO867" s="145"/>
      <c r="AP867" s="145"/>
      <c r="AQ867" s="145"/>
      <c r="AR867" s="145"/>
      <c r="AS867" s="145"/>
      <c r="AT867" s="124"/>
      <c r="AU867" s="124"/>
      <c r="AV867" s="124"/>
      <c r="AW867" s="124"/>
      <c r="AX867" s="124"/>
      <c r="AY867" s="124"/>
      <c r="AZ867" s="124"/>
      <c r="BA867" s="124"/>
      <c r="BB867" s="88"/>
      <c r="BC867" s="88"/>
      <c r="BD867" s="88"/>
      <c r="BE867" s="88"/>
      <c r="BF867" s="88"/>
      <c r="BG867" s="88"/>
      <c r="BH867" s="88"/>
      <c r="BI867" s="88"/>
      <c r="BJ867" s="88"/>
      <c r="BK867" s="88"/>
      <c r="BL867" s="88"/>
      <c r="BM867" s="88"/>
      <c r="BN867" s="88"/>
      <c r="BO867" s="88"/>
      <c r="BP867" s="88"/>
      <c r="BQ867" s="88"/>
      <c r="BR867" s="88"/>
      <c r="BS867" s="88"/>
    </row>
    <row r="868">
      <c r="J868" s="73"/>
      <c r="K868" s="74"/>
      <c r="L868" s="74"/>
      <c r="M868" s="74"/>
      <c r="N868" s="74"/>
      <c r="S868" s="75"/>
      <c r="T868" s="145"/>
      <c r="U868" s="145"/>
      <c r="V868" s="145"/>
      <c r="W868" s="145"/>
      <c r="X868" s="145"/>
      <c r="Y868" s="145"/>
      <c r="Z868" s="145"/>
      <c r="AA868" s="145"/>
      <c r="AB868" s="145"/>
      <c r="AC868" s="145"/>
      <c r="AD868" s="145"/>
      <c r="AE868" s="145"/>
      <c r="AF868" s="145"/>
      <c r="AG868" s="145"/>
      <c r="AH868" s="145"/>
      <c r="AI868" s="145"/>
      <c r="AJ868" s="145"/>
      <c r="AK868" s="145"/>
      <c r="AL868" s="145"/>
      <c r="AM868" s="145"/>
      <c r="AN868" s="145"/>
      <c r="AO868" s="145"/>
      <c r="AP868" s="145"/>
      <c r="AQ868" s="145"/>
      <c r="AR868" s="145"/>
      <c r="AS868" s="145"/>
      <c r="AT868" s="124"/>
      <c r="AU868" s="124"/>
      <c r="AV868" s="124"/>
      <c r="AW868" s="124"/>
      <c r="AX868" s="124"/>
      <c r="AY868" s="124"/>
      <c r="AZ868" s="124"/>
      <c r="BA868" s="124"/>
      <c r="BB868" s="88"/>
      <c r="BC868" s="88"/>
      <c r="BD868" s="88"/>
      <c r="BE868" s="88"/>
      <c r="BF868" s="88"/>
      <c r="BG868" s="88"/>
      <c r="BH868" s="88"/>
      <c r="BI868" s="88"/>
      <c r="BJ868" s="88"/>
      <c r="BK868" s="88"/>
      <c r="BL868" s="88"/>
      <c r="BM868" s="88"/>
      <c r="BN868" s="88"/>
      <c r="BO868" s="88"/>
      <c r="BP868" s="88"/>
      <c r="BQ868" s="88"/>
      <c r="BR868" s="88"/>
      <c r="BS868" s="88"/>
    </row>
    <row r="869">
      <c r="J869" s="73"/>
      <c r="K869" s="74"/>
      <c r="L869" s="74"/>
      <c r="M869" s="74"/>
      <c r="N869" s="74"/>
      <c r="S869" s="75"/>
      <c r="T869" s="145"/>
      <c r="U869" s="145"/>
      <c r="V869" s="145"/>
      <c r="W869" s="145"/>
      <c r="X869" s="145"/>
      <c r="Y869" s="145"/>
      <c r="Z869" s="145"/>
      <c r="AA869" s="145"/>
      <c r="AB869" s="145"/>
      <c r="AC869" s="145"/>
      <c r="AD869" s="145"/>
      <c r="AE869" s="145"/>
      <c r="AF869" s="145"/>
      <c r="AG869" s="145"/>
      <c r="AH869" s="145"/>
      <c r="AI869" s="145"/>
      <c r="AJ869" s="145"/>
      <c r="AK869" s="145"/>
      <c r="AL869" s="145"/>
      <c r="AM869" s="145"/>
      <c r="AN869" s="145"/>
      <c r="AO869" s="145"/>
      <c r="AP869" s="145"/>
      <c r="AQ869" s="145"/>
      <c r="AR869" s="145"/>
      <c r="AS869" s="145"/>
      <c r="AT869" s="124"/>
      <c r="AU869" s="124"/>
      <c r="AV869" s="124"/>
      <c r="AW869" s="124"/>
      <c r="AX869" s="124"/>
      <c r="AY869" s="124"/>
      <c r="AZ869" s="124"/>
      <c r="BA869" s="124"/>
      <c r="BB869" s="88"/>
      <c r="BC869" s="88"/>
      <c r="BD869" s="88"/>
      <c r="BE869" s="88"/>
      <c r="BF869" s="88"/>
      <c r="BG869" s="88"/>
      <c r="BH869" s="88"/>
      <c r="BI869" s="88"/>
      <c r="BJ869" s="88"/>
      <c r="BK869" s="88"/>
      <c r="BL869" s="88"/>
      <c r="BM869" s="88"/>
      <c r="BN869" s="88"/>
      <c r="BO869" s="88"/>
      <c r="BP869" s="88"/>
      <c r="BQ869" s="88"/>
      <c r="BR869" s="88"/>
      <c r="BS869" s="88"/>
    </row>
    <row r="870">
      <c r="J870" s="73"/>
      <c r="K870" s="74"/>
      <c r="L870" s="74"/>
      <c r="M870" s="74"/>
      <c r="N870" s="74"/>
      <c r="S870" s="75"/>
      <c r="T870" s="145"/>
      <c r="U870" s="145"/>
      <c r="V870" s="145"/>
      <c r="W870" s="145"/>
      <c r="X870" s="145"/>
      <c r="Y870" s="145"/>
      <c r="Z870" s="145"/>
      <c r="AA870" s="145"/>
      <c r="AB870" s="145"/>
      <c r="AC870" s="145"/>
      <c r="AD870" s="145"/>
      <c r="AE870" s="145"/>
      <c r="AF870" s="145"/>
      <c r="AG870" s="145"/>
      <c r="AH870" s="145"/>
      <c r="AI870" s="145"/>
      <c r="AJ870" s="145"/>
      <c r="AK870" s="145"/>
      <c r="AL870" s="145"/>
      <c r="AM870" s="145"/>
      <c r="AN870" s="145"/>
      <c r="AO870" s="145"/>
      <c r="AP870" s="145"/>
      <c r="AQ870" s="145"/>
      <c r="AR870" s="145"/>
      <c r="AS870" s="145"/>
      <c r="AT870" s="124"/>
      <c r="AU870" s="124"/>
      <c r="AV870" s="124"/>
      <c r="AW870" s="124"/>
      <c r="AX870" s="124"/>
      <c r="AY870" s="124"/>
      <c r="AZ870" s="124"/>
      <c r="BA870" s="124"/>
      <c r="BB870" s="88"/>
      <c r="BC870" s="88"/>
      <c r="BD870" s="88"/>
      <c r="BE870" s="88"/>
      <c r="BF870" s="88"/>
      <c r="BG870" s="88"/>
      <c r="BH870" s="88"/>
      <c r="BI870" s="88"/>
      <c r="BJ870" s="88"/>
      <c r="BK870" s="88"/>
      <c r="BL870" s="88"/>
      <c r="BM870" s="88"/>
      <c r="BN870" s="88"/>
      <c r="BO870" s="88"/>
      <c r="BP870" s="88"/>
      <c r="BQ870" s="88"/>
      <c r="BR870" s="88"/>
      <c r="BS870" s="88"/>
    </row>
    <row r="871">
      <c r="J871" s="73"/>
      <c r="K871" s="74"/>
      <c r="L871" s="74"/>
      <c r="M871" s="74"/>
      <c r="N871" s="74"/>
      <c r="S871" s="75"/>
      <c r="T871" s="145"/>
      <c r="U871" s="145"/>
      <c r="V871" s="145"/>
      <c r="W871" s="145"/>
      <c r="X871" s="145"/>
      <c r="Y871" s="145"/>
      <c r="Z871" s="145"/>
      <c r="AA871" s="145"/>
      <c r="AB871" s="145"/>
      <c r="AC871" s="145"/>
      <c r="AD871" s="145"/>
      <c r="AE871" s="145"/>
      <c r="AF871" s="145"/>
      <c r="AG871" s="145"/>
      <c r="AH871" s="145"/>
      <c r="AI871" s="145"/>
      <c r="AJ871" s="145"/>
      <c r="AK871" s="145"/>
      <c r="AL871" s="145"/>
      <c r="AM871" s="145"/>
      <c r="AN871" s="145"/>
      <c r="AO871" s="145"/>
      <c r="AP871" s="145"/>
      <c r="AQ871" s="145"/>
      <c r="AR871" s="145"/>
      <c r="AS871" s="145"/>
      <c r="AT871" s="124"/>
      <c r="AU871" s="124"/>
      <c r="AV871" s="124"/>
      <c r="AW871" s="124"/>
      <c r="AX871" s="124"/>
      <c r="AY871" s="124"/>
      <c r="AZ871" s="124"/>
      <c r="BA871" s="124"/>
      <c r="BB871" s="88"/>
      <c r="BC871" s="88"/>
      <c r="BD871" s="88"/>
      <c r="BE871" s="88"/>
      <c r="BF871" s="88"/>
      <c r="BG871" s="88"/>
      <c r="BH871" s="88"/>
      <c r="BI871" s="88"/>
      <c r="BJ871" s="88"/>
      <c r="BK871" s="88"/>
      <c r="BL871" s="88"/>
      <c r="BM871" s="88"/>
      <c r="BN871" s="88"/>
      <c r="BO871" s="88"/>
      <c r="BP871" s="88"/>
      <c r="BQ871" s="88"/>
      <c r="BR871" s="88"/>
      <c r="BS871" s="88"/>
    </row>
    <row r="872">
      <c r="J872" s="73"/>
      <c r="K872" s="74"/>
      <c r="L872" s="74"/>
      <c r="M872" s="74"/>
      <c r="N872" s="74"/>
      <c r="S872" s="75"/>
      <c r="T872" s="145"/>
      <c r="U872" s="145"/>
      <c r="V872" s="145"/>
      <c r="W872" s="145"/>
      <c r="X872" s="145"/>
      <c r="Y872" s="145"/>
      <c r="Z872" s="145"/>
      <c r="AA872" s="145"/>
      <c r="AB872" s="145"/>
      <c r="AC872" s="145"/>
      <c r="AD872" s="145"/>
      <c r="AE872" s="145"/>
      <c r="AF872" s="145"/>
      <c r="AG872" s="145"/>
      <c r="AH872" s="145"/>
      <c r="AI872" s="145"/>
      <c r="AJ872" s="145"/>
      <c r="AK872" s="145"/>
      <c r="AL872" s="145"/>
      <c r="AM872" s="145"/>
      <c r="AN872" s="145"/>
      <c r="AO872" s="145"/>
      <c r="AP872" s="145"/>
      <c r="AQ872" s="145"/>
      <c r="AR872" s="145"/>
      <c r="AS872" s="145"/>
      <c r="AT872" s="124"/>
      <c r="AU872" s="124"/>
      <c r="AV872" s="124"/>
      <c r="AW872" s="124"/>
      <c r="AX872" s="124"/>
      <c r="AY872" s="124"/>
      <c r="AZ872" s="124"/>
      <c r="BA872" s="124"/>
      <c r="BB872" s="88"/>
      <c r="BC872" s="88"/>
      <c r="BD872" s="88"/>
      <c r="BE872" s="88"/>
      <c r="BF872" s="88"/>
      <c r="BG872" s="88"/>
      <c r="BH872" s="88"/>
      <c r="BI872" s="88"/>
      <c r="BJ872" s="88"/>
      <c r="BK872" s="88"/>
      <c r="BL872" s="88"/>
      <c r="BM872" s="88"/>
      <c r="BN872" s="88"/>
      <c r="BO872" s="88"/>
      <c r="BP872" s="88"/>
      <c r="BQ872" s="88"/>
      <c r="BR872" s="88"/>
      <c r="BS872" s="88"/>
    </row>
    <row r="873">
      <c r="J873" s="73"/>
      <c r="K873" s="74"/>
      <c r="L873" s="74"/>
      <c r="M873" s="74"/>
      <c r="N873" s="74"/>
      <c r="S873" s="75"/>
      <c r="T873" s="145"/>
      <c r="U873" s="145"/>
      <c r="V873" s="145"/>
      <c r="W873" s="145"/>
      <c r="X873" s="145"/>
      <c r="Y873" s="145"/>
      <c r="Z873" s="145"/>
      <c r="AA873" s="145"/>
      <c r="AB873" s="145"/>
      <c r="AC873" s="145"/>
      <c r="AD873" s="145"/>
      <c r="AE873" s="145"/>
      <c r="AF873" s="145"/>
      <c r="AG873" s="145"/>
      <c r="AH873" s="145"/>
      <c r="AI873" s="145"/>
      <c r="AJ873" s="145"/>
      <c r="AK873" s="145"/>
      <c r="AL873" s="145"/>
      <c r="AM873" s="145"/>
      <c r="AN873" s="145"/>
      <c r="AO873" s="145"/>
      <c r="AP873" s="145"/>
      <c r="AQ873" s="145"/>
      <c r="AR873" s="145"/>
      <c r="AS873" s="145"/>
      <c r="AT873" s="124"/>
      <c r="AU873" s="124"/>
      <c r="AV873" s="124"/>
      <c r="AW873" s="124"/>
      <c r="AX873" s="124"/>
      <c r="AY873" s="124"/>
      <c r="AZ873" s="124"/>
      <c r="BA873" s="124"/>
      <c r="BB873" s="88"/>
      <c r="BC873" s="88"/>
      <c r="BD873" s="88"/>
      <c r="BE873" s="88"/>
      <c r="BF873" s="88"/>
      <c r="BG873" s="88"/>
      <c r="BH873" s="88"/>
      <c r="BI873" s="88"/>
      <c r="BJ873" s="88"/>
      <c r="BK873" s="88"/>
      <c r="BL873" s="88"/>
      <c r="BM873" s="88"/>
      <c r="BN873" s="88"/>
      <c r="BO873" s="88"/>
      <c r="BP873" s="88"/>
      <c r="BQ873" s="88"/>
      <c r="BR873" s="88"/>
      <c r="BS873" s="88"/>
    </row>
    <row r="874">
      <c r="J874" s="73"/>
      <c r="K874" s="74"/>
      <c r="L874" s="74"/>
      <c r="M874" s="74"/>
      <c r="N874" s="74"/>
      <c r="S874" s="75"/>
      <c r="T874" s="145"/>
      <c r="U874" s="145"/>
      <c r="V874" s="145"/>
      <c r="W874" s="145"/>
      <c r="X874" s="145"/>
      <c r="Y874" s="145"/>
      <c r="Z874" s="145"/>
      <c r="AA874" s="145"/>
      <c r="AB874" s="145"/>
      <c r="AC874" s="145"/>
      <c r="AD874" s="145"/>
      <c r="AE874" s="145"/>
      <c r="AF874" s="145"/>
      <c r="AG874" s="145"/>
      <c r="AH874" s="145"/>
      <c r="AI874" s="145"/>
      <c r="AJ874" s="145"/>
      <c r="AK874" s="145"/>
      <c r="AL874" s="145"/>
      <c r="AM874" s="145"/>
      <c r="AN874" s="145"/>
      <c r="AO874" s="145"/>
      <c r="AP874" s="145"/>
      <c r="AQ874" s="145"/>
      <c r="AR874" s="145"/>
      <c r="AS874" s="145"/>
      <c r="AT874" s="124"/>
      <c r="AU874" s="124"/>
      <c r="AV874" s="124"/>
      <c r="AW874" s="124"/>
      <c r="AX874" s="124"/>
      <c r="AY874" s="124"/>
      <c r="AZ874" s="124"/>
      <c r="BA874" s="124"/>
      <c r="BB874" s="88"/>
      <c r="BC874" s="88"/>
      <c r="BD874" s="88"/>
      <c r="BE874" s="88"/>
      <c r="BF874" s="88"/>
      <c r="BG874" s="88"/>
      <c r="BH874" s="88"/>
      <c r="BI874" s="88"/>
      <c r="BJ874" s="88"/>
      <c r="BK874" s="88"/>
      <c r="BL874" s="88"/>
      <c r="BM874" s="88"/>
      <c r="BN874" s="88"/>
      <c r="BO874" s="88"/>
      <c r="BP874" s="88"/>
      <c r="BQ874" s="88"/>
      <c r="BR874" s="88"/>
      <c r="BS874" s="88"/>
    </row>
    <row r="875">
      <c r="J875" s="73"/>
      <c r="K875" s="74"/>
      <c r="L875" s="74"/>
      <c r="M875" s="74"/>
      <c r="N875" s="74"/>
      <c r="S875" s="75"/>
      <c r="T875" s="145"/>
      <c r="U875" s="145"/>
      <c r="V875" s="145"/>
      <c r="W875" s="145"/>
      <c r="X875" s="145"/>
      <c r="Y875" s="145"/>
      <c r="Z875" s="145"/>
      <c r="AA875" s="145"/>
      <c r="AB875" s="145"/>
      <c r="AC875" s="145"/>
      <c r="AD875" s="145"/>
      <c r="AE875" s="145"/>
      <c r="AF875" s="145"/>
      <c r="AG875" s="145"/>
      <c r="AH875" s="145"/>
      <c r="AI875" s="145"/>
      <c r="AJ875" s="145"/>
      <c r="AK875" s="145"/>
      <c r="AL875" s="145"/>
      <c r="AM875" s="145"/>
      <c r="AN875" s="145"/>
      <c r="AO875" s="145"/>
      <c r="AP875" s="145"/>
      <c r="AQ875" s="145"/>
      <c r="AR875" s="145"/>
      <c r="AS875" s="145"/>
      <c r="AT875" s="124"/>
      <c r="AU875" s="124"/>
      <c r="AV875" s="124"/>
      <c r="AW875" s="124"/>
      <c r="AX875" s="124"/>
      <c r="AY875" s="124"/>
      <c r="AZ875" s="124"/>
      <c r="BA875" s="124"/>
      <c r="BB875" s="88"/>
      <c r="BC875" s="88"/>
      <c r="BD875" s="88"/>
      <c r="BE875" s="88"/>
      <c r="BF875" s="88"/>
      <c r="BG875" s="88"/>
      <c r="BH875" s="88"/>
      <c r="BI875" s="88"/>
      <c r="BJ875" s="88"/>
      <c r="BK875" s="88"/>
      <c r="BL875" s="88"/>
      <c r="BM875" s="88"/>
      <c r="BN875" s="88"/>
      <c r="BO875" s="88"/>
      <c r="BP875" s="88"/>
      <c r="BQ875" s="88"/>
      <c r="BR875" s="88"/>
      <c r="BS875" s="88"/>
    </row>
    <row r="876">
      <c r="J876" s="73"/>
      <c r="K876" s="74"/>
      <c r="L876" s="74"/>
      <c r="M876" s="74"/>
      <c r="N876" s="74"/>
      <c r="S876" s="75"/>
      <c r="T876" s="145"/>
      <c r="U876" s="145"/>
      <c r="V876" s="145"/>
      <c r="W876" s="145"/>
      <c r="X876" s="145"/>
      <c r="Y876" s="145"/>
      <c r="Z876" s="145"/>
      <c r="AA876" s="145"/>
      <c r="AB876" s="145"/>
      <c r="AC876" s="145"/>
      <c r="AD876" s="145"/>
      <c r="AE876" s="145"/>
      <c r="AF876" s="145"/>
      <c r="AG876" s="145"/>
      <c r="AH876" s="145"/>
      <c r="AI876" s="145"/>
      <c r="AJ876" s="145"/>
      <c r="AK876" s="145"/>
      <c r="AL876" s="145"/>
      <c r="AM876" s="145"/>
      <c r="AN876" s="145"/>
      <c r="AO876" s="145"/>
      <c r="AP876" s="145"/>
      <c r="AQ876" s="145"/>
      <c r="AR876" s="145"/>
      <c r="AS876" s="145"/>
      <c r="AT876" s="124"/>
      <c r="AU876" s="124"/>
      <c r="AV876" s="124"/>
      <c r="AW876" s="124"/>
      <c r="AX876" s="124"/>
      <c r="AY876" s="124"/>
      <c r="AZ876" s="124"/>
      <c r="BA876" s="124"/>
      <c r="BB876" s="88"/>
      <c r="BC876" s="88"/>
      <c r="BD876" s="88"/>
      <c r="BE876" s="88"/>
      <c r="BF876" s="88"/>
      <c r="BG876" s="88"/>
      <c r="BH876" s="88"/>
      <c r="BI876" s="88"/>
      <c r="BJ876" s="88"/>
      <c r="BK876" s="88"/>
      <c r="BL876" s="88"/>
      <c r="BM876" s="88"/>
      <c r="BN876" s="88"/>
      <c r="BO876" s="88"/>
      <c r="BP876" s="88"/>
      <c r="BQ876" s="88"/>
      <c r="BR876" s="88"/>
      <c r="BS876" s="88"/>
    </row>
    <row r="877">
      <c r="J877" s="73"/>
      <c r="K877" s="74"/>
      <c r="L877" s="74"/>
      <c r="M877" s="74"/>
      <c r="N877" s="74"/>
      <c r="S877" s="75"/>
      <c r="T877" s="145"/>
      <c r="U877" s="145"/>
      <c r="V877" s="145"/>
      <c r="W877" s="145"/>
      <c r="X877" s="145"/>
      <c r="Y877" s="145"/>
      <c r="Z877" s="145"/>
      <c r="AA877" s="145"/>
      <c r="AB877" s="145"/>
      <c r="AC877" s="145"/>
      <c r="AD877" s="145"/>
      <c r="AE877" s="145"/>
      <c r="AF877" s="145"/>
      <c r="AG877" s="145"/>
      <c r="AH877" s="145"/>
      <c r="AI877" s="145"/>
      <c r="AJ877" s="145"/>
      <c r="AK877" s="145"/>
      <c r="AL877" s="145"/>
      <c r="AM877" s="145"/>
      <c r="AN877" s="145"/>
      <c r="AO877" s="145"/>
      <c r="AP877" s="145"/>
      <c r="AQ877" s="145"/>
      <c r="AR877" s="145"/>
      <c r="AS877" s="145"/>
      <c r="AT877" s="124"/>
      <c r="AU877" s="124"/>
      <c r="AV877" s="124"/>
      <c r="AW877" s="124"/>
      <c r="AX877" s="124"/>
      <c r="AY877" s="124"/>
      <c r="AZ877" s="124"/>
      <c r="BA877" s="124"/>
      <c r="BB877" s="88"/>
      <c r="BC877" s="88"/>
      <c r="BD877" s="88"/>
      <c r="BE877" s="88"/>
      <c r="BF877" s="88"/>
      <c r="BG877" s="88"/>
      <c r="BH877" s="88"/>
      <c r="BI877" s="88"/>
      <c r="BJ877" s="88"/>
      <c r="BK877" s="88"/>
      <c r="BL877" s="88"/>
      <c r="BM877" s="88"/>
      <c r="BN877" s="88"/>
      <c r="BO877" s="88"/>
      <c r="BP877" s="88"/>
      <c r="BQ877" s="88"/>
      <c r="BR877" s="88"/>
      <c r="BS877" s="88"/>
    </row>
    <row r="878">
      <c r="J878" s="73"/>
      <c r="K878" s="74"/>
      <c r="L878" s="74"/>
      <c r="M878" s="74"/>
      <c r="N878" s="74"/>
      <c r="S878" s="75"/>
      <c r="T878" s="145"/>
      <c r="U878" s="145"/>
      <c r="V878" s="145"/>
      <c r="W878" s="145"/>
      <c r="X878" s="145"/>
      <c r="Y878" s="145"/>
      <c r="Z878" s="145"/>
      <c r="AA878" s="145"/>
      <c r="AB878" s="145"/>
      <c r="AC878" s="145"/>
      <c r="AD878" s="145"/>
      <c r="AE878" s="145"/>
      <c r="AF878" s="145"/>
      <c r="AG878" s="145"/>
      <c r="AH878" s="145"/>
      <c r="AI878" s="145"/>
      <c r="AJ878" s="145"/>
      <c r="AK878" s="145"/>
      <c r="AL878" s="145"/>
      <c r="AM878" s="145"/>
      <c r="AN878" s="145"/>
      <c r="AO878" s="145"/>
      <c r="AP878" s="145"/>
      <c r="AQ878" s="145"/>
      <c r="AR878" s="145"/>
      <c r="AS878" s="145"/>
      <c r="AT878" s="124"/>
      <c r="AU878" s="124"/>
      <c r="AV878" s="124"/>
      <c r="AW878" s="124"/>
      <c r="AX878" s="124"/>
      <c r="AY878" s="124"/>
      <c r="AZ878" s="124"/>
      <c r="BA878" s="124"/>
      <c r="BB878" s="88"/>
      <c r="BC878" s="88"/>
      <c r="BD878" s="88"/>
      <c r="BE878" s="88"/>
      <c r="BF878" s="88"/>
      <c r="BG878" s="88"/>
      <c r="BH878" s="88"/>
      <c r="BI878" s="88"/>
      <c r="BJ878" s="88"/>
      <c r="BK878" s="88"/>
      <c r="BL878" s="88"/>
      <c r="BM878" s="88"/>
      <c r="BN878" s="88"/>
      <c r="BO878" s="88"/>
      <c r="BP878" s="88"/>
      <c r="BQ878" s="88"/>
      <c r="BR878" s="88"/>
      <c r="BS878" s="88"/>
    </row>
    <row r="879">
      <c r="J879" s="73"/>
      <c r="K879" s="74"/>
      <c r="L879" s="74"/>
      <c r="M879" s="74"/>
      <c r="N879" s="74"/>
      <c r="S879" s="75"/>
      <c r="T879" s="145"/>
      <c r="U879" s="145"/>
      <c r="V879" s="145"/>
      <c r="W879" s="145"/>
      <c r="X879" s="145"/>
      <c r="Y879" s="145"/>
      <c r="Z879" s="145"/>
      <c r="AA879" s="145"/>
      <c r="AB879" s="145"/>
      <c r="AC879" s="145"/>
      <c r="AD879" s="145"/>
      <c r="AE879" s="145"/>
      <c r="AF879" s="145"/>
      <c r="AG879" s="145"/>
      <c r="AH879" s="145"/>
      <c r="AI879" s="145"/>
      <c r="AJ879" s="145"/>
      <c r="AK879" s="145"/>
      <c r="AL879" s="145"/>
      <c r="AM879" s="145"/>
      <c r="AN879" s="145"/>
      <c r="AO879" s="145"/>
      <c r="AP879" s="145"/>
      <c r="AQ879" s="145"/>
      <c r="AR879" s="145"/>
      <c r="AS879" s="145"/>
      <c r="AT879" s="124"/>
      <c r="AU879" s="124"/>
      <c r="AV879" s="124"/>
      <c r="AW879" s="124"/>
      <c r="AX879" s="124"/>
      <c r="AY879" s="124"/>
      <c r="AZ879" s="124"/>
      <c r="BA879" s="124"/>
      <c r="BB879" s="88"/>
      <c r="BC879" s="88"/>
      <c r="BD879" s="88"/>
      <c r="BE879" s="88"/>
      <c r="BF879" s="88"/>
      <c r="BG879" s="88"/>
      <c r="BH879" s="88"/>
      <c r="BI879" s="88"/>
      <c r="BJ879" s="88"/>
      <c r="BK879" s="88"/>
      <c r="BL879" s="88"/>
      <c r="BM879" s="88"/>
      <c r="BN879" s="88"/>
      <c r="BO879" s="88"/>
      <c r="BP879" s="88"/>
      <c r="BQ879" s="88"/>
      <c r="BR879" s="88"/>
      <c r="BS879" s="88"/>
    </row>
    <row r="880">
      <c r="J880" s="73"/>
      <c r="K880" s="74"/>
      <c r="L880" s="74"/>
      <c r="M880" s="74"/>
      <c r="N880" s="74"/>
      <c r="S880" s="75"/>
      <c r="T880" s="145"/>
      <c r="U880" s="145"/>
      <c r="V880" s="145"/>
      <c r="W880" s="145"/>
      <c r="X880" s="145"/>
      <c r="Y880" s="145"/>
      <c r="Z880" s="145"/>
      <c r="AA880" s="145"/>
      <c r="AB880" s="145"/>
      <c r="AC880" s="145"/>
      <c r="AD880" s="145"/>
      <c r="AE880" s="145"/>
      <c r="AF880" s="145"/>
      <c r="AG880" s="145"/>
      <c r="AH880" s="145"/>
      <c r="AI880" s="145"/>
      <c r="AJ880" s="145"/>
      <c r="AK880" s="145"/>
      <c r="AL880" s="145"/>
      <c r="AM880" s="145"/>
      <c r="AN880" s="145"/>
      <c r="AO880" s="145"/>
      <c r="AP880" s="145"/>
      <c r="AQ880" s="145"/>
      <c r="AR880" s="145"/>
      <c r="AS880" s="145"/>
      <c r="AT880" s="124"/>
      <c r="AU880" s="124"/>
      <c r="AV880" s="124"/>
      <c r="AW880" s="124"/>
      <c r="AX880" s="124"/>
      <c r="AY880" s="124"/>
      <c r="AZ880" s="124"/>
      <c r="BA880" s="124"/>
      <c r="BB880" s="88"/>
      <c r="BC880" s="88"/>
      <c r="BD880" s="88"/>
      <c r="BE880" s="88"/>
      <c r="BF880" s="88"/>
      <c r="BG880" s="88"/>
      <c r="BH880" s="88"/>
      <c r="BI880" s="88"/>
      <c r="BJ880" s="88"/>
      <c r="BK880" s="88"/>
      <c r="BL880" s="88"/>
      <c r="BM880" s="88"/>
      <c r="BN880" s="88"/>
      <c r="BO880" s="88"/>
      <c r="BP880" s="88"/>
      <c r="BQ880" s="88"/>
      <c r="BR880" s="88"/>
      <c r="BS880" s="88"/>
    </row>
    <row r="881">
      <c r="J881" s="73"/>
      <c r="K881" s="74"/>
      <c r="L881" s="74"/>
      <c r="M881" s="74"/>
      <c r="N881" s="74"/>
      <c r="S881" s="75"/>
      <c r="T881" s="145"/>
      <c r="U881" s="145"/>
      <c r="V881" s="145"/>
      <c r="W881" s="145"/>
      <c r="X881" s="145"/>
      <c r="Y881" s="145"/>
      <c r="Z881" s="145"/>
      <c r="AA881" s="145"/>
      <c r="AB881" s="145"/>
      <c r="AC881" s="145"/>
      <c r="AD881" s="145"/>
      <c r="AE881" s="145"/>
      <c r="AF881" s="145"/>
      <c r="AG881" s="145"/>
      <c r="AH881" s="145"/>
      <c r="AI881" s="145"/>
      <c r="AJ881" s="145"/>
      <c r="AK881" s="145"/>
      <c r="AL881" s="145"/>
      <c r="AM881" s="145"/>
      <c r="AN881" s="145"/>
      <c r="AO881" s="145"/>
      <c r="AP881" s="145"/>
      <c r="AQ881" s="145"/>
      <c r="AR881" s="145"/>
      <c r="AS881" s="145"/>
      <c r="AT881" s="124"/>
      <c r="AU881" s="124"/>
      <c r="AV881" s="124"/>
      <c r="AW881" s="124"/>
      <c r="AX881" s="124"/>
      <c r="AY881" s="124"/>
      <c r="AZ881" s="124"/>
      <c r="BA881" s="124"/>
      <c r="BB881" s="88"/>
      <c r="BC881" s="88"/>
      <c r="BD881" s="88"/>
      <c r="BE881" s="88"/>
      <c r="BF881" s="88"/>
      <c r="BG881" s="88"/>
      <c r="BH881" s="88"/>
      <c r="BI881" s="88"/>
      <c r="BJ881" s="88"/>
      <c r="BK881" s="88"/>
      <c r="BL881" s="88"/>
      <c r="BM881" s="88"/>
      <c r="BN881" s="88"/>
      <c r="BO881" s="88"/>
      <c r="BP881" s="88"/>
      <c r="BQ881" s="88"/>
      <c r="BR881" s="88"/>
      <c r="BS881" s="88"/>
    </row>
    <row r="882">
      <c r="J882" s="73"/>
      <c r="K882" s="74"/>
      <c r="L882" s="74"/>
      <c r="M882" s="74"/>
      <c r="N882" s="74"/>
      <c r="S882" s="75"/>
      <c r="T882" s="145"/>
      <c r="U882" s="145"/>
      <c r="V882" s="145"/>
      <c r="W882" s="145"/>
      <c r="X882" s="145"/>
      <c r="Y882" s="145"/>
      <c r="Z882" s="145"/>
      <c r="AA882" s="145"/>
      <c r="AB882" s="145"/>
      <c r="AC882" s="145"/>
      <c r="AD882" s="145"/>
      <c r="AE882" s="145"/>
      <c r="AF882" s="145"/>
      <c r="AG882" s="145"/>
      <c r="AH882" s="145"/>
      <c r="AI882" s="145"/>
      <c r="AJ882" s="145"/>
      <c r="AK882" s="145"/>
      <c r="AL882" s="145"/>
      <c r="AM882" s="145"/>
      <c r="AN882" s="145"/>
      <c r="AO882" s="145"/>
      <c r="AP882" s="145"/>
      <c r="AQ882" s="145"/>
      <c r="AR882" s="145"/>
      <c r="AS882" s="145"/>
      <c r="AT882" s="124"/>
      <c r="AU882" s="124"/>
      <c r="AV882" s="124"/>
      <c r="AW882" s="124"/>
      <c r="AX882" s="124"/>
      <c r="AY882" s="124"/>
      <c r="AZ882" s="124"/>
      <c r="BA882" s="124"/>
      <c r="BB882" s="88"/>
      <c r="BC882" s="88"/>
      <c r="BD882" s="88"/>
      <c r="BE882" s="88"/>
      <c r="BF882" s="88"/>
      <c r="BG882" s="88"/>
      <c r="BH882" s="88"/>
      <c r="BI882" s="88"/>
      <c r="BJ882" s="88"/>
      <c r="BK882" s="88"/>
      <c r="BL882" s="88"/>
      <c r="BM882" s="88"/>
      <c r="BN882" s="88"/>
      <c r="BO882" s="88"/>
      <c r="BP882" s="88"/>
      <c r="BQ882" s="88"/>
      <c r="BR882" s="88"/>
      <c r="BS882" s="88"/>
    </row>
    <row r="883">
      <c r="J883" s="73"/>
      <c r="K883" s="74"/>
      <c r="L883" s="74"/>
      <c r="M883" s="74"/>
      <c r="N883" s="74"/>
      <c r="S883" s="75"/>
      <c r="T883" s="145"/>
      <c r="U883" s="145"/>
      <c r="V883" s="145"/>
      <c r="W883" s="145"/>
      <c r="X883" s="145"/>
      <c r="Y883" s="145"/>
      <c r="Z883" s="145"/>
      <c r="AA883" s="145"/>
      <c r="AB883" s="145"/>
      <c r="AC883" s="145"/>
      <c r="AD883" s="145"/>
      <c r="AE883" s="145"/>
      <c r="AF883" s="145"/>
      <c r="AG883" s="145"/>
      <c r="AH883" s="145"/>
      <c r="AI883" s="145"/>
      <c r="AJ883" s="145"/>
      <c r="AK883" s="145"/>
      <c r="AL883" s="145"/>
      <c r="AM883" s="145"/>
      <c r="AN883" s="145"/>
      <c r="AO883" s="145"/>
      <c r="AP883" s="145"/>
      <c r="AQ883" s="145"/>
      <c r="AR883" s="145"/>
      <c r="AS883" s="145"/>
      <c r="AT883" s="124"/>
      <c r="AU883" s="124"/>
      <c r="AV883" s="124"/>
      <c r="AW883" s="124"/>
      <c r="AX883" s="124"/>
      <c r="AY883" s="124"/>
      <c r="AZ883" s="124"/>
      <c r="BA883" s="124"/>
      <c r="BB883" s="88"/>
      <c r="BC883" s="88"/>
      <c r="BD883" s="88"/>
      <c r="BE883" s="88"/>
      <c r="BF883" s="88"/>
      <c r="BG883" s="88"/>
      <c r="BH883" s="88"/>
      <c r="BI883" s="88"/>
      <c r="BJ883" s="88"/>
      <c r="BK883" s="88"/>
      <c r="BL883" s="88"/>
      <c r="BM883" s="88"/>
      <c r="BN883" s="88"/>
      <c r="BO883" s="88"/>
      <c r="BP883" s="88"/>
      <c r="BQ883" s="88"/>
      <c r="BR883" s="88"/>
      <c r="BS883" s="88"/>
    </row>
    <row r="884">
      <c r="J884" s="73"/>
      <c r="K884" s="74"/>
      <c r="L884" s="74"/>
      <c r="M884" s="74"/>
      <c r="N884" s="74"/>
      <c r="S884" s="75"/>
      <c r="T884" s="145"/>
      <c r="U884" s="145"/>
      <c r="V884" s="145"/>
      <c r="W884" s="145"/>
      <c r="X884" s="145"/>
      <c r="Y884" s="145"/>
      <c r="Z884" s="145"/>
      <c r="AA884" s="145"/>
      <c r="AB884" s="145"/>
      <c r="AC884" s="145"/>
      <c r="AD884" s="145"/>
      <c r="AE884" s="145"/>
      <c r="AF884" s="145"/>
      <c r="AG884" s="145"/>
      <c r="AH884" s="145"/>
      <c r="AI884" s="145"/>
      <c r="AJ884" s="145"/>
      <c r="AK884" s="145"/>
      <c r="AL884" s="145"/>
      <c r="AM884" s="145"/>
      <c r="AN884" s="145"/>
      <c r="AO884" s="145"/>
      <c r="AP884" s="145"/>
      <c r="AQ884" s="145"/>
      <c r="AR884" s="145"/>
      <c r="AS884" s="145"/>
      <c r="AT884" s="124"/>
      <c r="AU884" s="124"/>
      <c r="AV884" s="124"/>
      <c r="AW884" s="124"/>
      <c r="AX884" s="124"/>
      <c r="AY884" s="124"/>
      <c r="AZ884" s="124"/>
      <c r="BA884" s="124"/>
      <c r="BB884" s="88"/>
      <c r="BC884" s="88"/>
      <c r="BD884" s="88"/>
      <c r="BE884" s="88"/>
      <c r="BF884" s="88"/>
      <c r="BG884" s="88"/>
      <c r="BH884" s="88"/>
      <c r="BI884" s="88"/>
      <c r="BJ884" s="88"/>
      <c r="BK884" s="88"/>
      <c r="BL884" s="88"/>
      <c r="BM884" s="88"/>
      <c r="BN884" s="88"/>
      <c r="BO884" s="88"/>
      <c r="BP884" s="88"/>
      <c r="BQ884" s="88"/>
      <c r="BR884" s="88"/>
      <c r="BS884" s="88"/>
    </row>
    <row r="885">
      <c r="J885" s="73"/>
      <c r="K885" s="74"/>
      <c r="L885" s="74"/>
      <c r="M885" s="74"/>
      <c r="N885" s="74"/>
      <c r="S885" s="75"/>
      <c r="T885" s="145"/>
      <c r="U885" s="145"/>
      <c r="V885" s="145"/>
      <c r="W885" s="145"/>
      <c r="X885" s="145"/>
      <c r="Y885" s="145"/>
      <c r="Z885" s="145"/>
      <c r="AA885" s="145"/>
      <c r="AB885" s="145"/>
      <c r="AC885" s="145"/>
      <c r="AD885" s="145"/>
      <c r="AE885" s="145"/>
      <c r="AF885" s="145"/>
      <c r="AG885" s="145"/>
      <c r="AH885" s="145"/>
      <c r="AI885" s="145"/>
      <c r="AJ885" s="145"/>
      <c r="AK885" s="145"/>
      <c r="AL885" s="145"/>
      <c r="AM885" s="145"/>
      <c r="AN885" s="145"/>
      <c r="AO885" s="145"/>
      <c r="AP885" s="145"/>
      <c r="AQ885" s="145"/>
      <c r="AR885" s="145"/>
      <c r="AS885" s="145"/>
      <c r="AT885" s="124"/>
      <c r="AU885" s="124"/>
      <c r="AV885" s="124"/>
      <c r="AW885" s="124"/>
      <c r="AX885" s="124"/>
      <c r="AY885" s="124"/>
      <c r="AZ885" s="124"/>
      <c r="BA885" s="124"/>
      <c r="BB885" s="88"/>
      <c r="BC885" s="88"/>
      <c r="BD885" s="88"/>
      <c r="BE885" s="88"/>
      <c r="BF885" s="88"/>
      <c r="BG885" s="88"/>
      <c r="BH885" s="88"/>
      <c r="BI885" s="88"/>
      <c r="BJ885" s="88"/>
      <c r="BK885" s="88"/>
      <c r="BL885" s="88"/>
      <c r="BM885" s="88"/>
      <c r="BN885" s="88"/>
      <c r="BO885" s="88"/>
      <c r="BP885" s="88"/>
      <c r="BQ885" s="88"/>
      <c r="BR885" s="88"/>
      <c r="BS885" s="88"/>
    </row>
    <row r="886">
      <c r="J886" s="73"/>
      <c r="K886" s="74"/>
      <c r="L886" s="74"/>
      <c r="M886" s="74"/>
      <c r="N886" s="74"/>
      <c r="S886" s="75"/>
      <c r="T886" s="145"/>
      <c r="U886" s="145"/>
      <c r="V886" s="145"/>
      <c r="W886" s="145"/>
      <c r="X886" s="145"/>
      <c r="Y886" s="145"/>
      <c r="Z886" s="145"/>
      <c r="AA886" s="145"/>
      <c r="AB886" s="145"/>
      <c r="AC886" s="145"/>
      <c r="AD886" s="145"/>
      <c r="AE886" s="145"/>
      <c r="AF886" s="145"/>
      <c r="AG886" s="145"/>
      <c r="AH886" s="145"/>
      <c r="AI886" s="145"/>
      <c r="AJ886" s="145"/>
      <c r="AK886" s="145"/>
      <c r="AL886" s="145"/>
      <c r="AM886" s="145"/>
      <c r="AN886" s="145"/>
      <c r="AO886" s="145"/>
      <c r="AP886" s="145"/>
      <c r="AQ886" s="145"/>
      <c r="AR886" s="145"/>
      <c r="AS886" s="145"/>
      <c r="AT886" s="124"/>
      <c r="AU886" s="124"/>
      <c r="AV886" s="124"/>
      <c r="AW886" s="124"/>
      <c r="AX886" s="124"/>
      <c r="AY886" s="124"/>
      <c r="AZ886" s="124"/>
      <c r="BA886" s="124"/>
      <c r="BB886" s="88"/>
      <c r="BC886" s="88"/>
      <c r="BD886" s="88"/>
      <c r="BE886" s="88"/>
      <c r="BF886" s="88"/>
      <c r="BG886" s="88"/>
      <c r="BH886" s="88"/>
      <c r="BI886" s="88"/>
      <c r="BJ886" s="88"/>
      <c r="BK886" s="88"/>
      <c r="BL886" s="88"/>
      <c r="BM886" s="88"/>
      <c r="BN886" s="88"/>
      <c r="BO886" s="88"/>
      <c r="BP886" s="88"/>
      <c r="BQ886" s="88"/>
      <c r="BR886" s="88"/>
      <c r="BS886" s="88"/>
    </row>
    <row r="887">
      <c r="J887" s="73"/>
      <c r="K887" s="74"/>
      <c r="L887" s="74"/>
      <c r="M887" s="74"/>
      <c r="N887" s="74"/>
      <c r="S887" s="75"/>
      <c r="T887" s="145"/>
      <c r="U887" s="145"/>
      <c r="V887" s="145"/>
      <c r="W887" s="145"/>
      <c r="X887" s="145"/>
      <c r="Y887" s="145"/>
      <c r="Z887" s="145"/>
      <c r="AA887" s="145"/>
      <c r="AB887" s="145"/>
      <c r="AC887" s="145"/>
      <c r="AD887" s="145"/>
      <c r="AE887" s="145"/>
      <c r="AF887" s="145"/>
      <c r="AG887" s="145"/>
      <c r="AH887" s="145"/>
      <c r="AI887" s="145"/>
      <c r="AJ887" s="145"/>
      <c r="AK887" s="145"/>
      <c r="AL887" s="145"/>
      <c r="AM887" s="145"/>
      <c r="AN887" s="145"/>
      <c r="AO887" s="145"/>
      <c r="AP887" s="145"/>
      <c r="AQ887" s="145"/>
      <c r="AR887" s="145"/>
      <c r="AS887" s="145"/>
      <c r="AT887" s="124"/>
      <c r="AU887" s="124"/>
      <c r="AV887" s="124"/>
      <c r="AW887" s="124"/>
      <c r="AX887" s="124"/>
      <c r="AY887" s="124"/>
      <c r="AZ887" s="124"/>
      <c r="BA887" s="124"/>
      <c r="BB887" s="88"/>
      <c r="BC887" s="88"/>
      <c r="BD887" s="88"/>
      <c r="BE887" s="88"/>
      <c r="BF887" s="88"/>
      <c r="BG887" s="88"/>
      <c r="BH887" s="88"/>
      <c r="BI887" s="88"/>
      <c r="BJ887" s="88"/>
      <c r="BK887" s="88"/>
      <c r="BL887" s="88"/>
      <c r="BM887" s="88"/>
      <c r="BN887" s="88"/>
      <c r="BO887" s="88"/>
      <c r="BP887" s="88"/>
      <c r="BQ887" s="88"/>
      <c r="BR887" s="88"/>
      <c r="BS887" s="88"/>
    </row>
    <row r="888">
      <c r="J888" s="73"/>
      <c r="K888" s="74"/>
      <c r="L888" s="74"/>
      <c r="M888" s="74"/>
      <c r="N888" s="74"/>
      <c r="S888" s="75"/>
      <c r="T888" s="145"/>
      <c r="U888" s="145"/>
      <c r="V888" s="145"/>
      <c r="W888" s="145"/>
      <c r="X888" s="145"/>
      <c r="Y888" s="145"/>
      <c r="Z888" s="145"/>
      <c r="AA888" s="145"/>
      <c r="AB888" s="145"/>
      <c r="AC888" s="145"/>
      <c r="AD888" s="145"/>
      <c r="AE888" s="145"/>
      <c r="AF888" s="145"/>
      <c r="AG888" s="145"/>
      <c r="AH888" s="145"/>
      <c r="AI888" s="145"/>
      <c r="AJ888" s="145"/>
      <c r="AK888" s="145"/>
      <c r="AL888" s="145"/>
      <c r="AM888" s="145"/>
      <c r="AN888" s="145"/>
      <c r="AO888" s="145"/>
      <c r="AP888" s="145"/>
      <c r="AQ888" s="145"/>
      <c r="AR888" s="145"/>
      <c r="AS888" s="145"/>
      <c r="AT888" s="124"/>
      <c r="AU888" s="124"/>
      <c r="AV888" s="124"/>
      <c r="AW888" s="124"/>
      <c r="AX888" s="124"/>
      <c r="AY888" s="124"/>
      <c r="AZ888" s="124"/>
      <c r="BA888" s="124"/>
      <c r="BB888" s="88"/>
      <c r="BC888" s="88"/>
      <c r="BD888" s="88"/>
      <c r="BE888" s="88"/>
      <c r="BF888" s="88"/>
      <c r="BG888" s="88"/>
      <c r="BH888" s="88"/>
      <c r="BI888" s="88"/>
      <c r="BJ888" s="88"/>
      <c r="BK888" s="88"/>
      <c r="BL888" s="88"/>
      <c r="BM888" s="88"/>
      <c r="BN888" s="88"/>
      <c r="BO888" s="88"/>
      <c r="BP888" s="88"/>
      <c r="BQ888" s="88"/>
      <c r="BR888" s="88"/>
      <c r="BS888" s="88"/>
    </row>
    <row r="889">
      <c r="J889" s="73"/>
      <c r="K889" s="74"/>
      <c r="L889" s="74"/>
      <c r="M889" s="74"/>
      <c r="N889" s="74"/>
      <c r="S889" s="75"/>
      <c r="T889" s="145"/>
      <c r="U889" s="145"/>
      <c r="V889" s="145"/>
      <c r="W889" s="145"/>
      <c r="X889" s="145"/>
      <c r="Y889" s="145"/>
      <c r="Z889" s="145"/>
      <c r="AA889" s="145"/>
      <c r="AB889" s="145"/>
      <c r="AC889" s="145"/>
      <c r="AD889" s="145"/>
      <c r="AE889" s="145"/>
      <c r="AF889" s="145"/>
      <c r="AG889" s="145"/>
      <c r="AH889" s="145"/>
      <c r="AI889" s="145"/>
      <c r="AJ889" s="145"/>
      <c r="AK889" s="145"/>
      <c r="AL889" s="145"/>
      <c r="AM889" s="145"/>
      <c r="AN889" s="145"/>
      <c r="AO889" s="145"/>
      <c r="AP889" s="145"/>
      <c r="AQ889" s="145"/>
      <c r="AR889" s="145"/>
      <c r="AS889" s="145"/>
      <c r="AT889" s="124"/>
      <c r="AU889" s="124"/>
      <c r="AV889" s="124"/>
      <c r="AW889" s="124"/>
      <c r="AX889" s="124"/>
      <c r="AY889" s="124"/>
      <c r="AZ889" s="124"/>
      <c r="BA889" s="124"/>
      <c r="BB889" s="88"/>
      <c r="BC889" s="88"/>
      <c r="BD889" s="88"/>
      <c r="BE889" s="88"/>
      <c r="BF889" s="88"/>
      <c r="BG889" s="88"/>
      <c r="BH889" s="88"/>
      <c r="BI889" s="88"/>
      <c r="BJ889" s="88"/>
      <c r="BK889" s="88"/>
      <c r="BL889" s="88"/>
      <c r="BM889" s="88"/>
      <c r="BN889" s="88"/>
      <c r="BO889" s="88"/>
      <c r="BP889" s="88"/>
      <c r="BQ889" s="88"/>
      <c r="BR889" s="88"/>
      <c r="BS889" s="88"/>
    </row>
    <row r="890">
      <c r="J890" s="73"/>
      <c r="K890" s="74"/>
      <c r="L890" s="74"/>
      <c r="M890" s="74"/>
      <c r="N890" s="74"/>
      <c r="S890" s="75"/>
      <c r="T890" s="145"/>
      <c r="U890" s="145"/>
      <c r="V890" s="145"/>
      <c r="W890" s="145"/>
      <c r="X890" s="145"/>
      <c r="Y890" s="145"/>
      <c r="Z890" s="145"/>
      <c r="AA890" s="145"/>
      <c r="AB890" s="145"/>
      <c r="AC890" s="145"/>
      <c r="AD890" s="145"/>
      <c r="AE890" s="145"/>
      <c r="AF890" s="145"/>
      <c r="AG890" s="145"/>
      <c r="AH890" s="145"/>
      <c r="AI890" s="145"/>
      <c r="AJ890" s="145"/>
      <c r="AK890" s="145"/>
      <c r="AL890" s="145"/>
      <c r="AM890" s="145"/>
      <c r="AN890" s="145"/>
      <c r="AO890" s="145"/>
      <c r="AP890" s="145"/>
      <c r="AQ890" s="145"/>
      <c r="AR890" s="145"/>
      <c r="AS890" s="145"/>
      <c r="AT890" s="124"/>
      <c r="AU890" s="124"/>
      <c r="AV890" s="124"/>
      <c r="AW890" s="124"/>
      <c r="AX890" s="124"/>
      <c r="AY890" s="124"/>
      <c r="AZ890" s="124"/>
      <c r="BA890" s="124"/>
      <c r="BB890" s="88"/>
      <c r="BC890" s="88"/>
      <c r="BD890" s="88"/>
      <c r="BE890" s="88"/>
      <c r="BF890" s="88"/>
      <c r="BG890" s="88"/>
      <c r="BH890" s="88"/>
      <c r="BI890" s="88"/>
      <c r="BJ890" s="88"/>
      <c r="BK890" s="88"/>
      <c r="BL890" s="88"/>
      <c r="BM890" s="88"/>
      <c r="BN890" s="88"/>
      <c r="BO890" s="88"/>
      <c r="BP890" s="88"/>
      <c r="BQ890" s="88"/>
      <c r="BR890" s="88"/>
      <c r="BS890" s="88"/>
    </row>
    <row r="891">
      <c r="J891" s="73"/>
      <c r="K891" s="74"/>
      <c r="L891" s="74"/>
      <c r="M891" s="74"/>
      <c r="N891" s="74"/>
      <c r="S891" s="75"/>
      <c r="T891" s="145"/>
      <c r="U891" s="145"/>
      <c r="V891" s="145"/>
      <c r="W891" s="145"/>
      <c r="X891" s="145"/>
      <c r="Y891" s="145"/>
      <c r="Z891" s="145"/>
      <c r="AA891" s="145"/>
      <c r="AB891" s="145"/>
      <c r="AC891" s="145"/>
      <c r="AD891" s="145"/>
      <c r="AE891" s="145"/>
      <c r="AF891" s="145"/>
      <c r="AG891" s="145"/>
      <c r="AH891" s="145"/>
      <c r="AI891" s="145"/>
      <c r="AJ891" s="145"/>
      <c r="AK891" s="145"/>
      <c r="AL891" s="145"/>
      <c r="AM891" s="145"/>
      <c r="AN891" s="145"/>
      <c r="AO891" s="145"/>
      <c r="AP891" s="145"/>
      <c r="AQ891" s="145"/>
      <c r="AR891" s="145"/>
      <c r="AS891" s="145"/>
      <c r="AT891" s="124"/>
      <c r="AU891" s="124"/>
      <c r="AV891" s="124"/>
      <c r="AW891" s="124"/>
      <c r="AX891" s="124"/>
      <c r="AY891" s="124"/>
      <c r="AZ891" s="124"/>
      <c r="BA891" s="124"/>
      <c r="BB891" s="88"/>
      <c r="BC891" s="88"/>
      <c r="BD891" s="88"/>
      <c r="BE891" s="88"/>
      <c r="BF891" s="88"/>
      <c r="BG891" s="88"/>
      <c r="BH891" s="88"/>
      <c r="BI891" s="88"/>
      <c r="BJ891" s="88"/>
      <c r="BK891" s="88"/>
      <c r="BL891" s="88"/>
      <c r="BM891" s="88"/>
      <c r="BN891" s="88"/>
      <c r="BO891" s="88"/>
      <c r="BP891" s="88"/>
      <c r="BQ891" s="88"/>
      <c r="BR891" s="88"/>
      <c r="BS891" s="88"/>
    </row>
    <row r="892">
      <c r="J892" s="73"/>
      <c r="K892" s="74"/>
      <c r="L892" s="74"/>
      <c r="M892" s="74"/>
      <c r="N892" s="74"/>
      <c r="S892" s="75"/>
      <c r="T892" s="145"/>
      <c r="U892" s="145"/>
      <c r="V892" s="145"/>
      <c r="W892" s="145"/>
      <c r="X892" s="145"/>
      <c r="Y892" s="145"/>
      <c r="Z892" s="145"/>
      <c r="AA892" s="145"/>
      <c r="AB892" s="145"/>
      <c r="AC892" s="145"/>
      <c r="AD892" s="145"/>
      <c r="AE892" s="145"/>
      <c r="AF892" s="145"/>
      <c r="AG892" s="145"/>
      <c r="AH892" s="145"/>
      <c r="AI892" s="145"/>
      <c r="AJ892" s="145"/>
      <c r="AK892" s="145"/>
      <c r="AL892" s="145"/>
      <c r="AM892" s="145"/>
      <c r="AN892" s="145"/>
      <c r="AO892" s="145"/>
      <c r="AP892" s="145"/>
      <c r="AQ892" s="145"/>
      <c r="AR892" s="145"/>
      <c r="AS892" s="145"/>
      <c r="AT892" s="124"/>
      <c r="AU892" s="124"/>
      <c r="AV892" s="124"/>
      <c r="AW892" s="124"/>
      <c r="AX892" s="124"/>
      <c r="AY892" s="124"/>
      <c r="AZ892" s="124"/>
      <c r="BA892" s="124"/>
      <c r="BB892" s="88"/>
      <c r="BC892" s="88"/>
      <c r="BD892" s="88"/>
      <c r="BE892" s="88"/>
      <c r="BF892" s="88"/>
      <c r="BG892" s="88"/>
      <c r="BH892" s="88"/>
      <c r="BI892" s="88"/>
      <c r="BJ892" s="88"/>
      <c r="BK892" s="88"/>
      <c r="BL892" s="88"/>
      <c r="BM892" s="88"/>
      <c r="BN892" s="88"/>
      <c r="BO892" s="88"/>
      <c r="BP892" s="88"/>
      <c r="BQ892" s="88"/>
      <c r="BR892" s="88"/>
      <c r="BS892" s="88"/>
    </row>
    <row r="893">
      <c r="J893" s="73"/>
      <c r="K893" s="74"/>
      <c r="L893" s="74"/>
      <c r="M893" s="74"/>
      <c r="N893" s="74"/>
      <c r="S893" s="75"/>
      <c r="T893" s="145"/>
      <c r="U893" s="145"/>
      <c r="V893" s="145"/>
      <c r="W893" s="145"/>
      <c r="X893" s="145"/>
      <c r="Y893" s="145"/>
      <c r="Z893" s="145"/>
      <c r="AA893" s="145"/>
      <c r="AB893" s="145"/>
      <c r="AC893" s="145"/>
      <c r="AD893" s="145"/>
      <c r="AE893" s="145"/>
      <c r="AF893" s="145"/>
      <c r="AG893" s="145"/>
      <c r="AH893" s="145"/>
      <c r="AI893" s="145"/>
      <c r="AJ893" s="145"/>
      <c r="AK893" s="145"/>
      <c r="AL893" s="145"/>
      <c r="AM893" s="145"/>
      <c r="AN893" s="145"/>
      <c r="AO893" s="145"/>
      <c r="AP893" s="145"/>
      <c r="AQ893" s="145"/>
      <c r="AR893" s="145"/>
      <c r="AS893" s="145"/>
      <c r="AT893" s="124"/>
      <c r="AU893" s="124"/>
      <c r="AV893" s="124"/>
      <c r="AW893" s="124"/>
      <c r="AX893" s="124"/>
      <c r="AY893" s="124"/>
      <c r="AZ893" s="124"/>
      <c r="BA893" s="124"/>
      <c r="BB893" s="88"/>
      <c r="BC893" s="88"/>
      <c r="BD893" s="88"/>
      <c r="BE893" s="88"/>
      <c r="BF893" s="88"/>
      <c r="BG893" s="88"/>
      <c r="BH893" s="88"/>
      <c r="BI893" s="88"/>
      <c r="BJ893" s="88"/>
      <c r="BK893" s="88"/>
      <c r="BL893" s="88"/>
      <c r="BM893" s="88"/>
      <c r="BN893" s="88"/>
      <c r="BO893" s="88"/>
      <c r="BP893" s="88"/>
      <c r="BQ893" s="88"/>
      <c r="BR893" s="88"/>
      <c r="BS893" s="88"/>
    </row>
    <row r="894">
      <c r="J894" s="73"/>
      <c r="K894" s="74"/>
      <c r="L894" s="74"/>
      <c r="M894" s="74"/>
      <c r="N894" s="74"/>
      <c r="S894" s="75"/>
      <c r="T894" s="145"/>
      <c r="U894" s="145"/>
      <c r="V894" s="145"/>
      <c r="W894" s="145"/>
      <c r="X894" s="145"/>
      <c r="Y894" s="145"/>
      <c r="Z894" s="145"/>
      <c r="AA894" s="145"/>
      <c r="AB894" s="145"/>
      <c r="AC894" s="145"/>
      <c r="AD894" s="145"/>
      <c r="AE894" s="145"/>
      <c r="AF894" s="145"/>
      <c r="AG894" s="145"/>
      <c r="AH894" s="145"/>
      <c r="AI894" s="145"/>
      <c r="AJ894" s="145"/>
      <c r="AK894" s="145"/>
      <c r="AL894" s="145"/>
      <c r="AM894" s="145"/>
      <c r="AN894" s="145"/>
      <c r="AO894" s="145"/>
      <c r="AP894" s="145"/>
      <c r="AQ894" s="145"/>
      <c r="AR894" s="145"/>
      <c r="AS894" s="145"/>
      <c r="AT894" s="124"/>
      <c r="AU894" s="124"/>
      <c r="AV894" s="124"/>
      <c r="AW894" s="124"/>
      <c r="AX894" s="124"/>
      <c r="AY894" s="124"/>
      <c r="AZ894" s="124"/>
      <c r="BA894" s="124"/>
      <c r="BB894" s="88"/>
      <c r="BC894" s="88"/>
      <c r="BD894" s="88"/>
      <c r="BE894" s="88"/>
      <c r="BF894" s="88"/>
      <c r="BG894" s="88"/>
      <c r="BH894" s="88"/>
      <c r="BI894" s="88"/>
      <c r="BJ894" s="88"/>
      <c r="BK894" s="88"/>
      <c r="BL894" s="88"/>
      <c r="BM894" s="88"/>
      <c r="BN894" s="88"/>
      <c r="BO894" s="88"/>
      <c r="BP894" s="88"/>
      <c r="BQ894" s="88"/>
      <c r="BR894" s="88"/>
      <c r="BS894" s="88"/>
    </row>
    <row r="895">
      <c r="J895" s="73"/>
      <c r="K895" s="74"/>
      <c r="L895" s="74"/>
      <c r="M895" s="74"/>
      <c r="N895" s="74"/>
      <c r="S895" s="75"/>
      <c r="T895" s="145"/>
      <c r="U895" s="145"/>
      <c r="V895" s="145"/>
      <c r="W895" s="145"/>
      <c r="X895" s="145"/>
      <c r="Y895" s="145"/>
      <c r="Z895" s="145"/>
      <c r="AA895" s="145"/>
      <c r="AB895" s="145"/>
      <c r="AC895" s="145"/>
      <c r="AD895" s="145"/>
      <c r="AE895" s="145"/>
      <c r="AF895" s="145"/>
      <c r="AG895" s="145"/>
      <c r="AH895" s="145"/>
      <c r="AI895" s="145"/>
      <c r="AJ895" s="145"/>
      <c r="AK895" s="145"/>
      <c r="AL895" s="145"/>
      <c r="AM895" s="145"/>
      <c r="AN895" s="145"/>
      <c r="AO895" s="145"/>
      <c r="AP895" s="145"/>
      <c r="AQ895" s="145"/>
      <c r="AR895" s="145"/>
      <c r="AS895" s="145"/>
      <c r="AT895" s="124"/>
      <c r="AU895" s="124"/>
      <c r="AV895" s="124"/>
      <c r="AW895" s="124"/>
      <c r="AX895" s="124"/>
      <c r="AY895" s="124"/>
      <c r="AZ895" s="124"/>
      <c r="BA895" s="124"/>
      <c r="BB895" s="88"/>
      <c r="BC895" s="88"/>
      <c r="BD895" s="88"/>
      <c r="BE895" s="88"/>
      <c r="BF895" s="88"/>
      <c r="BG895" s="88"/>
      <c r="BH895" s="88"/>
      <c r="BI895" s="88"/>
      <c r="BJ895" s="88"/>
      <c r="BK895" s="88"/>
      <c r="BL895" s="88"/>
      <c r="BM895" s="88"/>
      <c r="BN895" s="88"/>
      <c r="BO895" s="88"/>
      <c r="BP895" s="88"/>
      <c r="BQ895" s="88"/>
      <c r="BR895" s="88"/>
      <c r="BS895" s="88"/>
    </row>
    <row r="896">
      <c r="J896" s="73"/>
      <c r="K896" s="74"/>
      <c r="L896" s="74"/>
      <c r="M896" s="74"/>
      <c r="N896" s="74"/>
      <c r="S896" s="75"/>
      <c r="T896" s="145"/>
      <c r="U896" s="145"/>
      <c r="V896" s="145"/>
      <c r="W896" s="145"/>
      <c r="X896" s="145"/>
      <c r="Y896" s="145"/>
      <c r="Z896" s="145"/>
      <c r="AA896" s="145"/>
      <c r="AB896" s="145"/>
      <c r="AC896" s="145"/>
      <c r="AD896" s="145"/>
      <c r="AE896" s="145"/>
      <c r="AF896" s="145"/>
      <c r="AG896" s="145"/>
      <c r="AH896" s="145"/>
      <c r="AI896" s="145"/>
      <c r="AJ896" s="145"/>
      <c r="AK896" s="145"/>
      <c r="AL896" s="145"/>
      <c r="AM896" s="145"/>
      <c r="AN896" s="145"/>
      <c r="AO896" s="145"/>
      <c r="AP896" s="145"/>
      <c r="AQ896" s="145"/>
      <c r="AR896" s="145"/>
      <c r="AS896" s="145"/>
      <c r="AT896" s="124"/>
      <c r="AU896" s="124"/>
      <c r="AV896" s="124"/>
      <c r="AW896" s="124"/>
      <c r="AX896" s="124"/>
      <c r="AY896" s="124"/>
      <c r="AZ896" s="124"/>
      <c r="BA896" s="124"/>
      <c r="BB896" s="88"/>
      <c r="BC896" s="88"/>
      <c r="BD896" s="88"/>
      <c r="BE896" s="88"/>
      <c r="BF896" s="88"/>
      <c r="BG896" s="88"/>
      <c r="BH896" s="88"/>
      <c r="BI896" s="88"/>
      <c r="BJ896" s="88"/>
      <c r="BK896" s="88"/>
      <c r="BL896" s="88"/>
      <c r="BM896" s="88"/>
      <c r="BN896" s="88"/>
      <c r="BO896" s="88"/>
      <c r="BP896" s="88"/>
      <c r="BQ896" s="88"/>
      <c r="BR896" s="88"/>
      <c r="BS896" s="88"/>
    </row>
    <row r="897">
      <c r="J897" s="73"/>
      <c r="K897" s="74"/>
      <c r="L897" s="74"/>
      <c r="M897" s="74"/>
      <c r="N897" s="74"/>
      <c r="S897" s="75"/>
      <c r="T897" s="145"/>
      <c r="U897" s="145"/>
      <c r="V897" s="145"/>
      <c r="W897" s="145"/>
      <c r="X897" s="145"/>
      <c r="Y897" s="145"/>
      <c r="Z897" s="145"/>
      <c r="AA897" s="145"/>
      <c r="AB897" s="145"/>
      <c r="AC897" s="145"/>
      <c r="AD897" s="145"/>
      <c r="AE897" s="145"/>
      <c r="AF897" s="145"/>
      <c r="AG897" s="145"/>
      <c r="AH897" s="145"/>
      <c r="AI897" s="145"/>
      <c r="AJ897" s="145"/>
      <c r="AK897" s="145"/>
      <c r="AL897" s="145"/>
      <c r="AM897" s="145"/>
      <c r="AN897" s="145"/>
      <c r="AO897" s="145"/>
      <c r="AP897" s="145"/>
      <c r="AQ897" s="145"/>
      <c r="AR897" s="145"/>
      <c r="AS897" s="145"/>
      <c r="AT897" s="124"/>
      <c r="AU897" s="124"/>
      <c r="AV897" s="124"/>
      <c r="AW897" s="124"/>
      <c r="AX897" s="124"/>
      <c r="AY897" s="124"/>
      <c r="AZ897" s="124"/>
      <c r="BA897" s="124"/>
      <c r="BB897" s="88"/>
      <c r="BC897" s="88"/>
      <c r="BD897" s="88"/>
      <c r="BE897" s="88"/>
      <c r="BF897" s="88"/>
      <c r="BG897" s="88"/>
      <c r="BH897" s="88"/>
      <c r="BI897" s="88"/>
      <c r="BJ897" s="88"/>
      <c r="BK897" s="88"/>
      <c r="BL897" s="88"/>
      <c r="BM897" s="88"/>
      <c r="BN897" s="88"/>
      <c r="BO897" s="88"/>
      <c r="BP897" s="88"/>
      <c r="BQ897" s="88"/>
      <c r="BR897" s="88"/>
      <c r="BS897" s="88"/>
    </row>
    <row r="898">
      <c r="J898" s="73"/>
      <c r="K898" s="74"/>
      <c r="L898" s="74"/>
      <c r="M898" s="74"/>
      <c r="N898" s="74"/>
      <c r="S898" s="75"/>
      <c r="T898" s="145"/>
      <c r="U898" s="145"/>
      <c r="V898" s="145"/>
      <c r="W898" s="145"/>
      <c r="X898" s="145"/>
      <c r="Y898" s="145"/>
      <c r="Z898" s="145"/>
      <c r="AA898" s="145"/>
      <c r="AB898" s="145"/>
      <c r="AC898" s="145"/>
      <c r="AD898" s="145"/>
      <c r="AE898" s="145"/>
      <c r="AF898" s="145"/>
      <c r="AG898" s="145"/>
      <c r="AH898" s="145"/>
      <c r="AI898" s="145"/>
      <c r="AJ898" s="145"/>
      <c r="AK898" s="145"/>
      <c r="AL898" s="145"/>
      <c r="AM898" s="145"/>
      <c r="AN898" s="145"/>
      <c r="AO898" s="145"/>
      <c r="AP898" s="145"/>
      <c r="AQ898" s="145"/>
      <c r="AR898" s="145"/>
      <c r="AS898" s="145"/>
      <c r="AT898" s="124"/>
      <c r="AU898" s="124"/>
      <c r="AV898" s="124"/>
      <c r="AW898" s="124"/>
      <c r="AX898" s="124"/>
      <c r="AY898" s="124"/>
      <c r="AZ898" s="124"/>
      <c r="BA898" s="124"/>
      <c r="BB898" s="88"/>
      <c r="BC898" s="88"/>
      <c r="BD898" s="88"/>
      <c r="BE898" s="88"/>
      <c r="BF898" s="88"/>
      <c r="BG898" s="88"/>
      <c r="BH898" s="88"/>
      <c r="BI898" s="88"/>
      <c r="BJ898" s="88"/>
      <c r="BK898" s="88"/>
      <c r="BL898" s="88"/>
      <c r="BM898" s="88"/>
      <c r="BN898" s="88"/>
      <c r="BO898" s="88"/>
      <c r="BP898" s="88"/>
      <c r="BQ898" s="88"/>
      <c r="BR898" s="88"/>
      <c r="BS898" s="88"/>
    </row>
    <row r="899">
      <c r="J899" s="73"/>
      <c r="K899" s="74"/>
      <c r="L899" s="74"/>
      <c r="M899" s="74"/>
      <c r="N899" s="74"/>
      <c r="S899" s="75"/>
      <c r="T899" s="145"/>
      <c r="U899" s="145"/>
      <c r="V899" s="145"/>
      <c r="W899" s="145"/>
      <c r="X899" s="145"/>
      <c r="Y899" s="145"/>
      <c r="Z899" s="145"/>
      <c r="AA899" s="145"/>
      <c r="AB899" s="145"/>
      <c r="AC899" s="145"/>
      <c r="AD899" s="145"/>
      <c r="AE899" s="145"/>
      <c r="AF899" s="145"/>
      <c r="AG899" s="145"/>
      <c r="AH899" s="145"/>
      <c r="AI899" s="145"/>
      <c r="AJ899" s="145"/>
      <c r="AK899" s="145"/>
      <c r="AL899" s="145"/>
      <c r="AM899" s="145"/>
      <c r="AN899" s="145"/>
      <c r="AO899" s="145"/>
      <c r="AP899" s="145"/>
      <c r="AQ899" s="145"/>
      <c r="AR899" s="145"/>
      <c r="AS899" s="145"/>
      <c r="AT899" s="124"/>
      <c r="AU899" s="124"/>
      <c r="AV899" s="124"/>
      <c r="AW899" s="124"/>
      <c r="AX899" s="124"/>
      <c r="AY899" s="124"/>
      <c r="AZ899" s="124"/>
      <c r="BA899" s="124"/>
      <c r="BB899" s="88"/>
      <c r="BC899" s="88"/>
      <c r="BD899" s="88"/>
      <c r="BE899" s="88"/>
      <c r="BF899" s="88"/>
      <c r="BG899" s="88"/>
      <c r="BH899" s="88"/>
      <c r="BI899" s="88"/>
      <c r="BJ899" s="88"/>
      <c r="BK899" s="88"/>
      <c r="BL899" s="88"/>
      <c r="BM899" s="88"/>
      <c r="BN899" s="88"/>
      <c r="BO899" s="88"/>
      <c r="BP899" s="88"/>
      <c r="BQ899" s="88"/>
      <c r="BR899" s="88"/>
      <c r="BS899" s="88"/>
    </row>
    <row r="900">
      <c r="J900" s="73"/>
      <c r="K900" s="74"/>
      <c r="L900" s="74"/>
      <c r="M900" s="74"/>
      <c r="N900" s="74"/>
      <c r="S900" s="75"/>
      <c r="T900" s="145"/>
      <c r="U900" s="145"/>
      <c r="V900" s="145"/>
      <c r="W900" s="145"/>
      <c r="X900" s="145"/>
      <c r="Y900" s="145"/>
      <c r="Z900" s="145"/>
      <c r="AA900" s="145"/>
      <c r="AB900" s="145"/>
      <c r="AC900" s="145"/>
      <c r="AD900" s="145"/>
      <c r="AE900" s="145"/>
      <c r="AF900" s="145"/>
      <c r="AG900" s="145"/>
      <c r="AH900" s="145"/>
      <c r="AI900" s="145"/>
      <c r="AJ900" s="145"/>
      <c r="AK900" s="145"/>
      <c r="AL900" s="145"/>
      <c r="AM900" s="145"/>
      <c r="AN900" s="145"/>
      <c r="AO900" s="145"/>
      <c r="AP900" s="145"/>
      <c r="AQ900" s="145"/>
      <c r="AR900" s="145"/>
      <c r="AS900" s="145"/>
      <c r="AT900" s="124"/>
      <c r="AU900" s="124"/>
      <c r="AV900" s="124"/>
      <c r="AW900" s="124"/>
      <c r="AX900" s="124"/>
      <c r="AY900" s="124"/>
      <c r="AZ900" s="124"/>
      <c r="BA900" s="124"/>
      <c r="BB900" s="88"/>
      <c r="BC900" s="88"/>
      <c r="BD900" s="88"/>
      <c r="BE900" s="88"/>
      <c r="BF900" s="88"/>
      <c r="BG900" s="88"/>
      <c r="BH900" s="88"/>
      <c r="BI900" s="88"/>
      <c r="BJ900" s="88"/>
      <c r="BK900" s="88"/>
      <c r="BL900" s="88"/>
      <c r="BM900" s="88"/>
      <c r="BN900" s="88"/>
      <c r="BO900" s="88"/>
      <c r="BP900" s="88"/>
      <c r="BQ900" s="88"/>
      <c r="BR900" s="88"/>
      <c r="BS900" s="88"/>
    </row>
    <row r="901">
      <c r="J901" s="73"/>
      <c r="K901" s="74"/>
      <c r="L901" s="74"/>
      <c r="M901" s="74"/>
      <c r="N901" s="74"/>
      <c r="S901" s="75"/>
      <c r="T901" s="145"/>
      <c r="U901" s="145"/>
      <c r="V901" s="145"/>
      <c r="W901" s="145"/>
      <c r="X901" s="145"/>
      <c r="Y901" s="145"/>
      <c r="Z901" s="145"/>
      <c r="AA901" s="145"/>
      <c r="AB901" s="145"/>
      <c r="AC901" s="145"/>
      <c r="AD901" s="145"/>
      <c r="AE901" s="145"/>
      <c r="AF901" s="145"/>
      <c r="AG901" s="145"/>
      <c r="AH901" s="145"/>
      <c r="AI901" s="145"/>
      <c r="AJ901" s="145"/>
      <c r="AK901" s="145"/>
      <c r="AL901" s="145"/>
      <c r="AM901" s="145"/>
      <c r="AN901" s="145"/>
      <c r="AO901" s="145"/>
      <c r="AP901" s="145"/>
      <c r="AQ901" s="145"/>
      <c r="AR901" s="145"/>
      <c r="AS901" s="145"/>
      <c r="AT901" s="124"/>
      <c r="AU901" s="124"/>
      <c r="AV901" s="124"/>
      <c r="AW901" s="124"/>
      <c r="AX901" s="124"/>
      <c r="AY901" s="124"/>
      <c r="AZ901" s="124"/>
      <c r="BA901" s="124"/>
      <c r="BB901" s="88"/>
      <c r="BC901" s="88"/>
      <c r="BD901" s="88"/>
      <c r="BE901" s="88"/>
      <c r="BF901" s="88"/>
      <c r="BG901" s="88"/>
      <c r="BH901" s="88"/>
      <c r="BI901" s="88"/>
      <c r="BJ901" s="88"/>
      <c r="BK901" s="88"/>
      <c r="BL901" s="88"/>
      <c r="BM901" s="88"/>
      <c r="BN901" s="88"/>
      <c r="BO901" s="88"/>
      <c r="BP901" s="88"/>
      <c r="BQ901" s="88"/>
      <c r="BR901" s="88"/>
      <c r="BS901" s="88"/>
    </row>
    <row r="902">
      <c r="J902" s="73"/>
      <c r="K902" s="74"/>
      <c r="L902" s="74"/>
      <c r="M902" s="74"/>
      <c r="N902" s="74"/>
      <c r="S902" s="75"/>
      <c r="T902" s="145"/>
      <c r="U902" s="145"/>
      <c r="V902" s="145"/>
      <c r="W902" s="145"/>
      <c r="X902" s="145"/>
      <c r="Y902" s="145"/>
      <c r="Z902" s="145"/>
      <c r="AA902" s="145"/>
      <c r="AB902" s="145"/>
      <c r="AC902" s="145"/>
      <c r="AD902" s="145"/>
      <c r="AE902" s="145"/>
      <c r="AF902" s="145"/>
      <c r="AG902" s="145"/>
      <c r="AH902" s="145"/>
      <c r="AI902" s="145"/>
      <c r="AJ902" s="145"/>
      <c r="AK902" s="145"/>
      <c r="AL902" s="145"/>
      <c r="AM902" s="145"/>
      <c r="AN902" s="145"/>
      <c r="AO902" s="145"/>
      <c r="AP902" s="145"/>
      <c r="AQ902" s="145"/>
      <c r="AR902" s="145"/>
      <c r="AS902" s="145"/>
      <c r="AT902" s="124"/>
      <c r="AU902" s="124"/>
      <c r="AV902" s="124"/>
      <c r="AW902" s="124"/>
      <c r="AX902" s="124"/>
      <c r="AY902" s="124"/>
      <c r="AZ902" s="124"/>
      <c r="BA902" s="124"/>
      <c r="BB902" s="88"/>
      <c r="BC902" s="88"/>
      <c r="BD902" s="88"/>
      <c r="BE902" s="88"/>
      <c r="BF902" s="88"/>
      <c r="BG902" s="88"/>
      <c r="BH902" s="88"/>
      <c r="BI902" s="88"/>
      <c r="BJ902" s="88"/>
      <c r="BK902" s="88"/>
      <c r="BL902" s="88"/>
      <c r="BM902" s="88"/>
      <c r="BN902" s="88"/>
      <c r="BO902" s="88"/>
      <c r="BP902" s="88"/>
      <c r="BQ902" s="88"/>
      <c r="BR902" s="88"/>
      <c r="BS902" s="88"/>
    </row>
    <row r="903">
      <c r="J903" s="73"/>
      <c r="K903" s="74"/>
      <c r="L903" s="74"/>
      <c r="M903" s="74"/>
      <c r="N903" s="74"/>
      <c r="S903" s="75"/>
      <c r="T903" s="145"/>
      <c r="U903" s="145"/>
      <c r="V903" s="145"/>
      <c r="W903" s="145"/>
      <c r="X903" s="145"/>
      <c r="Y903" s="145"/>
      <c r="Z903" s="145"/>
      <c r="AA903" s="145"/>
      <c r="AB903" s="145"/>
      <c r="AC903" s="145"/>
      <c r="AD903" s="145"/>
      <c r="AE903" s="145"/>
      <c r="AF903" s="145"/>
      <c r="AG903" s="145"/>
      <c r="AH903" s="145"/>
      <c r="AI903" s="145"/>
      <c r="AJ903" s="145"/>
      <c r="AK903" s="145"/>
      <c r="AL903" s="145"/>
      <c r="AM903" s="145"/>
      <c r="AN903" s="145"/>
      <c r="AO903" s="145"/>
      <c r="AP903" s="145"/>
      <c r="AQ903" s="145"/>
      <c r="AR903" s="145"/>
      <c r="AS903" s="145"/>
      <c r="AT903" s="124"/>
      <c r="AU903" s="124"/>
      <c r="AV903" s="124"/>
      <c r="AW903" s="124"/>
      <c r="AX903" s="124"/>
      <c r="AY903" s="124"/>
      <c r="AZ903" s="124"/>
      <c r="BA903" s="124"/>
      <c r="BB903" s="88"/>
      <c r="BC903" s="88"/>
      <c r="BD903" s="88"/>
      <c r="BE903" s="88"/>
      <c r="BF903" s="88"/>
      <c r="BG903" s="88"/>
      <c r="BH903" s="88"/>
      <c r="BI903" s="88"/>
      <c r="BJ903" s="88"/>
      <c r="BK903" s="88"/>
      <c r="BL903" s="88"/>
      <c r="BM903" s="88"/>
      <c r="BN903" s="88"/>
      <c r="BO903" s="88"/>
      <c r="BP903" s="88"/>
      <c r="BQ903" s="88"/>
      <c r="BR903" s="88"/>
      <c r="BS903" s="88"/>
    </row>
    <row r="904">
      <c r="J904" s="73"/>
      <c r="K904" s="74"/>
      <c r="L904" s="74"/>
      <c r="M904" s="74"/>
      <c r="N904" s="74"/>
      <c r="S904" s="75"/>
      <c r="T904" s="145"/>
      <c r="U904" s="145"/>
      <c r="V904" s="145"/>
      <c r="W904" s="145"/>
      <c r="X904" s="145"/>
      <c r="Y904" s="145"/>
      <c r="Z904" s="145"/>
      <c r="AA904" s="145"/>
      <c r="AB904" s="145"/>
      <c r="AC904" s="145"/>
      <c r="AD904" s="145"/>
      <c r="AE904" s="145"/>
      <c r="AF904" s="145"/>
      <c r="AG904" s="145"/>
      <c r="AH904" s="145"/>
      <c r="AI904" s="145"/>
      <c r="AJ904" s="145"/>
      <c r="AK904" s="145"/>
      <c r="AL904" s="145"/>
      <c r="AM904" s="145"/>
      <c r="AN904" s="145"/>
      <c r="AO904" s="145"/>
      <c r="AP904" s="145"/>
      <c r="AQ904" s="145"/>
      <c r="AR904" s="145"/>
      <c r="AS904" s="145"/>
      <c r="AT904" s="124"/>
      <c r="AU904" s="124"/>
      <c r="AV904" s="124"/>
      <c r="AW904" s="124"/>
      <c r="AX904" s="124"/>
      <c r="AY904" s="124"/>
      <c r="AZ904" s="124"/>
      <c r="BA904" s="124"/>
      <c r="BB904" s="88"/>
      <c r="BC904" s="88"/>
      <c r="BD904" s="88"/>
      <c r="BE904" s="88"/>
      <c r="BF904" s="88"/>
      <c r="BG904" s="88"/>
      <c r="BH904" s="88"/>
      <c r="BI904" s="88"/>
      <c r="BJ904" s="88"/>
      <c r="BK904" s="88"/>
      <c r="BL904" s="88"/>
      <c r="BM904" s="88"/>
      <c r="BN904" s="88"/>
      <c r="BO904" s="88"/>
      <c r="BP904" s="88"/>
      <c r="BQ904" s="88"/>
      <c r="BR904" s="88"/>
      <c r="BS904" s="88"/>
    </row>
    <row r="905">
      <c r="J905" s="73"/>
      <c r="K905" s="74"/>
      <c r="L905" s="74"/>
      <c r="M905" s="74"/>
      <c r="N905" s="74"/>
      <c r="S905" s="75"/>
      <c r="T905" s="145"/>
      <c r="U905" s="145"/>
      <c r="V905" s="145"/>
      <c r="W905" s="145"/>
      <c r="X905" s="145"/>
      <c r="Y905" s="145"/>
      <c r="Z905" s="145"/>
      <c r="AA905" s="145"/>
      <c r="AB905" s="145"/>
      <c r="AC905" s="145"/>
      <c r="AD905" s="145"/>
      <c r="AE905" s="145"/>
      <c r="AF905" s="145"/>
      <c r="AG905" s="145"/>
      <c r="AH905" s="145"/>
      <c r="AI905" s="145"/>
      <c r="AJ905" s="145"/>
      <c r="AK905" s="145"/>
      <c r="AL905" s="145"/>
      <c r="AM905" s="145"/>
      <c r="AN905" s="145"/>
      <c r="AO905" s="145"/>
      <c r="AP905" s="145"/>
      <c r="AQ905" s="145"/>
      <c r="AR905" s="145"/>
      <c r="AS905" s="145"/>
      <c r="AT905" s="124"/>
      <c r="AU905" s="124"/>
      <c r="AV905" s="124"/>
      <c r="AW905" s="124"/>
      <c r="AX905" s="124"/>
      <c r="AY905" s="124"/>
      <c r="AZ905" s="124"/>
      <c r="BA905" s="124"/>
      <c r="BB905" s="88"/>
      <c r="BC905" s="88"/>
      <c r="BD905" s="88"/>
      <c r="BE905" s="88"/>
      <c r="BF905" s="88"/>
      <c r="BG905" s="88"/>
      <c r="BH905" s="88"/>
      <c r="BI905" s="88"/>
      <c r="BJ905" s="88"/>
      <c r="BK905" s="88"/>
      <c r="BL905" s="88"/>
      <c r="BM905" s="88"/>
      <c r="BN905" s="88"/>
      <c r="BO905" s="88"/>
      <c r="BP905" s="88"/>
      <c r="BQ905" s="88"/>
      <c r="BR905" s="88"/>
      <c r="BS905" s="88"/>
    </row>
    <row r="906">
      <c r="J906" s="73"/>
      <c r="K906" s="74"/>
      <c r="L906" s="74"/>
      <c r="M906" s="74"/>
      <c r="N906" s="74"/>
      <c r="S906" s="75"/>
      <c r="T906" s="145"/>
      <c r="U906" s="145"/>
      <c r="V906" s="145"/>
      <c r="W906" s="145"/>
      <c r="X906" s="145"/>
      <c r="Y906" s="145"/>
      <c r="Z906" s="145"/>
      <c r="AA906" s="145"/>
      <c r="AB906" s="145"/>
      <c r="AC906" s="145"/>
      <c r="AD906" s="145"/>
      <c r="AE906" s="145"/>
      <c r="AF906" s="145"/>
      <c r="AG906" s="145"/>
      <c r="AH906" s="145"/>
      <c r="AI906" s="145"/>
      <c r="AJ906" s="145"/>
      <c r="AK906" s="145"/>
      <c r="AL906" s="145"/>
      <c r="AM906" s="145"/>
      <c r="AN906" s="145"/>
      <c r="AO906" s="145"/>
      <c r="AP906" s="145"/>
      <c r="AQ906" s="145"/>
      <c r="AR906" s="145"/>
      <c r="AS906" s="145"/>
      <c r="AT906" s="124"/>
      <c r="AU906" s="124"/>
      <c r="AV906" s="124"/>
      <c r="AW906" s="124"/>
      <c r="AX906" s="124"/>
      <c r="AY906" s="124"/>
      <c r="AZ906" s="124"/>
      <c r="BA906" s="124"/>
      <c r="BB906" s="88"/>
      <c r="BC906" s="88"/>
      <c r="BD906" s="88"/>
      <c r="BE906" s="88"/>
      <c r="BF906" s="88"/>
      <c r="BG906" s="88"/>
      <c r="BH906" s="88"/>
      <c r="BI906" s="88"/>
      <c r="BJ906" s="88"/>
      <c r="BK906" s="88"/>
      <c r="BL906" s="88"/>
      <c r="BM906" s="88"/>
      <c r="BN906" s="88"/>
      <c r="BO906" s="88"/>
      <c r="BP906" s="88"/>
      <c r="BQ906" s="88"/>
      <c r="BR906" s="88"/>
      <c r="BS906" s="88"/>
    </row>
    <row r="907">
      <c r="J907" s="73"/>
      <c r="K907" s="74"/>
      <c r="L907" s="74"/>
      <c r="M907" s="74"/>
      <c r="N907" s="74"/>
      <c r="S907" s="75"/>
      <c r="T907" s="145"/>
      <c r="U907" s="145"/>
      <c r="V907" s="145"/>
      <c r="W907" s="145"/>
      <c r="X907" s="145"/>
      <c r="Y907" s="145"/>
      <c r="Z907" s="145"/>
      <c r="AA907" s="145"/>
      <c r="AB907" s="145"/>
      <c r="AC907" s="145"/>
      <c r="AD907" s="145"/>
      <c r="AE907" s="145"/>
      <c r="AF907" s="145"/>
      <c r="AG907" s="145"/>
      <c r="AH907" s="145"/>
      <c r="AI907" s="145"/>
      <c r="AJ907" s="145"/>
      <c r="AK907" s="145"/>
      <c r="AL907" s="145"/>
      <c r="AM907" s="145"/>
      <c r="AN907" s="145"/>
      <c r="AO907" s="145"/>
      <c r="AP907" s="145"/>
      <c r="AQ907" s="145"/>
      <c r="AR907" s="145"/>
      <c r="AS907" s="145"/>
      <c r="AT907" s="124"/>
      <c r="AU907" s="124"/>
      <c r="AV907" s="124"/>
      <c r="AW907" s="124"/>
      <c r="AX907" s="124"/>
      <c r="AY907" s="124"/>
      <c r="AZ907" s="124"/>
      <c r="BA907" s="124"/>
      <c r="BB907" s="88"/>
      <c r="BC907" s="88"/>
      <c r="BD907" s="88"/>
      <c r="BE907" s="88"/>
      <c r="BF907" s="88"/>
      <c r="BG907" s="88"/>
      <c r="BH907" s="88"/>
      <c r="BI907" s="88"/>
      <c r="BJ907" s="88"/>
      <c r="BK907" s="88"/>
      <c r="BL907" s="88"/>
      <c r="BM907" s="88"/>
      <c r="BN907" s="88"/>
      <c r="BO907" s="88"/>
      <c r="BP907" s="88"/>
      <c r="BQ907" s="88"/>
      <c r="BR907" s="88"/>
      <c r="BS907" s="88"/>
    </row>
    <row r="908">
      <c r="J908" s="73"/>
      <c r="K908" s="74"/>
      <c r="L908" s="74"/>
      <c r="M908" s="74"/>
      <c r="N908" s="74"/>
      <c r="S908" s="75"/>
      <c r="T908" s="145"/>
      <c r="U908" s="145"/>
      <c r="V908" s="145"/>
      <c r="W908" s="145"/>
      <c r="X908" s="145"/>
      <c r="Y908" s="145"/>
      <c r="Z908" s="145"/>
      <c r="AA908" s="145"/>
      <c r="AB908" s="145"/>
      <c r="AC908" s="145"/>
      <c r="AD908" s="145"/>
      <c r="AE908" s="145"/>
      <c r="AF908" s="145"/>
      <c r="AG908" s="145"/>
      <c r="AH908" s="145"/>
      <c r="AI908" s="145"/>
      <c r="AJ908" s="145"/>
      <c r="AK908" s="145"/>
      <c r="AL908" s="145"/>
      <c r="AM908" s="145"/>
      <c r="AN908" s="145"/>
      <c r="AO908" s="145"/>
      <c r="AP908" s="145"/>
      <c r="AQ908" s="145"/>
      <c r="AR908" s="145"/>
      <c r="AS908" s="145"/>
      <c r="AT908" s="124"/>
      <c r="AU908" s="124"/>
      <c r="AV908" s="124"/>
      <c r="AW908" s="124"/>
      <c r="AX908" s="124"/>
      <c r="AY908" s="124"/>
      <c r="AZ908" s="124"/>
      <c r="BA908" s="124"/>
      <c r="BB908" s="88"/>
      <c r="BC908" s="88"/>
      <c r="BD908" s="88"/>
      <c r="BE908" s="88"/>
      <c r="BF908" s="88"/>
      <c r="BG908" s="88"/>
      <c r="BH908" s="88"/>
      <c r="BI908" s="88"/>
      <c r="BJ908" s="88"/>
      <c r="BK908" s="88"/>
      <c r="BL908" s="88"/>
      <c r="BM908" s="88"/>
      <c r="BN908" s="88"/>
      <c r="BO908" s="88"/>
      <c r="BP908" s="88"/>
      <c r="BQ908" s="88"/>
      <c r="BR908" s="88"/>
      <c r="BS908" s="88"/>
    </row>
    <row r="909">
      <c r="J909" s="73"/>
      <c r="K909" s="74"/>
      <c r="L909" s="74"/>
      <c r="M909" s="74"/>
      <c r="N909" s="74"/>
      <c r="S909" s="75"/>
      <c r="T909" s="145"/>
      <c r="U909" s="145"/>
      <c r="V909" s="145"/>
      <c r="W909" s="145"/>
      <c r="X909" s="145"/>
      <c r="Y909" s="145"/>
      <c r="Z909" s="145"/>
      <c r="AA909" s="145"/>
      <c r="AB909" s="145"/>
      <c r="AC909" s="145"/>
      <c r="AD909" s="145"/>
      <c r="AE909" s="145"/>
      <c r="AF909" s="145"/>
      <c r="AG909" s="145"/>
      <c r="AH909" s="145"/>
      <c r="AI909" s="145"/>
      <c r="AJ909" s="145"/>
      <c r="AK909" s="145"/>
      <c r="AL909" s="145"/>
      <c r="AM909" s="145"/>
      <c r="AN909" s="145"/>
      <c r="AO909" s="145"/>
      <c r="AP909" s="145"/>
      <c r="AQ909" s="145"/>
      <c r="AR909" s="145"/>
      <c r="AS909" s="145"/>
      <c r="AT909" s="124"/>
      <c r="AU909" s="124"/>
      <c r="AV909" s="124"/>
      <c r="AW909" s="124"/>
      <c r="AX909" s="124"/>
      <c r="AY909" s="124"/>
      <c r="AZ909" s="124"/>
      <c r="BA909" s="124"/>
      <c r="BB909" s="88"/>
      <c r="BC909" s="88"/>
      <c r="BD909" s="88"/>
      <c r="BE909" s="88"/>
      <c r="BF909" s="88"/>
      <c r="BG909" s="88"/>
      <c r="BH909" s="88"/>
      <c r="BI909" s="88"/>
      <c r="BJ909" s="88"/>
      <c r="BK909" s="88"/>
      <c r="BL909" s="88"/>
      <c r="BM909" s="88"/>
      <c r="BN909" s="88"/>
      <c r="BO909" s="88"/>
      <c r="BP909" s="88"/>
      <c r="BQ909" s="88"/>
      <c r="BR909" s="88"/>
      <c r="BS909" s="88"/>
    </row>
    <row r="910">
      <c r="J910" s="73"/>
      <c r="K910" s="74"/>
      <c r="L910" s="74"/>
      <c r="M910" s="74"/>
      <c r="N910" s="74"/>
      <c r="S910" s="75"/>
      <c r="T910" s="145"/>
      <c r="U910" s="145"/>
      <c r="V910" s="145"/>
      <c r="W910" s="145"/>
      <c r="X910" s="145"/>
      <c r="Y910" s="145"/>
      <c r="Z910" s="145"/>
      <c r="AA910" s="145"/>
      <c r="AB910" s="145"/>
      <c r="AC910" s="145"/>
      <c r="AD910" s="145"/>
      <c r="AE910" s="145"/>
      <c r="AF910" s="145"/>
      <c r="AG910" s="145"/>
      <c r="AH910" s="145"/>
      <c r="AI910" s="145"/>
      <c r="AJ910" s="145"/>
      <c r="AK910" s="145"/>
      <c r="AL910" s="145"/>
      <c r="AM910" s="145"/>
      <c r="AN910" s="145"/>
      <c r="AO910" s="145"/>
      <c r="AP910" s="145"/>
      <c r="AQ910" s="145"/>
      <c r="AR910" s="145"/>
      <c r="AS910" s="145"/>
      <c r="AT910" s="124"/>
      <c r="AU910" s="124"/>
      <c r="AV910" s="124"/>
      <c r="AW910" s="124"/>
      <c r="AX910" s="124"/>
      <c r="AY910" s="124"/>
      <c r="AZ910" s="124"/>
      <c r="BA910" s="124"/>
      <c r="BB910" s="88"/>
      <c r="BC910" s="88"/>
      <c r="BD910" s="88"/>
      <c r="BE910" s="88"/>
      <c r="BF910" s="88"/>
      <c r="BG910" s="88"/>
      <c r="BH910" s="88"/>
      <c r="BI910" s="88"/>
      <c r="BJ910" s="88"/>
      <c r="BK910" s="88"/>
      <c r="BL910" s="88"/>
      <c r="BM910" s="88"/>
      <c r="BN910" s="88"/>
      <c r="BO910" s="88"/>
      <c r="BP910" s="88"/>
      <c r="BQ910" s="88"/>
      <c r="BR910" s="88"/>
      <c r="BS910" s="88"/>
    </row>
    <row r="911">
      <c r="J911" s="73"/>
      <c r="K911" s="74"/>
      <c r="L911" s="74"/>
      <c r="M911" s="74"/>
      <c r="N911" s="74"/>
      <c r="S911" s="75"/>
      <c r="T911" s="145"/>
      <c r="U911" s="145"/>
      <c r="V911" s="145"/>
      <c r="W911" s="145"/>
      <c r="X911" s="145"/>
      <c r="Y911" s="145"/>
      <c r="Z911" s="145"/>
      <c r="AA911" s="145"/>
      <c r="AB911" s="145"/>
      <c r="AC911" s="145"/>
      <c r="AD911" s="145"/>
      <c r="AE911" s="145"/>
      <c r="AF911" s="145"/>
      <c r="AG911" s="145"/>
      <c r="AH911" s="145"/>
      <c r="AI911" s="145"/>
      <c r="AJ911" s="145"/>
      <c r="AK911" s="145"/>
      <c r="AL911" s="145"/>
      <c r="AM911" s="145"/>
      <c r="AN911" s="145"/>
      <c r="AO911" s="145"/>
      <c r="AP911" s="145"/>
      <c r="AQ911" s="145"/>
      <c r="AR911" s="145"/>
      <c r="AS911" s="145"/>
      <c r="AT911" s="124"/>
      <c r="AU911" s="124"/>
      <c r="AV911" s="124"/>
      <c r="AW911" s="124"/>
      <c r="AX911" s="124"/>
      <c r="AY911" s="124"/>
      <c r="AZ911" s="124"/>
      <c r="BA911" s="124"/>
      <c r="BB911" s="88"/>
      <c r="BC911" s="88"/>
      <c r="BD911" s="88"/>
      <c r="BE911" s="88"/>
      <c r="BF911" s="88"/>
      <c r="BG911" s="88"/>
      <c r="BH911" s="88"/>
      <c r="BI911" s="88"/>
      <c r="BJ911" s="88"/>
      <c r="BK911" s="88"/>
      <c r="BL911" s="88"/>
      <c r="BM911" s="88"/>
      <c r="BN911" s="88"/>
      <c r="BO911" s="88"/>
      <c r="BP911" s="88"/>
      <c r="BQ911" s="88"/>
      <c r="BR911" s="88"/>
      <c r="BS911" s="88"/>
    </row>
    <row r="912">
      <c r="J912" s="73"/>
      <c r="K912" s="74"/>
      <c r="L912" s="74"/>
      <c r="M912" s="74"/>
      <c r="N912" s="74"/>
      <c r="S912" s="75"/>
      <c r="T912" s="145"/>
      <c r="U912" s="145"/>
      <c r="V912" s="145"/>
      <c r="W912" s="145"/>
      <c r="X912" s="145"/>
      <c r="Y912" s="145"/>
      <c r="Z912" s="145"/>
      <c r="AA912" s="145"/>
      <c r="AB912" s="145"/>
      <c r="AC912" s="145"/>
      <c r="AD912" s="145"/>
      <c r="AE912" s="145"/>
      <c r="AF912" s="145"/>
      <c r="AG912" s="145"/>
      <c r="AH912" s="145"/>
      <c r="AI912" s="145"/>
      <c r="AJ912" s="145"/>
      <c r="AK912" s="145"/>
      <c r="AL912" s="145"/>
      <c r="AM912" s="145"/>
      <c r="AN912" s="145"/>
      <c r="AO912" s="145"/>
      <c r="AP912" s="145"/>
      <c r="AQ912" s="145"/>
      <c r="AR912" s="145"/>
      <c r="AS912" s="145"/>
      <c r="AT912" s="124"/>
      <c r="AU912" s="124"/>
      <c r="AV912" s="124"/>
      <c r="AW912" s="124"/>
      <c r="AX912" s="124"/>
      <c r="AY912" s="124"/>
      <c r="AZ912" s="124"/>
      <c r="BA912" s="124"/>
      <c r="BB912" s="88"/>
      <c r="BC912" s="88"/>
      <c r="BD912" s="88"/>
      <c r="BE912" s="88"/>
      <c r="BF912" s="88"/>
      <c r="BG912" s="88"/>
      <c r="BH912" s="88"/>
      <c r="BI912" s="88"/>
      <c r="BJ912" s="88"/>
      <c r="BK912" s="88"/>
      <c r="BL912" s="88"/>
      <c r="BM912" s="88"/>
      <c r="BN912" s="88"/>
      <c r="BO912" s="88"/>
      <c r="BP912" s="88"/>
      <c r="BQ912" s="88"/>
      <c r="BR912" s="88"/>
      <c r="BS912" s="88"/>
    </row>
    <row r="913">
      <c r="J913" s="73"/>
      <c r="K913" s="74"/>
      <c r="L913" s="74"/>
      <c r="M913" s="74"/>
      <c r="N913" s="74"/>
      <c r="S913" s="75"/>
      <c r="T913" s="145"/>
      <c r="U913" s="145"/>
      <c r="V913" s="145"/>
      <c r="W913" s="145"/>
      <c r="X913" s="145"/>
      <c r="Y913" s="145"/>
      <c r="Z913" s="145"/>
      <c r="AA913" s="145"/>
      <c r="AB913" s="145"/>
      <c r="AC913" s="145"/>
      <c r="AD913" s="145"/>
      <c r="AE913" s="145"/>
      <c r="AF913" s="145"/>
      <c r="AG913" s="145"/>
      <c r="AH913" s="145"/>
      <c r="AI913" s="145"/>
      <c r="AJ913" s="145"/>
      <c r="AK913" s="145"/>
      <c r="AL913" s="145"/>
      <c r="AM913" s="145"/>
      <c r="AN913" s="145"/>
      <c r="AO913" s="145"/>
      <c r="AP913" s="145"/>
      <c r="AQ913" s="145"/>
      <c r="AR913" s="145"/>
      <c r="AS913" s="145"/>
      <c r="AT913" s="124"/>
      <c r="AU913" s="124"/>
      <c r="AV913" s="124"/>
      <c r="AW913" s="124"/>
      <c r="AX913" s="124"/>
      <c r="AY913" s="124"/>
      <c r="AZ913" s="124"/>
      <c r="BA913" s="124"/>
      <c r="BB913" s="88"/>
      <c r="BC913" s="88"/>
      <c r="BD913" s="88"/>
      <c r="BE913" s="88"/>
      <c r="BF913" s="88"/>
      <c r="BG913" s="88"/>
      <c r="BH913" s="88"/>
      <c r="BI913" s="88"/>
      <c r="BJ913" s="88"/>
      <c r="BK913" s="88"/>
      <c r="BL913" s="88"/>
      <c r="BM913" s="88"/>
      <c r="BN913" s="88"/>
      <c r="BO913" s="88"/>
      <c r="BP913" s="88"/>
      <c r="BQ913" s="88"/>
      <c r="BR913" s="88"/>
      <c r="BS913" s="88"/>
    </row>
    <row r="914">
      <c r="J914" s="73"/>
      <c r="K914" s="74"/>
      <c r="L914" s="74"/>
      <c r="M914" s="74"/>
      <c r="N914" s="74"/>
      <c r="S914" s="75"/>
      <c r="T914" s="145"/>
      <c r="U914" s="145"/>
      <c r="V914" s="145"/>
      <c r="W914" s="145"/>
      <c r="X914" s="145"/>
      <c r="Y914" s="145"/>
      <c r="Z914" s="145"/>
      <c r="AA914" s="145"/>
      <c r="AB914" s="145"/>
      <c r="AC914" s="145"/>
      <c r="AD914" s="145"/>
      <c r="AE914" s="145"/>
      <c r="AF914" s="145"/>
      <c r="AG914" s="145"/>
      <c r="AH914" s="145"/>
      <c r="AI914" s="145"/>
      <c r="AJ914" s="145"/>
      <c r="AK914" s="145"/>
      <c r="AL914" s="145"/>
      <c r="AM914" s="145"/>
      <c r="AN914" s="145"/>
      <c r="AO914" s="145"/>
      <c r="AP914" s="145"/>
      <c r="AQ914" s="145"/>
      <c r="AR914" s="145"/>
      <c r="AS914" s="145"/>
      <c r="AT914" s="124"/>
      <c r="AU914" s="124"/>
      <c r="AV914" s="124"/>
      <c r="AW914" s="124"/>
      <c r="AX914" s="124"/>
      <c r="AY914" s="124"/>
      <c r="AZ914" s="124"/>
      <c r="BA914" s="124"/>
      <c r="BB914" s="88"/>
      <c r="BC914" s="88"/>
      <c r="BD914" s="88"/>
      <c r="BE914" s="88"/>
      <c r="BF914" s="88"/>
      <c r="BG914" s="88"/>
      <c r="BH914" s="88"/>
      <c r="BI914" s="88"/>
      <c r="BJ914" s="88"/>
      <c r="BK914" s="88"/>
      <c r="BL914" s="88"/>
      <c r="BM914" s="88"/>
      <c r="BN914" s="88"/>
      <c r="BO914" s="88"/>
      <c r="BP914" s="88"/>
      <c r="BQ914" s="88"/>
      <c r="BR914" s="88"/>
      <c r="BS914" s="88"/>
    </row>
    <row r="915">
      <c r="J915" s="73"/>
      <c r="K915" s="74"/>
      <c r="L915" s="74"/>
      <c r="M915" s="74"/>
      <c r="N915" s="74"/>
      <c r="S915" s="75"/>
      <c r="T915" s="145"/>
      <c r="U915" s="145"/>
      <c r="V915" s="145"/>
      <c r="W915" s="145"/>
      <c r="X915" s="145"/>
      <c r="Y915" s="145"/>
      <c r="Z915" s="145"/>
      <c r="AA915" s="145"/>
      <c r="AB915" s="145"/>
      <c r="AC915" s="145"/>
      <c r="AD915" s="145"/>
      <c r="AE915" s="145"/>
      <c r="AF915" s="145"/>
      <c r="AG915" s="145"/>
      <c r="AH915" s="145"/>
      <c r="AI915" s="145"/>
      <c r="AJ915" s="145"/>
      <c r="AK915" s="145"/>
      <c r="AL915" s="145"/>
      <c r="AM915" s="145"/>
      <c r="AN915" s="145"/>
      <c r="AO915" s="145"/>
      <c r="AP915" s="145"/>
      <c r="AQ915" s="145"/>
      <c r="AR915" s="145"/>
      <c r="AS915" s="145"/>
      <c r="AT915" s="124"/>
      <c r="AU915" s="124"/>
      <c r="AV915" s="124"/>
      <c r="AW915" s="124"/>
      <c r="AX915" s="124"/>
      <c r="AY915" s="124"/>
      <c r="AZ915" s="124"/>
      <c r="BA915" s="124"/>
      <c r="BB915" s="88"/>
      <c r="BC915" s="88"/>
      <c r="BD915" s="88"/>
      <c r="BE915" s="88"/>
      <c r="BF915" s="88"/>
      <c r="BG915" s="88"/>
      <c r="BH915" s="88"/>
      <c r="BI915" s="88"/>
      <c r="BJ915" s="88"/>
      <c r="BK915" s="88"/>
      <c r="BL915" s="88"/>
      <c r="BM915" s="88"/>
      <c r="BN915" s="88"/>
      <c r="BO915" s="88"/>
      <c r="BP915" s="88"/>
      <c r="BQ915" s="88"/>
      <c r="BR915" s="88"/>
      <c r="BS915" s="88"/>
    </row>
    <row r="916">
      <c r="J916" s="73"/>
      <c r="K916" s="74"/>
      <c r="L916" s="74"/>
      <c r="M916" s="74"/>
      <c r="N916" s="74"/>
      <c r="S916" s="75"/>
      <c r="T916" s="145"/>
      <c r="U916" s="145"/>
      <c r="V916" s="145"/>
      <c r="W916" s="145"/>
      <c r="X916" s="145"/>
      <c r="Y916" s="145"/>
      <c r="Z916" s="145"/>
      <c r="AA916" s="145"/>
      <c r="AB916" s="145"/>
      <c r="AC916" s="145"/>
      <c r="AD916" s="145"/>
      <c r="AE916" s="145"/>
      <c r="AF916" s="145"/>
      <c r="AG916" s="145"/>
      <c r="AH916" s="145"/>
      <c r="AI916" s="145"/>
      <c r="AJ916" s="145"/>
      <c r="AK916" s="145"/>
      <c r="AL916" s="145"/>
      <c r="AM916" s="145"/>
      <c r="AN916" s="145"/>
      <c r="AO916" s="145"/>
      <c r="AP916" s="145"/>
      <c r="AQ916" s="145"/>
      <c r="AR916" s="145"/>
      <c r="AS916" s="145"/>
      <c r="AT916" s="124"/>
      <c r="AU916" s="124"/>
      <c r="AV916" s="124"/>
      <c r="AW916" s="124"/>
      <c r="AX916" s="124"/>
      <c r="AY916" s="124"/>
      <c r="AZ916" s="124"/>
      <c r="BA916" s="124"/>
      <c r="BB916" s="88"/>
      <c r="BC916" s="88"/>
      <c r="BD916" s="88"/>
      <c r="BE916" s="88"/>
      <c r="BF916" s="88"/>
      <c r="BG916" s="88"/>
      <c r="BH916" s="88"/>
      <c r="BI916" s="88"/>
      <c r="BJ916" s="88"/>
      <c r="BK916" s="88"/>
      <c r="BL916" s="88"/>
      <c r="BM916" s="88"/>
      <c r="BN916" s="88"/>
      <c r="BO916" s="88"/>
      <c r="BP916" s="88"/>
      <c r="BQ916" s="88"/>
      <c r="BR916" s="88"/>
      <c r="BS916" s="88"/>
    </row>
    <row r="917">
      <c r="J917" s="73"/>
      <c r="K917" s="74"/>
      <c r="L917" s="74"/>
      <c r="M917" s="74"/>
      <c r="N917" s="74"/>
      <c r="S917" s="75"/>
      <c r="T917" s="145"/>
      <c r="U917" s="145"/>
      <c r="V917" s="145"/>
      <c r="W917" s="145"/>
      <c r="X917" s="145"/>
      <c r="Y917" s="145"/>
      <c r="Z917" s="145"/>
      <c r="AA917" s="145"/>
      <c r="AB917" s="145"/>
      <c r="AC917" s="145"/>
      <c r="AD917" s="145"/>
      <c r="AE917" s="145"/>
      <c r="AF917" s="145"/>
      <c r="AG917" s="145"/>
      <c r="AH917" s="145"/>
      <c r="AI917" s="145"/>
      <c r="AJ917" s="145"/>
      <c r="AK917" s="145"/>
      <c r="AL917" s="145"/>
      <c r="AM917" s="145"/>
      <c r="AN917" s="145"/>
      <c r="AO917" s="145"/>
      <c r="AP917" s="145"/>
      <c r="AQ917" s="145"/>
      <c r="AR917" s="145"/>
      <c r="AS917" s="145"/>
      <c r="AT917" s="124"/>
      <c r="AU917" s="124"/>
      <c r="AV917" s="124"/>
      <c r="AW917" s="124"/>
      <c r="AX917" s="124"/>
      <c r="AY917" s="124"/>
      <c r="AZ917" s="124"/>
      <c r="BA917" s="124"/>
      <c r="BB917" s="88"/>
      <c r="BC917" s="88"/>
      <c r="BD917" s="88"/>
      <c r="BE917" s="88"/>
      <c r="BF917" s="88"/>
      <c r="BG917" s="88"/>
      <c r="BH917" s="88"/>
      <c r="BI917" s="88"/>
      <c r="BJ917" s="88"/>
      <c r="BK917" s="88"/>
      <c r="BL917" s="88"/>
      <c r="BM917" s="88"/>
      <c r="BN917" s="88"/>
      <c r="BO917" s="88"/>
      <c r="BP917" s="88"/>
      <c r="BQ917" s="88"/>
      <c r="BR917" s="88"/>
      <c r="BS917" s="88"/>
    </row>
    <row r="918">
      <c r="J918" s="73"/>
      <c r="K918" s="74"/>
      <c r="L918" s="74"/>
      <c r="M918" s="74"/>
      <c r="N918" s="74"/>
      <c r="S918" s="75"/>
      <c r="T918" s="145"/>
      <c r="U918" s="145"/>
      <c r="V918" s="145"/>
      <c r="W918" s="145"/>
      <c r="X918" s="145"/>
      <c r="Y918" s="145"/>
      <c r="Z918" s="145"/>
      <c r="AA918" s="145"/>
      <c r="AB918" s="145"/>
      <c r="AC918" s="145"/>
      <c r="AD918" s="145"/>
      <c r="AE918" s="145"/>
      <c r="AF918" s="145"/>
      <c r="AG918" s="145"/>
      <c r="AH918" s="145"/>
      <c r="AI918" s="145"/>
      <c r="AJ918" s="145"/>
      <c r="AK918" s="145"/>
      <c r="AL918" s="145"/>
      <c r="AM918" s="145"/>
      <c r="AN918" s="145"/>
      <c r="AO918" s="145"/>
      <c r="AP918" s="145"/>
      <c r="AQ918" s="145"/>
      <c r="AR918" s="145"/>
      <c r="AS918" s="145"/>
      <c r="AT918" s="124"/>
      <c r="AU918" s="124"/>
      <c r="AV918" s="124"/>
      <c r="AW918" s="124"/>
      <c r="AX918" s="124"/>
      <c r="AY918" s="124"/>
      <c r="AZ918" s="124"/>
      <c r="BA918" s="124"/>
      <c r="BB918" s="88"/>
      <c r="BC918" s="88"/>
      <c r="BD918" s="88"/>
      <c r="BE918" s="88"/>
      <c r="BF918" s="88"/>
      <c r="BG918" s="88"/>
      <c r="BH918" s="88"/>
      <c r="BI918" s="88"/>
      <c r="BJ918" s="88"/>
      <c r="BK918" s="88"/>
      <c r="BL918" s="88"/>
      <c r="BM918" s="88"/>
      <c r="BN918" s="88"/>
      <c r="BO918" s="88"/>
      <c r="BP918" s="88"/>
      <c r="BQ918" s="88"/>
      <c r="BR918" s="88"/>
      <c r="BS918" s="88"/>
    </row>
    <row r="919">
      <c r="J919" s="73"/>
      <c r="K919" s="74"/>
      <c r="L919" s="74"/>
      <c r="M919" s="74"/>
      <c r="N919" s="74"/>
      <c r="S919" s="75"/>
      <c r="T919" s="145"/>
      <c r="U919" s="145"/>
      <c r="V919" s="145"/>
      <c r="W919" s="145"/>
      <c r="X919" s="145"/>
      <c r="Y919" s="145"/>
      <c r="Z919" s="145"/>
      <c r="AA919" s="145"/>
      <c r="AB919" s="145"/>
      <c r="AC919" s="145"/>
      <c r="AD919" s="145"/>
      <c r="AE919" s="145"/>
      <c r="AF919" s="145"/>
      <c r="AG919" s="145"/>
      <c r="AH919" s="145"/>
      <c r="AI919" s="145"/>
      <c r="AJ919" s="145"/>
      <c r="AK919" s="145"/>
      <c r="AL919" s="145"/>
      <c r="AM919" s="145"/>
      <c r="AN919" s="145"/>
      <c r="AO919" s="145"/>
      <c r="AP919" s="145"/>
      <c r="AQ919" s="145"/>
      <c r="AR919" s="145"/>
      <c r="AS919" s="145"/>
      <c r="AT919" s="124"/>
      <c r="AU919" s="124"/>
      <c r="AV919" s="124"/>
      <c r="AW919" s="124"/>
      <c r="AX919" s="124"/>
      <c r="AY919" s="124"/>
      <c r="AZ919" s="124"/>
      <c r="BA919" s="124"/>
      <c r="BB919" s="88"/>
      <c r="BC919" s="88"/>
      <c r="BD919" s="88"/>
      <c r="BE919" s="88"/>
      <c r="BF919" s="88"/>
      <c r="BG919" s="88"/>
      <c r="BH919" s="88"/>
      <c r="BI919" s="88"/>
      <c r="BJ919" s="88"/>
      <c r="BK919" s="88"/>
      <c r="BL919" s="88"/>
      <c r="BM919" s="88"/>
      <c r="BN919" s="88"/>
      <c r="BO919" s="88"/>
      <c r="BP919" s="88"/>
      <c r="BQ919" s="88"/>
      <c r="BR919" s="88"/>
      <c r="BS919" s="88"/>
    </row>
  </sheetData>
  <mergeCells count="1">
    <mergeCell ref="H6:I6"/>
  </mergeCells>
  <dataValidations>
    <dataValidation type="list" allowBlank="1" sqref="E19:E41">
      <formula1>"Maior,Menor"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9.5"/>
    <col customWidth="1" min="6" max="6" width="16.88"/>
    <col customWidth="1" min="12" max="12" width="27.75"/>
    <col customWidth="1" min="13" max="13" width="27.0"/>
  </cols>
  <sheetData>
    <row r="1" ht="18.75" customHeight="1">
      <c r="A1" s="146" t="s">
        <v>246</v>
      </c>
      <c r="B1" s="146" t="s">
        <v>247</v>
      </c>
      <c r="C1" s="146" t="s">
        <v>8</v>
      </c>
      <c r="D1" s="146" t="s">
        <v>9</v>
      </c>
      <c r="E1" s="146" t="s">
        <v>10</v>
      </c>
      <c r="F1" s="146" t="s">
        <v>248</v>
      </c>
      <c r="G1" s="146" t="s">
        <v>249</v>
      </c>
      <c r="H1" s="146" t="s">
        <v>250</v>
      </c>
      <c r="I1" s="146" t="s">
        <v>251</v>
      </c>
      <c r="J1" s="146" t="s">
        <v>252</v>
      </c>
      <c r="K1" s="146" t="s">
        <v>253</v>
      </c>
      <c r="L1" s="146" t="s">
        <v>254</v>
      </c>
      <c r="M1" s="146" t="s">
        <v>255</v>
      </c>
      <c r="N1" s="146" t="s">
        <v>256</v>
      </c>
      <c r="O1" s="146" t="s">
        <v>257</v>
      </c>
      <c r="P1" s="146" t="s">
        <v>258</v>
      </c>
      <c r="Q1" s="146" t="s">
        <v>259</v>
      </c>
      <c r="R1" s="146" t="s">
        <v>260</v>
      </c>
      <c r="S1" s="146" t="s">
        <v>261</v>
      </c>
      <c r="T1" s="146" t="s">
        <v>262</v>
      </c>
      <c r="U1" s="146" t="s">
        <v>263</v>
      </c>
      <c r="V1" s="146" t="s">
        <v>27</v>
      </c>
      <c r="W1" s="146" t="s">
        <v>28</v>
      </c>
      <c r="X1" s="147" t="s">
        <v>29</v>
      </c>
      <c r="Y1" s="148"/>
      <c r="Z1" s="148"/>
    </row>
    <row r="2">
      <c r="A2" s="126" t="s">
        <v>65</v>
      </c>
      <c r="B2" s="126" t="s">
        <v>264</v>
      </c>
      <c r="C2" s="126" t="s">
        <v>265</v>
      </c>
      <c r="D2" s="126" t="s">
        <v>266</v>
      </c>
      <c r="E2" s="126" t="s">
        <v>267</v>
      </c>
      <c r="F2" s="126" t="s">
        <v>268</v>
      </c>
      <c r="G2" s="126" t="s">
        <v>269</v>
      </c>
      <c r="H2" s="126">
        <v>0.7</v>
      </c>
      <c r="I2" s="126" t="s">
        <v>270</v>
      </c>
      <c r="J2" s="126" t="s">
        <v>271</v>
      </c>
      <c r="K2" s="126" t="s">
        <v>272</v>
      </c>
      <c r="L2" s="126" t="s">
        <v>273</v>
      </c>
      <c r="M2" s="126" t="s">
        <v>274</v>
      </c>
      <c r="N2" s="149">
        <v>44964.0</v>
      </c>
      <c r="O2" s="150">
        <v>0.0977</v>
      </c>
      <c r="P2" s="150">
        <v>0.0932</v>
      </c>
      <c r="Q2" s="149">
        <v>38058.0</v>
      </c>
      <c r="R2" s="126" t="s">
        <v>275</v>
      </c>
      <c r="S2" s="150">
        <v>-0.0986</v>
      </c>
      <c r="T2" s="150">
        <v>0.03</v>
      </c>
      <c r="U2" s="126" t="s">
        <v>276</v>
      </c>
      <c r="V2" s="150">
        <v>0.0</v>
      </c>
      <c r="W2" s="126" t="s">
        <v>277</v>
      </c>
      <c r="X2" s="151">
        <v>19308.0</v>
      </c>
      <c r="Y2" s="115"/>
      <c r="Z2" s="115"/>
    </row>
    <row r="3">
      <c r="A3" s="126" t="s">
        <v>209</v>
      </c>
      <c r="B3" s="126" t="s">
        <v>278</v>
      </c>
      <c r="C3" s="126" t="s">
        <v>279</v>
      </c>
      <c r="D3" s="126" t="s">
        <v>280</v>
      </c>
      <c r="E3" s="126" t="s">
        <v>281</v>
      </c>
      <c r="F3" s="126" t="s">
        <v>282</v>
      </c>
      <c r="G3" s="126" t="s">
        <v>283</v>
      </c>
      <c r="H3" s="126">
        <v>1.0</v>
      </c>
      <c r="I3" s="126" t="s">
        <v>276</v>
      </c>
      <c r="J3" s="126" t="s">
        <v>276</v>
      </c>
      <c r="K3" s="126" t="s">
        <v>284</v>
      </c>
      <c r="M3" s="126" t="s">
        <v>285</v>
      </c>
      <c r="N3" s="149">
        <v>44980.0</v>
      </c>
      <c r="O3" s="150">
        <v>0.1417</v>
      </c>
      <c r="P3" s="150">
        <v>0.1502</v>
      </c>
      <c r="Q3" s="149">
        <v>44291.0</v>
      </c>
      <c r="R3" s="126" t="s">
        <v>286</v>
      </c>
      <c r="S3" s="150">
        <v>-0.0044</v>
      </c>
      <c r="T3" s="126" t="s">
        <v>276</v>
      </c>
      <c r="U3" s="126" t="s">
        <v>276</v>
      </c>
      <c r="V3" s="150">
        <v>0.0026</v>
      </c>
      <c r="W3" s="126" t="s">
        <v>287</v>
      </c>
      <c r="X3" s="151">
        <v>18753.0</v>
      </c>
      <c r="Y3" s="115"/>
      <c r="Z3" s="115"/>
    </row>
    <row r="4">
      <c r="A4" s="126" t="s">
        <v>288</v>
      </c>
      <c r="B4" s="126" t="s">
        <v>289</v>
      </c>
      <c r="C4" s="126" t="s">
        <v>290</v>
      </c>
      <c r="D4" s="126" t="s">
        <v>291</v>
      </c>
      <c r="E4" s="126" t="s">
        <v>292</v>
      </c>
      <c r="F4" s="126" t="s">
        <v>293</v>
      </c>
      <c r="G4" s="126" t="s">
        <v>294</v>
      </c>
      <c r="H4" s="126">
        <v>1.01</v>
      </c>
      <c r="I4" s="126" t="s">
        <v>276</v>
      </c>
      <c r="J4" s="126" t="s">
        <v>276</v>
      </c>
      <c r="K4" s="126" t="s">
        <v>295</v>
      </c>
      <c r="L4" s="126"/>
      <c r="M4" s="126" t="s">
        <v>285</v>
      </c>
      <c r="N4" s="149">
        <v>44971.0</v>
      </c>
      <c r="O4" s="150">
        <v>0.199</v>
      </c>
      <c r="P4" s="150">
        <v>0.0667</v>
      </c>
      <c r="Q4" s="149">
        <v>44777.0</v>
      </c>
      <c r="R4" s="126" t="s">
        <v>296</v>
      </c>
      <c r="S4" s="150">
        <v>0.0224</v>
      </c>
      <c r="T4" s="126" t="s">
        <v>276</v>
      </c>
      <c r="U4" s="126" t="s">
        <v>276</v>
      </c>
      <c r="V4" s="150">
        <v>0.0</v>
      </c>
      <c r="W4" s="126" t="s">
        <v>297</v>
      </c>
      <c r="X4" s="151">
        <v>1315.0</v>
      </c>
      <c r="Y4" s="115"/>
      <c r="Z4" s="115"/>
    </row>
    <row r="5">
      <c r="A5" s="126" t="s">
        <v>112</v>
      </c>
      <c r="B5" s="126" t="s">
        <v>298</v>
      </c>
      <c r="C5" s="126" t="s">
        <v>299</v>
      </c>
      <c r="D5" s="126" t="s">
        <v>300</v>
      </c>
      <c r="E5" s="126" t="s">
        <v>301</v>
      </c>
      <c r="F5" s="126" t="s">
        <v>302</v>
      </c>
      <c r="G5" s="126" t="s">
        <v>303</v>
      </c>
      <c r="H5" s="126">
        <v>0.66</v>
      </c>
      <c r="I5" s="126" t="s">
        <v>304</v>
      </c>
      <c r="J5" s="126" t="s">
        <v>305</v>
      </c>
      <c r="K5" s="126" t="s">
        <v>306</v>
      </c>
      <c r="L5" s="126" t="s">
        <v>307</v>
      </c>
      <c r="M5" s="126" t="s">
        <v>308</v>
      </c>
      <c r="N5" s="149">
        <v>44965.0</v>
      </c>
      <c r="O5" s="150">
        <v>0.0354</v>
      </c>
      <c r="P5" s="150">
        <v>0.1514</v>
      </c>
      <c r="Q5" s="149">
        <v>44076.0</v>
      </c>
      <c r="R5" s="126" t="s">
        <v>286</v>
      </c>
      <c r="S5" s="150">
        <v>-0.106</v>
      </c>
      <c r="T5" s="150">
        <v>0.0</v>
      </c>
      <c r="U5" s="126" t="s">
        <v>276</v>
      </c>
      <c r="V5" s="150">
        <v>0.003</v>
      </c>
      <c r="W5" s="126" t="s">
        <v>309</v>
      </c>
      <c r="X5" s="151">
        <v>12407.0</v>
      </c>
      <c r="Y5" s="115"/>
      <c r="Z5" s="115"/>
    </row>
    <row r="6">
      <c r="A6" s="126" t="s">
        <v>310</v>
      </c>
      <c r="B6" s="126" t="s">
        <v>311</v>
      </c>
      <c r="C6" s="126" t="s">
        <v>312</v>
      </c>
      <c r="D6" s="126" t="s">
        <v>313</v>
      </c>
      <c r="E6" s="126" t="s">
        <v>301</v>
      </c>
      <c r="F6" s="126" t="s">
        <v>314</v>
      </c>
      <c r="G6" s="126" t="s">
        <v>315</v>
      </c>
      <c r="H6" s="126">
        <v>0.46</v>
      </c>
      <c r="I6" s="126" t="s">
        <v>316</v>
      </c>
      <c r="J6" s="126" t="s">
        <v>317</v>
      </c>
      <c r="K6" s="126" t="s">
        <v>318</v>
      </c>
      <c r="L6" s="126" t="s">
        <v>318</v>
      </c>
      <c r="M6" s="126" t="s">
        <v>319</v>
      </c>
      <c r="N6" s="149">
        <v>44957.0</v>
      </c>
      <c r="O6" s="150">
        <v>0.0</v>
      </c>
      <c r="P6" s="150"/>
      <c r="Q6" s="149">
        <v>38504.0</v>
      </c>
      <c r="R6" s="126" t="s">
        <v>320</v>
      </c>
      <c r="S6" s="150">
        <v>0.0011</v>
      </c>
      <c r="T6" s="150">
        <v>0.5722</v>
      </c>
      <c r="U6" s="126" t="s">
        <v>276</v>
      </c>
      <c r="V6" s="150">
        <v>0.0</v>
      </c>
      <c r="W6" s="126" t="s">
        <v>321</v>
      </c>
      <c r="X6" s="151">
        <v>2565.0</v>
      </c>
      <c r="Y6" s="115"/>
      <c r="Z6" s="115"/>
    </row>
    <row r="7">
      <c r="A7" s="126" t="s">
        <v>322</v>
      </c>
      <c r="B7" s="126" t="s">
        <v>318</v>
      </c>
      <c r="C7" s="126" t="s">
        <v>323</v>
      </c>
      <c r="D7" s="126" t="s">
        <v>324</v>
      </c>
      <c r="E7" s="126" t="s">
        <v>281</v>
      </c>
      <c r="F7" s="126" t="s">
        <v>318</v>
      </c>
      <c r="G7" s="126" t="s">
        <v>276</v>
      </c>
      <c r="H7" s="126" t="s">
        <v>276</v>
      </c>
      <c r="I7" s="126" t="s">
        <v>276</v>
      </c>
      <c r="J7" s="126" t="s">
        <v>276</v>
      </c>
      <c r="K7" s="126"/>
      <c r="L7" s="126"/>
      <c r="M7" s="126" t="s">
        <v>285</v>
      </c>
      <c r="N7" s="149"/>
      <c r="O7" s="150"/>
      <c r="P7" s="150"/>
      <c r="Q7" s="126" t="s">
        <v>276</v>
      </c>
      <c r="R7" s="126" t="s">
        <v>318</v>
      </c>
      <c r="S7" s="126" t="s">
        <v>276</v>
      </c>
      <c r="T7" s="126" t="s">
        <v>276</v>
      </c>
      <c r="U7" s="126" t="s">
        <v>276</v>
      </c>
      <c r="V7" s="150">
        <v>0.0</v>
      </c>
      <c r="W7" s="126"/>
      <c r="X7" s="151"/>
      <c r="Y7" s="115"/>
      <c r="Z7" s="115"/>
    </row>
    <row r="8">
      <c r="A8" s="152" t="s">
        <v>325</v>
      </c>
      <c r="B8" s="126" t="s">
        <v>326</v>
      </c>
      <c r="C8" s="126" t="s">
        <v>327</v>
      </c>
      <c r="D8" s="126" t="s">
        <v>324</v>
      </c>
      <c r="E8" s="126" t="s">
        <v>328</v>
      </c>
      <c r="F8" s="126" t="s">
        <v>329</v>
      </c>
      <c r="G8" s="126" t="s">
        <v>330</v>
      </c>
      <c r="H8" s="126">
        <v>0.88</v>
      </c>
      <c r="I8" s="126" t="s">
        <v>276</v>
      </c>
      <c r="J8" s="126" t="s">
        <v>276</v>
      </c>
      <c r="K8" s="126" t="s">
        <v>331</v>
      </c>
      <c r="L8" s="126"/>
      <c r="M8" s="126" t="s">
        <v>285</v>
      </c>
      <c r="N8" s="149">
        <v>44980.0</v>
      </c>
      <c r="O8" s="150">
        <v>0.1364</v>
      </c>
      <c r="P8" s="150">
        <v>0.1545</v>
      </c>
      <c r="Q8" s="149">
        <v>44278.0</v>
      </c>
      <c r="R8" s="126" t="s">
        <v>286</v>
      </c>
      <c r="S8" s="150">
        <v>-0.059</v>
      </c>
      <c r="T8" s="126" t="s">
        <v>276</v>
      </c>
      <c r="U8" s="126" t="s">
        <v>276</v>
      </c>
      <c r="V8" s="150">
        <v>0.0</v>
      </c>
      <c r="W8" s="126" t="s">
        <v>332</v>
      </c>
      <c r="X8" s="151">
        <v>3668.0</v>
      </c>
      <c r="Y8" s="115"/>
      <c r="Z8" s="115"/>
    </row>
    <row r="9">
      <c r="A9" s="126" t="s">
        <v>174</v>
      </c>
      <c r="B9" s="126" t="s">
        <v>333</v>
      </c>
      <c r="C9" s="126" t="s">
        <v>334</v>
      </c>
      <c r="D9" s="126" t="s">
        <v>324</v>
      </c>
      <c r="E9" s="126" t="s">
        <v>335</v>
      </c>
      <c r="F9" s="126" t="s">
        <v>336</v>
      </c>
      <c r="G9" s="126" t="s">
        <v>337</v>
      </c>
      <c r="H9" s="126">
        <v>1.05</v>
      </c>
      <c r="I9" s="126" t="s">
        <v>338</v>
      </c>
      <c r="J9" s="126" t="s">
        <v>339</v>
      </c>
      <c r="K9" s="126" t="s">
        <v>340</v>
      </c>
      <c r="L9" s="126" t="s">
        <v>341</v>
      </c>
      <c r="M9" s="126" t="s">
        <v>342</v>
      </c>
      <c r="N9" s="149">
        <v>44981.0</v>
      </c>
      <c r="O9" s="150">
        <v>0.0905</v>
      </c>
      <c r="P9" s="150">
        <v>0.1277</v>
      </c>
      <c r="Q9" s="149">
        <v>43104.0</v>
      </c>
      <c r="R9" s="126" t="s">
        <v>286</v>
      </c>
      <c r="S9" s="150">
        <v>0.0012</v>
      </c>
      <c r="T9" s="150">
        <v>0.0</v>
      </c>
      <c r="U9" s="126" t="s">
        <v>276</v>
      </c>
      <c r="V9" s="150">
        <v>0.0075</v>
      </c>
      <c r="W9" s="126" t="s">
        <v>343</v>
      </c>
      <c r="X9" s="151">
        <v>119345.0</v>
      </c>
      <c r="Y9" s="115"/>
      <c r="Z9" s="115"/>
    </row>
    <row r="10">
      <c r="A10" s="126" t="s">
        <v>344</v>
      </c>
      <c r="B10" s="126" t="s">
        <v>345</v>
      </c>
      <c r="C10" s="126" t="s">
        <v>346</v>
      </c>
      <c r="D10" s="126" t="s">
        <v>347</v>
      </c>
      <c r="E10" s="126" t="s">
        <v>267</v>
      </c>
      <c r="F10" s="126" t="s">
        <v>348</v>
      </c>
      <c r="G10" s="126" t="s">
        <v>349</v>
      </c>
      <c r="H10" s="126">
        <v>1.0</v>
      </c>
      <c r="I10" s="126" t="s">
        <v>350</v>
      </c>
      <c r="J10" s="126" t="s">
        <v>351</v>
      </c>
      <c r="K10" s="126" t="s">
        <v>352</v>
      </c>
      <c r="L10" s="126" t="s">
        <v>353</v>
      </c>
      <c r="M10" s="126" t="s">
        <v>354</v>
      </c>
      <c r="N10" s="149">
        <v>44981.0</v>
      </c>
      <c r="O10" s="150">
        <v>0.0757</v>
      </c>
      <c r="P10" s="150">
        <v>0.0449</v>
      </c>
      <c r="Q10" s="153">
        <v>39309.0</v>
      </c>
      <c r="R10" s="126" t="s">
        <v>355</v>
      </c>
      <c r="S10" s="150">
        <v>0.0</v>
      </c>
      <c r="T10" s="126" t="s">
        <v>276</v>
      </c>
      <c r="U10" s="126" t="s">
        <v>276</v>
      </c>
      <c r="V10" s="150">
        <v>0.0</v>
      </c>
      <c r="W10" s="126"/>
      <c r="X10" s="151">
        <v>67.0</v>
      </c>
      <c r="Y10" s="115"/>
      <c r="Z10" s="115"/>
    </row>
    <row r="11">
      <c r="A11" s="126" t="s">
        <v>356</v>
      </c>
      <c r="B11" s="126" t="s">
        <v>357</v>
      </c>
      <c r="C11" s="126" t="s">
        <v>358</v>
      </c>
      <c r="D11" s="126" t="s">
        <v>359</v>
      </c>
      <c r="E11" s="126" t="s">
        <v>335</v>
      </c>
      <c r="F11" s="126" t="s">
        <v>360</v>
      </c>
      <c r="G11" s="126" t="s">
        <v>361</v>
      </c>
      <c r="H11" s="126">
        <v>0.85</v>
      </c>
      <c r="I11" s="126" t="s">
        <v>276</v>
      </c>
      <c r="J11" s="126" t="s">
        <v>276</v>
      </c>
      <c r="K11" s="126" t="s">
        <v>362</v>
      </c>
      <c r="L11" s="126"/>
      <c r="M11" s="126" t="s">
        <v>285</v>
      </c>
      <c r="N11" s="149">
        <v>44979.0</v>
      </c>
      <c r="O11" s="150">
        <v>0.1516</v>
      </c>
      <c r="P11" s="150">
        <v>0.1538</v>
      </c>
      <c r="Q11" s="153">
        <v>44551.0</v>
      </c>
      <c r="R11" s="126" t="s">
        <v>296</v>
      </c>
      <c r="S11" s="150">
        <v>-0.0409</v>
      </c>
      <c r="T11" s="126" t="s">
        <v>276</v>
      </c>
      <c r="U11" s="126" t="s">
        <v>276</v>
      </c>
      <c r="V11" s="150">
        <v>0.0</v>
      </c>
      <c r="W11" s="126" t="s">
        <v>363</v>
      </c>
      <c r="X11" s="151">
        <v>5694.0</v>
      </c>
      <c r="Y11" s="115"/>
      <c r="Z11" s="115"/>
    </row>
    <row r="12">
      <c r="A12" s="126" t="s">
        <v>364</v>
      </c>
      <c r="B12" s="126" t="s">
        <v>318</v>
      </c>
      <c r="C12" s="126" t="s">
        <v>365</v>
      </c>
      <c r="D12" s="126" t="s">
        <v>366</v>
      </c>
      <c r="E12" s="126" t="s">
        <v>367</v>
      </c>
      <c r="F12" s="126" t="s">
        <v>318</v>
      </c>
      <c r="G12" s="126" t="s">
        <v>368</v>
      </c>
      <c r="H12" s="126">
        <v>0.0</v>
      </c>
      <c r="I12" s="126" t="s">
        <v>276</v>
      </c>
      <c r="J12" s="126" t="s">
        <v>276</v>
      </c>
      <c r="K12" s="126" t="s">
        <v>318</v>
      </c>
      <c r="L12" s="126"/>
      <c r="M12" s="126" t="s">
        <v>285</v>
      </c>
      <c r="N12" s="149">
        <v>44347.0</v>
      </c>
      <c r="O12" s="150"/>
      <c r="P12" s="150"/>
      <c r="Q12" s="153">
        <v>41080.0</v>
      </c>
      <c r="R12" s="126" t="s">
        <v>320</v>
      </c>
      <c r="S12" s="150">
        <v>-1.0</v>
      </c>
      <c r="T12" s="150">
        <v>0.25</v>
      </c>
      <c r="U12" s="126" t="s">
        <v>276</v>
      </c>
      <c r="V12" s="150">
        <v>0.0</v>
      </c>
      <c r="W12" s="126"/>
      <c r="X12" s="151">
        <v>56.0</v>
      </c>
      <c r="Y12" s="115"/>
      <c r="Z12" s="115"/>
    </row>
    <row r="13">
      <c r="A13" s="126" t="s">
        <v>42</v>
      </c>
      <c r="B13" s="126" t="s">
        <v>369</v>
      </c>
      <c r="C13" s="126" t="s">
        <v>370</v>
      </c>
      <c r="D13" s="126" t="s">
        <v>371</v>
      </c>
      <c r="E13" s="126" t="s">
        <v>281</v>
      </c>
      <c r="F13" s="126" t="s">
        <v>372</v>
      </c>
      <c r="G13" s="126" t="s">
        <v>373</v>
      </c>
      <c r="H13" s="126">
        <v>1.05</v>
      </c>
      <c r="I13" s="126" t="s">
        <v>276</v>
      </c>
      <c r="J13" s="126" t="s">
        <v>276</v>
      </c>
      <c r="K13" s="126" t="s">
        <v>374</v>
      </c>
      <c r="L13" s="126"/>
      <c r="M13" s="126" t="s">
        <v>285</v>
      </c>
      <c r="N13" s="149">
        <v>44964.0</v>
      </c>
      <c r="O13" s="150">
        <v>0.1817</v>
      </c>
      <c r="P13" s="150">
        <v>0.1651</v>
      </c>
      <c r="Q13" s="153">
        <v>43769.0</v>
      </c>
      <c r="R13" s="126" t="s">
        <v>296</v>
      </c>
      <c r="S13" s="150">
        <v>-0.0011</v>
      </c>
      <c r="T13" s="126" t="s">
        <v>276</v>
      </c>
      <c r="U13" s="126" t="s">
        <v>276</v>
      </c>
      <c r="V13" s="150">
        <v>0.001</v>
      </c>
      <c r="W13" s="126" t="s">
        <v>375</v>
      </c>
      <c r="X13" s="151">
        <v>21209.0</v>
      </c>
      <c r="Y13" s="115"/>
      <c r="Z13" s="115"/>
    </row>
    <row r="14">
      <c r="A14" s="126" t="s">
        <v>376</v>
      </c>
      <c r="B14" s="126" t="s">
        <v>377</v>
      </c>
      <c r="C14" s="126" t="s">
        <v>378</v>
      </c>
      <c r="D14" s="126" t="s">
        <v>379</v>
      </c>
      <c r="E14" s="126" t="s">
        <v>301</v>
      </c>
      <c r="F14" s="126" t="s">
        <v>380</v>
      </c>
      <c r="G14" s="126" t="s">
        <v>381</v>
      </c>
      <c r="H14" s="126">
        <v>0.84</v>
      </c>
      <c r="I14" s="126" t="s">
        <v>382</v>
      </c>
      <c r="J14" s="126" t="s">
        <v>383</v>
      </c>
      <c r="K14" s="126" t="s">
        <v>384</v>
      </c>
      <c r="L14" s="126" t="s">
        <v>385</v>
      </c>
      <c r="M14" s="126" t="s">
        <v>386</v>
      </c>
      <c r="N14" s="153">
        <v>44980.0</v>
      </c>
      <c r="O14" s="150">
        <v>0.1391</v>
      </c>
      <c r="P14" s="150">
        <v>0.1338</v>
      </c>
      <c r="Q14" s="149">
        <v>44253.0</v>
      </c>
      <c r="R14" s="126" t="s">
        <v>286</v>
      </c>
      <c r="S14" s="150">
        <v>-0.0401</v>
      </c>
      <c r="T14" s="150">
        <v>0.064</v>
      </c>
      <c r="U14" s="126" t="s">
        <v>276</v>
      </c>
      <c r="V14" s="150">
        <v>0.0</v>
      </c>
      <c r="W14" s="126" t="s">
        <v>387</v>
      </c>
      <c r="X14" s="151">
        <v>339.0</v>
      </c>
      <c r="Y14" s="115"/>
      <c r="Z14" s="115"/>
    </row>
    <row r="15">
      <c r="A15" s="126" t="s">
        <v>388</v>
      </c>
      <c r="B15" s="126" t="s">
        <v>318</v>
      </c>
      <c r="C15" s="126" t="s">
        <v>389</v>
      </c>
      <c r="D15" s="126" t="s">
        <v>390</v>
      </c>
      <c r="E15" s="126" t="s">
        <v>391</v>
      </c>
      <c r="F15" s="126" t="s">
        <v>318</v>
      </c>
      <c r="G15" s="126" t="s">
        <v>392</v>
      </c>
      <c r="H15" s="126">
        <v>0.0</v>
      </c>
      <c r="I15" s="126" t="s">
        <v>318</v>
      </c>
      <c r="J15" s="126" t="s">
        <v>393</v>
      </c>
      <c r="K15" s="126" t="s">
        <v>394</v>
      </c>
      <c r="L15" s="126" t="s">
        <v>395</v>
      </c>
      <c r="M15" s="126" t="s">
        <v>396</v>
      </c>
      <c r="N15" s="149">
        <v>44935.0</v>
      </c>
      <c r="O15" s="150"/>
      <c r="P15" s="150"/>
      <c r="Q15" s="149">
        <v>41535.0</v>
      </c>
      <c r="R15" s="126" t="s">
        <v>286</v>
      </c>
      <c r="S15" s="126" t="s">
        <v>276</v>
      </c>
      <c r="T15" s="126" t="s">
        <v>276</v>
      </c>
      <c r="U15" s="126" t="s">
        <v>276</v>
      </c>
      <c r="V15" s="150">
        <v>0.0</v>
      </c>
      <c r="W15" s="126"/>
      <c r="X15" s="151">
        <v>33.0</v>
      </c>
      <c r="Y15" s="115"/>
      <c r="Z15" s="115"/>
    </row>
    <row r="16">
      <c r="A16" s="126" t="s">
        <v>190</v>
      </c>
      <c r="B16" s="126" t="s">
        <v>397</v>
      </c>
      <c r="C16" s="126" t="s">
        <v>398</v>
      </c>
      <c r="D16" s="126" t="s">
        <v>399</v>
      </c>
      <c r="E16" s="126" t="s">
        <v>267</v>
      </c>
      <c r="F16" s="126" t="s">
        <v>400</v>
      </c>
      <c r="G16" s="126" t="s">
        <v>401</v>
      </c>
      <c r="H16" s="126">
        <v>0.94</v>
      </c>
      <c r="I16" s="126" t="s">
        <v>402</v>
      </c>
      <c r="J16" s="126" t="s">
        <v>403</v>
      </c>
      <c r="K16" s="126" t="s">
        <v>404</v>
      </c>
      <c r="L16" s="126" t="s">
        <v>405</v>
      </c>
      <c r="M16" s="126" t="s">
        <v>406</v>
      </c>
      <c r="N16" s="149">
        <v>44971.0</v>
      </c>
      <c r="O16" s="150">
        <v>0.0079</v>
      </c>
      <c r="P16" s="150">
        <v>0.0039</v>
      </c>
      <c r="Q16" s="153">
        <v>40525.0</v>
      </c>
      <c r="R16" s="126" t="s">
        <v>320</v>
      </c>
      <c r="S16" s="150">
        <v>-0.0303</v>
      </c>
      <c r="T16" s="150">
        <v>0.213</v>
      </c>
      <c r="U16" s="149">
        <v>42947.0</v>
      </c>
      <c r="V16" s="150">
        <v>0.0</v>
      </c>
      <c r="W16" s="126" t="s">
        <v>407</v>
      </c>
      <c r="X16" s="151">
        <v>281.0</v>
      </c>
      <c r="Y16" s="115"/>
      <c r="Z16" s="115"/>
    </row>
    <row r="17">
      <c r="A17" s="126" t="s">
        <v>408</v>
      </c>
      <c r="B17" s="126" t="s">
        <v>318</v>
      </c>
      <c r="C17" s="126" t="s">
        <v>409</v>
      </c>
      <c r="D17" s="126"/>
      <c r="E17" s="126" t="s">
        <v>367</v>
      </c>
      <c r="F17" s="126" t="s">
        <v>318</v>
      </c>
      <c r="G17" s="126" t="s">
        <v>410</v>
      </c>
      <c r="H17" s="126">
        <v>0.0</v>
      </c>
      <c r="I17" s="126" t="s">
        <v>318</v>
      </c>
      <c r="J17" s="126" t="s">
        <v>411</v>
      </c>
      <c r="K17" s="126"/>
      <c r="L17" s="126"/>
      <c r="M17" s="126" t="s">
        <v>412</v>
      </c>
      <c r="N17" s="149"/>
      <c r="O17" s="150"/>
      <c r="P17" s="150"/>
      <c r="Q17" s="126" t="s">
        <v>276</v>
      </c>
      <c r="R17" s="126" t="s">
        <v>286</v>
      </c>
      <c r="S17" s="126" t="s">
        <v>276</v>
      </c>
      <c r="T17" s="126" t="s">
        <v>276</v>
      </c>
      <c r="U17" s="126" t="s">
        <v>276</v>
      </c>
      <c r="V17" s="150">
        <v>0.0</v>
      </c>
      <c r="W17" s="126"/>
      <c r="X17" s="151">
        <v>2.0</v>
      </c>
      <c r="Y17" s="115"/>
      <c r="Z17" s="115"/>
    </row>
    <row r="18">
      <c r="A18" s="126" t="s">
        <v>33</v>
      </c>
      <c r="B18" s="126" t="s">
        <v>413</v>
      </c>
      <c r="C18" s="126" t="s">
        <v>414</v>
      </c>
      <c r="D18" s="126" t="s">
        <v>415</v>
      </c>
      <c r="E18" s="126" t="s">
        <v>281</v>
      </c>
      <c r="F18" s="126" t="s">
        <v>416</v>
      </c>
      <c r="G18" s="126" t="s">
        <v>417</v>
      </c>
      <c r="H18" s="126">
        <v>0.88</v>
      </c>
      <c r="I18" s="126" t="s">
        <v>276</v>
      </c>
      <c r="J18" s="126" t="s">
        <v>276</v>
      </c>
      <c r="K18" s="126" t="s">
        <v>418</v>
      </c>
      <c r="L18" s="126"/>
      <c r="M18" s="126" t="s">
        <v>285</v>
      </c>
      <c r="N18" s="149">
        <v>44980.0</v>
      </c>
      <c r="O18" s="150">
        <v>0.1373</v>
      </c>
      <c r="P18" s="150">
        <v>0.1629</v>
      </c>
      <c r="Q18" s="149">
        <v>43637.0</v>
      </c>
      <c r="R18" s="126" t="s">
        <v>286</v>
      </c>
      <c r="S18" s="150">
        <v>-0.0468</v>
      </c>
      <c r="T18" s="126" t="s">
        <v>276</v>
      </c>
      <c r="U18" s="126" t="s">
        <v>276</v>
      </c>
      <c r="V18" s="150">
        <v>0.0037</v>
      </c>
      <c r="W18" s="126" t="s">
        <v>419</v>
      </c>
      <c r="X18" s="151">
        <v>39858.0</v>
      </c>
      <c r="Y18" s="115"/>
      <c r="Z18" s="115"/>
    </row>
    <row r="19">
      <c r="A19" s="126" t="s">
        <v>39</v>
      </c>
      <c r="B19" s="126" t="s">
        <v>420</v>
      </c>
      <c r="C19" s="126" t="s">
        <v>421</v>
      </c>
      <c r="D19" s="126" t="s">
        <v>422</v>
      </c>
      <c r="E19" s="126" t="s">
        <v>423</v>
      </c>
      <c r="F19" s="126" t="s">
        <v>424</v>
      </c>
      <c r="G19" s="126" t="s">
        <v>425</v>
      </c>
      <c r="H19" s="126">
        <v>0.72</v>
      </c>
      <c r="I19" s="126" t="s">
        <v>426</v>
      </c>
      <c r="J19" s="126" t="s">
        <v>427</v>
      </c>
      <c r="K19" s="126" t="s">
        <v>428</v>
      </c>
      <c r="L19" s="126" t="s">
        <v>429</v>
      </c>
      <c r="M19" s="126" t="s">
        <v>430</v>
      </c>
      <c r="N19" s="149">
        <v>44971.0</v>
      </c>
      <c r="O19" s="150">
        <v>0.1711</v>
      </c>
      <c r="P19" s="150">
        <v>0.1571</v>
      </c>
      <c r="Q19" s="153">
        <v>38322.0</v>
      </c>
      <c r="R19" s="126" t="s">
        <v>320</v>
      </c>
      <c r="S19" s="150">
        <v>0.0265</v>
      </c>
      <c r="T19" s="150">
        <v>0.3911</v>
      </c>
      <c r="U19" s="126" t="s">
        <v>276</v>
      </c>
      <c r="V19" s="150">
        <v>0.0</v>
      </c>
      <c r="W19" s="126" t="s">
        <v>431</v>
      </c>
      <c r="X19" s="151">
        <v>8335.0</v>
      </c>
      <c r="Y19" s="115"/>
      <c r="Z19" s="115"/>
    </row>
    <row r="20">
      <c r="A20" s="126" t="s">
        <v>432</v>
      </c>
      <c r="B20" s="126" t="s">
        <v>433</v>
      </c>
      <c r="C20" s="126" t="s">
        <v>434</v>
      </c>
      <c r="D20" s="126" t="s">
        <v>435</v>
      </c>
      <c r="E20" s="126" t="s">
        <v>328</v>
      </c>
      <c r="F20" s="126" t="s">
        <v>436</v>
      </c>
      <c r="G20" s="126" t="s">
        <v>437</v>
      </c>
      <c r="H20" s="126">
        <v>0.83</v>
      </c>
      <c r="I20" s="126" t="s">
        <v>276</v>
      </c>
      <c r="J20" s="126" t="s">
        <v>276</v>
      </c>
      <c r="K20" s="126" t="s">
        <v>384</v>
      </c>
      <c r="L20" s="126"/>
      <c r="M20" s="126" t="s">
        <v>285</v>
      </c>
      <c r="N20" s="149">
        <v>44971.0</v>
      </c>
      <c r="O20" s="150">
        <v>0.1506</v>
      </c>
      <c r="P20" s="150">
        <v>0.1362</v>
      </c>
      <c r="Q20" s="149">
        <v>44193.0</v>
      </c>
      <c r="R20" s="126" t="s">
        <v>286</v>
      </c>
      <c r="S20" s="150">
        <v>-0.0199</v>
      </c>
      <c r="T20" s="126" t="s">
        <v>276</v>
      </c>
      <c r="U20" s="126" t="s">
        <v>276</v>
      </c>
      <c r="V20" s="150">
        <v>0.0</v>
      </c>
      <c r="W20" s="126" t="s">
        <v>438</v>
      </c>
      <c r="X20" s="151">
        <v>5183.0</v>
      </c>
      <c r="Y20" s="115"/>
      <c r="Z20" s="115"/>
    </row>
    <row r="21">
      <c r="A21" s="126" t="s">
        <v>439</v>
      </c>
      <c r="B21" s="126" t="s">
        <v>440</v>
      </c>
      <c r="C21" s="126" t="s">
        <v>441</v>
      </c>
      <c r="D21" s="126" t="s">
        <v>435</v>
      </c>
      <c r="E21" s="126" t="s">
        <v>292</v>
      </c>
      <c r="F21" s="126" t="s">
        <v>442</v>
      </c>
      <c r="G21" s="126" t="s">
        <v>443</v>
      </c>
      <c r="H21" s="126">
        <v>0.8</v>
      </c>
      <c r="I21" s="126" t="s">
        <v>276</v>
      </c>
      <c r="J21" s="126" t="s">
        <v>276</v>
      </c>
      <c r="K21" s="126" t="s">
        <v>331</v>
      </c>
      <c r="L21" s="126"/>
      <c r="M21" s="126" t="s">
        <v>285</v>
      </c>
      <c r="N21" s="149">
        <v>44971.0</v>
      </c>
      <c r="O21" s="150">
        <v>0.1417</v>
      </c>
      <c r="P21" s="150">
        <v>0.1128</v>
      </c>
      <c r="Q21" s="149">
        <v>44593.0</v>
      </c>
      <c r="R21" s="126" t="s">
        <v>286</v>
      </c>
      <c r="S21" s="150">
        <v>-0.0439</v>
      </c>
      <c r="T21" s="126" t="s">
        <v>276</v>
      </c>
      <c r="U21" s="126" t="s">
        <v>276</v>
      </c>
      <c r="V21" s="150">
        <v>0.0</v>
      </c>
      <c r="W21" s="126" t="s">
        <v>444</v>
      </c>
      <c r="X21" s="151">
        <v>6862.0</v>
      </c>
      <c r="Y21" s="115"/>
      <c r="Z21" s="115"/>
    </row>
    <row r="22">
      <c r="A22" s="126" t="s">
        <v>445</v>
      </c>
      <c r="B22" s="126" t="s">
        <v>318</v>
      </c>
      <c r="C22" s="126" t="s">
        <v>446</v>
      </c>
      <c r="D22" s="126" t="s">
        <v>266</v>
      </c>
      <c r="E22" s="126" t="s">
        <v>281</v>
      </c>
      <c r="F22" s="126" t="s">
        <v>318</v>
      </c>
      <c r="G22" s="126" t="s">
        <v>447</v>
      </c>
      <c r="H22" s="126">
        <v>0.0</v>
      </c>
      <c r="I22" s="126" t="s">
        <v>276</v>
      </c>
      <c r="J22" s="126" t="s">
        <v>276</v>
      </c>
      <c r="K22" s="126" t="s">
        <v>448</v>
      </c>
      <c r="L22" s="126"/>
      <c r="M22" s="126" t="s">
        <v>285</v>
      </c>
      <c r="N22" s="149">
        <v>44971.0</v>
      </c>
      <c r="O22" s="150"/>
      <c r="P22" s="150"/>
      <c r="Q22" s="149">
        <v>42248.0</v>
      </c>
      <c r="R22" s="126" t="s">
        <v>286</v>
      </c>
      <c r="S22" s="126" t="s">
        <v>276</v>
      </c>
      <c r="T22" s="126" t="s">
        <v>276</v>
      </c>
      <c r="U22" s="126" t="s">
        <v>276</v>
      </c>
      <c r="V22" s="150">
        <v>0.0</v>
      </c>
      <c r="W22" s="126"/>
      <c r="X22" s="151">
        <v>1.0</v>
      </c>
      <c r="Y22" s="115"/>
      <c r="Z22" s="115"/>
    </row>
    <row r="23">
      <c r="A23" s="126" t="s">
        <v>52</v>
      </c>
      <c r="B23" s="126" t="s">
        <v>449</v>
      </c>
      <c r="C23" s="126" t="s">
        <v>450</v>
      </c>
      <c r="D23" s="126" t="s">
        <v>451</v>
      </c>
      <c r="E23" s="126" t="s">
        <v>423</v>
      </c>
      <c r="F23" s="126" t="s">
        <v>452</v>
      </c>
      <c r="G23" s="126" t="s">
        <v>453</v>
      </c>
      <c r="H23" s="126">
        <v>0.83</v>
      </c>
      <c r="I23" s="126" t="s">
        <v>454</v>
      </c>
      <c r="J23" s="126" t="s">
        <v>455</v>
      </c>
      <c r="K23" s="126" t="s">
        <v>418</v>
      </c>
      <c r="L23" s="126" t="s">
        <v>456</v>
      </c>
      <c r="M23" s="126" t="s">
        <v>457</v>
      </c>
      <c r="N23" s="149">
        <v>44971.0</v>
      </c>
      <c r="O23" s="150">
        <v>0.1375</v>
      </c>
      <c r="P23" s="150">
        <v>0.1304</v>
      </c>
      <c r="Q23" s="149">
        <v>41255.0</v>
      </c>
      <c r="R23" s="126" t="s">
        <v>286</v>
      </c>
      <c r="S23" s="150">
        <v>-0.0249</v>
      </c>
      <c r="T23" s="150">
        <v>0.0294</v>
      </c>
      <c r="U23" s="153">
        <v>44925.0</v>
      </c>
      <c r="V23" s="150">
        <v>0.0124</v>
      </c>
      <c r="W23" s="126" t="s">
        <v>458</v>
      </c>
      <c r="X23" s="151">
        <v>74456.0</v>
      </c>
      <c r="Y23" s="115"/>
      <c r="Z23" s="115"/>
    </row>
    <row r="24">
      <c r="A24" s="126" t="s">
        <v>70</v>
      </c>
      <c r="B24" s="126" t="s">
        <v>459</v>
      </c>
      <c r="C24" s="126" t="s">
        <v>460</v>
      </c>
      <c r="D24" s="126" t="s">
        <v>461</v>
      </c>
      <c r="E24" s="126" t="s">
        <v>423</v>
      </c>
      <c r="F24" s="126" t="s">
        <v>462</v>
      </c>
      <c r="G24" s="126" t="s">
        <v>463</v>
      </c>
      <c r="H24" s="126">
        <v>0.86</v>
      </c>
      <c r="I24" s="126" t="s">
        <v>464</v>
      </c>
      <c r="J24" s="126" t="s">
        <v>465</v>
      </c>
      <c r="K24" s="126" t="s">
        <v>466</v>
      </c>
      <c r="L24" s="126" t="s">
        <v>467</v>
      </c>
      <c r="M24" s="126" t="s">
        <v>468</v>
      </c>
      <c r="N24" s="149">
        <v>44971.0</v>
      </c>
      <c r="O24" s="150">
        <v>0.1358</v>
      </c>
      <c r="P24" s="150">
        <v>0.1262</v>
      </c>
      <c r="Q24" s="149">
        <v>40714.0</v>
      </c>
      <c r="R24" s="126" t="s">
        <v>286</v>
      </c>
      <c r="S24" s="150">
        <v>-0.0717</v>
      </c>
      <c r="T24" s="150">
        <v>0.054</v>
      </c>
      <c r="U24" s="153">
        <v>44957.0</v>
      </c>
      <c r="V24" s="150">
        <v>0.0</v>
      </c>
      <c r="W24" s="126" t="s">
        <v>469</v>
      </c>
      <c r="X24" s="151">
        <v>9309.0</v>
      </c>
      <c r="Y24" s="115"/>
      <c r="Z24" s="115"/>
    </row>
    <row r="25">
      <c r="A25" s="126" t="s">
        <v>109</v>
      </c>
      <c r="B25" s="126" t="s">
        <v>470</v>
      </c>
      <c r="C25" s="126" t="s">
        <v>471</v>
      </c>
      <c r="D25" s="126" t="s">
        <v>313</v>
      </c>
      <c r="E25" s="126" t="s">
        <v>328</v>
      </c>
      <c r="F25" s="126" t="s">
        <v>472</v>
      </c>
      <c r="G25" s="126" t="s">
        <v>473</v>
      </c>
      <c r="H25" s="126">
        <v>0.85</v>
      </c>
      <c r="I25" s="126" t="s">
        <v>276</v>
      </c>
      <c r="J25" s="126" t="s">
        <v>276</v>
      </c>
      <c r="K25" s="126" t="s">
        <v>474</v>
      </c>
      <c r="L25" s="126"/>
      <c r="M25" s="126" t="s">
        <v>285</v>
      </c>
      <c r="N25" s="149">
        <v>44971.0</v>
      </c>
      <c r="O25" s="150">
        <v>0.1131</v>
      </c>
      <c r="P25" s="150">
        <v>0.1069</v>
      </c>
      <c r="Q25" s="149">
        <v>40346.0</v>
      </c>
      <c r="R25" s="126" t="s">
        <v>286</v>
      </c>
      <c r="S25" s="150">
        <v>-0.0573</v>
      </c>
      <c r="T25" s="126" t="s">
        <v>276</v>
      </c>
      <c r="U25" s="126" t="s">
        <v>276</v>
      </c>
      <c r="V25" s="150">
        <v>0.0153</v>
      </c>
      <c r="W25" s="126" t="s">
        <v>475</v>
      </c>
      <c r="X25" s="151">
        <v>310386.0</v>
      </c>
      <c r="Y25" s="115"/>
      <c r="Z25" s="115"/>
    </row>
    <row r="26">
      <c r="A26" s="126" t="s">
        <v>210</v>
      </c>
      <c r="B26" s="126" t="s">
        <v>476</v>
      </c>
      <c r="C26" s="126" t="s">
        <v>477</v>
      </c>
      <c r="D26" s="126" t="s">
        <v>478</v>
      </c>
      <c r="E26" s="126" t="s">
        <v>328</v>
      </c>
      <c r="F26" s="126" t="s">
        <v>479</v>
      </c>
      <c r="G26" s="126" t="s">
        <v>480</v>
      </c>
      <c r="H26" s="126">
        <v>0.84</v>
      </c>
      <c r="I26" s="126" t="s">
        <v>276</v>
      </c>
      <c r="J26" s="126" t="s">
        <v>276</v>
      </c>
      <c r="K26" s="126" t="s">
        <v>481</v>
      </c>
      <c r="L26" s="126"/>
      <c r="M26" s="126" t="s">
        <v>285</v>
      </c>
      <c r="N26" s="149">
        <v>44985.0</v>
      </c>
      <c r="O26" s="150">
        <v>0.1168</v>
      </c>
      <c r="P26" s="150">
        <v>0.1074</v>
      </c>
      <c r="Q26" s="153">
        <v>42149.0</v>
      </c>
      <c r="R26" s="126" t="s">
        <v>286</v>
      </c>
      <c r="S26" s="150">
        <v>-0.0327</v>
      </c>
      <c r="T26" s="126" t="s">
        <v>276</v>
      </c>
      <c r="U26" s="126" t="s">
        <v>276</v>
      </c>
      <c r="V26" s="150">
        <v>0.0029</v>
      </c>
      <c r="W26" s="126" t="s">
        <v>482</v>
      </c>
      <c r="X26" s="151">
        <v>14216.0</v>
      </c>
      <c r="Y26" s="115"/>
      <c r="Z26" s="115"/>
    </row>
    <row r="27">
      <c r="A27" s="126" t="s">
        <v>211</v>
      </c>
      <c r="B27" s="126" t="s">
        <v>483</v>
      </c>
      <c r="C27" s="126" t="s">
        <v>484</v>
      </c>
      <c r="D27" s="126" t="s">
        <v>485</v>
      </c>
      <c r="E27" s="126" t="s">
        <v>281</v>
      </c>
      <c r="F27" s="126" t="s">
        <v>486</v>
      </c>
      <c r="G27" s="126" t="s">
        <v>487</v>
      </c>
      <c r="H27" s="126">
        <v>0.93</v>
      </c>
      <c r="I27" s="126" t="s">
        <v>276</v>
      </c>
      <c r="J27" s="126" t="s">
        <v>276</v>
      </c>
      <c r="K27" s="126" t="s">
        <v>488</v>
      </c>
      <c r="L27" s="126"/>
      <c r="M27" s="126" t="s">
        <v>285</v>
      </c>
      <c r="N27" s="153">
        <v>44972.0</v>
      </c>
      <c r="O27" s="150">
        <v>0.1366</v>
      </c>
      <c r="P27" s="150">
        <v>0.1561</v>
      </c>
      <c r="Q27" s="149">
        <v>42186.0</v>
      </c>
      <c r="R27" s="126" t="s">
        <v>286</v>
      </c>
      <c r="S27" s="150">
        <v>-0.022</v>
      </c>
      <c r="T27" s="126" t="s">
        <v>276</v>
      </c>
      <c r="U27" s="126" t="s">
        <v>276</v>
      </c>
      <c r="V27" s="150">
        <v>0.0054</v>
      </c>
      <c r="W27" s="126" t="s">
        <v>489</v>
      </c>
      <c r="X27" s="151">
        <v>47224.0</v>
      </c>
      <c r="Y27" s="115"/>
      <c r="Z27" s="115"/>
    </row>
    <row r="28">
      <c r="A28" s="126" t="s">
        <v>490</v>
      </c>
      <c r="B28" s="126" t="s">
        <v>491</v>
      </c>
      <c r="C28" s="126" t="s">
        <v>492</v>
      </c>
      <c r="D28" s="126" t="s">
        <v>493</v>
      </c>
      <c r="E28" s="126" t="s">
        <v>281</v>
      </c>
      <c r="F28" s="126" t="s">
        <v>494</v>
      </c>
      <c r="G28" s="126" t="s">
        <v>495</v>
      </c>
      <c r="H28" s="126">
        <v>0.98</v>
      </c>
      <c r="I28" s="126" t="s">
        <v>276</v>
      </c>
      <c r="J28" s="126" t="s">
        <v>276</v>
      </c>
      <c r="K28" s="126" t="s">
        <v>496</v>
      </c>
      <c r="L28" s="126"/>
      <c r="M28" s="126" t="s">
        <v>285</v>
      </c>
      <c r="N28" s="149">
        <v>44964.0</v>
      </c>
      <c r="O28" s="150">
        <v>0.2589</v>
      </c>
      <c r="P28" s="150">
        <v>0.0667</v>
      </c>
      <c r="Q28" s="149">
        <v>44358.0</v>
      </c>
      <c r="R28" s="126" t="s">
        <v>320</v>
      </c>
      <c r="S28" s="150">
        <v>0.0</v>
      </c>
      <c r="T28" s="126" t="s">
        <v>276</v>
      </c>
      <c r="U28" s="126" t="s">
        <v>276</v>
      </c>
      <c r="V28" s="150">
        <v>0.0</v>
      </c>
      <c r="W28" s="126" t="s">
        <v>497</v>
      </c>
      <c r="X28" s="151">
        <v>105.0</v>
      </c>
      <c r="Y28" s="115"/>
      <c r="Z28" s="115"/>
    </row>
    <row r="29">
      <c r="A29" s="126" t="s">
        <v>186</v>
      </c>
      <c r="B29" s="126" t="s">
        <v>498</v>
      </c>
      <c r="C29" s="126" t="s">
        <v>499</v>
      </c>
      <c r="D29" s="126" t="s">
        <v>500</v>
      </c>
      <c r="E29" s="126" t="s">
        <v>281</v>
      </c>
      <c r="F29" s="126" t="s">
        <v>501</v>
      </c>
      <c r="G29" s="126" t="s">
        <v>502</v>
      </c>
      <c r="H29" s="126">
        <v>1.04</v>
      </c>
      <c r="I29" s="126" t="s">
        <v>276</v>
      </c>
      <c r="J29" s="126" t="s">
        <v>276</v>
      </c>
      <c r="K29" s="126" t="s">
        <v>503</v>
      </c>
      <c r="L29" s="126"/>
      <c r="M29" s="126" t="s">
        <v>285</v>
      </c>
      <c r="N29" s="149">
        <v>44971.0</v>
      </c>
      <c r="O29" s="150">
        <v>0.0969</v>
      </c>
      <c r="P29" s="150">
        <v>0.0945</v>
      </c>
      <c r="Q29" s="149">
        <v>43825.0</v>
      </c>
      <c r="R29" s="126" t="s">
        <v>286</v>
      </c>
      <c r="S29" s="150">
        <v>-0.0603</v>
      </c>
      <c r="T29" s="126" t="s">
        <v>276</v>
      </c>
      <c r="U29" s="126" t="s">
        <v>276</v>
      </c>
      <c r="V29" s="150">
        <v>0.0</v>
      </c>
      <c r="W29" s="126" t="s">
        <v>504</v>
      </c>
      <c r="X29" s="151">
        <v>528.0</v>
      </c>
      <c r="Y29" s="115"/>
      <c r="Z29" s="115"/>
    </row>
    <row r="30">
      <c r="A30" s="126" t="s">
        <v>505</v>
      </c>
      <c r="B30" s="126" t="s">
        <v>506</v>
      </c>
      <c r="C30" s="126" t="s">
        <v>507</v>
      </c>
      <c r="D30" s="126" t="s">
        <v>493</v>
      </c>
      <c r="E30" s="126" t="s">
        <v>335</v>
      </c>
      <c r="F30" s="126" t="s">
        <v>508</v>
      </c>
      <c r="G30" s="126" t="s">
        <v>509</v>
      </c>
      <c r="H30" s="126">
        <v>0.85</v>
      </c>
      <c r="I30" s="126" t="s">
        <v>276</v>
      </c>
      <c r="J30" s="126" t="s">
        <v>276</v>
      </c>
      <c r="K30" s="126" t="s">
        <v>510</v>
      </c>
      <c r="L30" s="126"/>
      <c r="M30" s="126" t="s">
        <v>285</v>
      </c>
      <c r="N30" s="149">
        <v>44971.0</v>
      </c>
      <c r="O30" s="150">
        <v>0.1345</v>
      </c>
      <c r="P30" s="150">
        <v>0.1717</v>
      </c>
      <c r="Q30" s="153">
        <v>44501.0</v>
      </c>
      <c r="R30" s="126" t="s">
        <v>296</v>
      </c>
      <c r="S30" s="150">
        <v>0.0093</v>
      </c>
      <c r="T30" s="126" t="s">
        <v>276</v>
      </c>
      <c r="U30" s="126" t="s">
        <v>276</v>
      </c>
      <c r="V30" s="150">
        <v>0.0</v>
      </c>
      <c r="W30" s="126" t="s">
        <v>511</v>
      </c>
      <c r="X30" s="151">
        <v>6680.0</v>
      </c>
      <c r="Y30" s="115"/>
      <c r="Z30" s="115"/>
    </row>
    <row r="31">
      <c r="A31" s="126" t="s">
        <v>512</v>
      </c>
      <c r="B31" s="126" t="s">
        <v>513</v>
      </c>
      <c r="C31" s="126" t="s">
        <v>514</v>
      </c>
      <c r="D31" s="126" t="s">
        <v>515</v>
      </c>
      <c r="E31" s="126" t="s">
        <v>301</v>
      </c>
      <c r="F31" s="126" t="s">
        <v>516</v>
      </c>
      <c r="G31" s="126" t="s">
        <v>517</v>
      </c>
      <c r="H31" s="126">
        <v>0.81</v>
      </c>
      <c r="I31" s="126" t="s">
        <v>518</v>
      </c>
      <c r="J31" s="126" t="s">
        <v>519</v>
      </c>
      <c r="K31" s="126" t="s">
        <v>520</v>
      </c>
      <c r="L31" s="126" t="s">
        <v>521</v>
      </c>
      <c r="M31" s="126" t="s">
        <v>522</v>
      </c>
      <c r="N31" s="149">
        <v>44972.0</v>
      </c>
      <c r="O31" s="150">
        <v>0.0611</v>
      </c>
      <c r="P31" s="150">
        <v>0.0556</v>
      </c>
      <c r="Q31" s="149">
        <v>44545.0</v>
      </c>
      <c r="R31" s="126" t="s">
        <v>523</v>
      </c>
      <c r="S31" s="150">
        <v>0.15</v>
      </c>
      <c r="T31" s="150">
        <v>0.0</v>
      </c>
      <c r="U31" s="126" t="s">
        <v>276</v>
      </c>
      <c r="V31" s="150">
        <v>0.0</v>
      </c>
      <c r="W31" s="126" t="s">
        <v>524</v>
      </c>
      <c r="X31" s="151">
        <v>143.0</v>
      </c>
      <c r="Y31" s="115"/>
      <c r="Z31" s="115"/>
    </row>
    <row r="32">
      <c r="A32" s="126" t="s">
        <v>213</v>
      </c>
      <c r="B32" s="126" t="s">
        <v>525</v>
      </c>
      <c r="C32" s="126" t="s">
        <v>526</v>
      </c>
      <c r="D32" s="126" t="s">
        <v>527</v>
      </c>
      <c r="E32" s="126" t="s">
        <v>528</v>
      </c>
      <c r="F32" s="126" t="s">
        <v>529</v>
      </c>
      <c r="G32" s="126" t="s">
        <v>530</v>
      </c>
      <c r="H32" s="126">
        <v>0.71</v>
      </c>
      <c r="I32" s="126" t="s">
        <v>531</v>
      </c>
      <c r="J32" s="126" t="s">
        <v>532</v>
      </c>
      <c r="K32" s="126" t="s">
        <v>533</v>
      </c>
      <c r="L32" s="126" t="s">
        <v>534</v>
      </c>
      <c r="M32" s="126" t="s">
        <v>535</v>
      </c>
      <c r="N32" s="149">
        <v>44971.0</v>
      </c>
      <c r="O32" s="150">
        <v>0.151</v>
      </c>
      <c r="P32" s="150">
        <v>0.1431</v>
      </c>
      <c r="Q32" s="149">
        <v>44134.0</v>
      </c>
      <c r="R32" s="126" t="s">
        <v>286</v>
      </c>
      <c r="S32" s="150">
        <v>-0.1007</v>
      </c>
      <c r="T32" s="150">
        <v>0.0</v>
      </c>
      <c r="U32" s="153">
        <v>44895.0</v>
      </c>
      <c r="V32" s="150">
        <v>0.0026</v>
      </c>
      <c r="W32" s="126" t="s">
        <v>536</v>
      </c>
      <c r="X32" s="151">
        <v>12271.0</v>
      </c>
      <c r="Y32" s="115"/>
      <c r="Z32" s="115"/>
    </row>
    <row r="33">
      <c r="A33" s="126" t="s">
        <v>537</v>
      </c>
      <c r="B33" s="126" t="s">
        <v>538</v>
      </c>
      <c r="C33" s="126" t="s">
        <v>539</v>
      </c>
      <c r="D33" s="126" t="s">
        <v>527</v>
      </c>
      <c r="E33" s="126" t="s">
        <v>301</v>
      </c>
      <c r="F33" s="126" t="s">
        <v>540</v>
      </c>
      <c r="G33" s="126" t="s">
        <v>541</v>
      </c>
      <c r="H33" s="126">
        <v>0.63</v>
      </c>
      <c r="I33" s="126" t="s">
        <v>542</v>
      </c>
      <c r="J33" s="126" t="s">
        <v>543</v>
      </c>
      <c r="K33" s="126" t="s">
        <v>544</v>
      </c>
      <c r="L33" s="126" t="s">
        <v>545</v>
      </c>
      <c r="M33" s="126" t="s">
        <v>546</v>
      </c>
      <c r="N33" s="149">
        <v>44971.0</v>
      </c>
      <c r="O33" s="150">
        <v>0.0219</v>
      </c>
      <c r="P33" s="150">
        <v>0.0142</v>
      </c>
      <c r="Q33" s="149">
        <v>43924.0</v>
      </c>
      <c r="R33" s="126" t="s">
        <v>547</v>
      </c>
      <c r="S33" s="150">
        <v>0.05</v>
      </c>
      <c r="T33" s="150">
        <v>0.0</v>
      </c>
      <c r="U33" s="126" t="s">
        <v>276</v>
      </c>
      <c r="V33" s="150">
        <v>0.0</v>
      </c>
      <c r="W33" s="126"/>
      <c r="X33" s="151">
        <v>95.0</v>
      </c>
      <c r="Y33" s="115"/>
      <c r="Z33" s="115"/>
    </row>
    <row r="34">
      <c r="A34" s="126" t="s">
        <v>212</v>
      </c>
      <c r="B34" s="126" t="s">
        <v>548</v>
      </c>
      <c r="C34" s="126" t="s">
        <v>549</v>
      </c>
      <c r="D34" s="126" t="s">
        <v>527</v>
      </c>
      <c r="E34" s="126" t="s">
        <v>328</v>
      </c>
      <c r="F34" s="126" t="s">
        <v>550</v>
      </c>
      <c r="G34" s="126" t="s">
        <v>551</v>
      </c>
      <c r="H34" s="126">
        <v>0.83</v>
      </c>
      <c r="I34" s="126" t="s">
        <v>276</v>
      </c>
      <c r="J34" s="126" t="s">
        <v>276</v>
      </c>
      <c r="K34" s="126" t="s">
        <v>552</v>
      </c>
      <c r="L34" s="126"/>
      <c r="M34" s="126" t="s">
        <v>285</v>
      </c>
      <c r="N34" s="149">
        <v>44971.0</v>
      </c>
      <c r="O34" s="150">
        <v>0.1331</v>
      </c>
      <c r="P34" s="150">
        <v>0.1422</v>
      </c>
      <c r="Q34" s="149">
        <v>44056.0</v>
      </c>
      <c r="R34" s="126" t="s">
        <v>296</v>
      </c>
      <c r="S34" s="150">
        <v>-0.1026</v>
      </c>
      <c r="T34" s="126" t="s">
        <v>276</v>
      </c>
      <c r="U34" s="126" t="s">
        <v>276</v>
      </c>
      <c r="V34" s="150">
        <v>0.0016</v>
      </c>
      <c r="W34" s="126" t="s">
        <v>553</v>
      </c>
      <c r="X34" s="151">
        <v>17777.0</v>
      </c>
      <c r="Y34" s="115"/>
      <c r="Z34" s="115"/>
    </row>
    <row r="35">
      <c r="A35" s="126" t="s">
        <v>554</v>
      </c>
      <c r="B35" s="126" t="s">
        <v>555</v>
      </c>
      <c r="C35" s="126" t="s">
        <v>556</v>
      </c>
      <c r="D35" s="126" t="s">
        <v>557</v>
      </c>
      <c r="E35" s="126" t="s">
        <v>281</v>
      </c>
      <c r="F35" s="126" t="s">
        <v>558</v>
      </c>
      <c r="G35" s="126" t="s">
        <v>559</v>
      </c>
      <c r="H35" s="126">
        <v>1.01</v>
      </c>
      <c r="I35" s="126" t="s">
        <v>276</v>
      </c>
      <c r="J35" s="126" t="s">
        <v>276</v>
      </c>
      <c r="K35" s="126" t="s">
        <v>560</v>
      </c>
      <c r="L35" s="126"/>
      <c r="M35" s="126" t="s">
        <v>285</v>
      </c>
      <c r="N35" s="149">
        <v>44973.0</v>
      </c>
      <c r="O35" s="150">
        <v>0.1288</v>
      </c>
      <c r="P35" s="150">
        <v>0.1116</v>
      </c>
      <c r="Q35" s="149">
        <v>44643.0</v>
      </c>
      <c r="R35" s="126" t="s">
        <v>286</v>
      </c>
      <c r="S35" s="150">
        <v>0.0105</v>
      </c>
      <c r="T35" s="126" t="s">
        <v>276</v>
      </c>
      <c r="U35" s="126" t="s">
        <v>276</v>
      </c>
      <c r="V35" s="150">
        <v>0.0</v>
      </c>
      <c r="W35" s="126" t="s">
        <v>561</v>
      </c>
      <c r="X35" s="151">
        <v>89.0</v>
      </c>
      <c r="Y35" s="115"/>
      <c r="Z35" s="115"/>
    </row>
    <row r="36">
      <c r="A36" s="126" t="s">
        <v>562</v>
      </c>
      <c r="B36" s="126" t="s">
        <v>318</v>
      </c>
      <c r="C36" s="126" t="s">
        <v>563</v>
      </c>
      <c r="D36" s="126" t="s">
        <v>266</v>
      </c>
      <c r="E36" s="126" t="s">
        <v>301</v>
      </c>
      <c r="F36" s="126" t="s">
        <v>318</v>
      </c>
      <c r="G36" s="126" t="s">
        <v>564</v>
      </c>
      <c r="H36" s="126">
        <v>0.0</v>
      </c>
      <c r="I36" s="126" t="s">
        <v>318</v>
      </c>
      <c r="J36" s="126" t="s">
        <v>565</v>
      </c>
      <c r="K36" s="126" t="s">
        <v>318</v>
      </c>
      <c r="L36" s="126" t="s">
        <v>318</v>
      </c>
      <c r="M36" s="126" t="s">
        <v>566</v>
      </c>
      <c r="N36" s="149">
        <v>44957.0</v>
      </c>
      <c r="O36" s="150"/>
      <c r="P36" s="150"/>
      <c r="Q36" s="149">
        <v>40444.0</v>
      </c>
      <c r="R36" s="126" t="s">
        <v>488</v>
      </c>
      <c r="S36" s="126" t="s">
        <v>276</v>
      </c>
      <c r="T36" s="126" t="s">
        <v>276</v>
      </c>
      <c r="U36" s="126" t="s">
        <v>276</v>
      </c>
      <c r="V36" s="150">
        <v>0.0</v>
      </c>
      <c r="W36" s="126"/>
      <c r="X36" s="151">
        <v>12.0</v>
      </c>
      <c r="Y36" s="115"/>
      <c r="Z36" s="115"/>
    </row>
    <row r="37">
      <c r="A37" s="126" t="s">
        <v>116</v>
      </c>
      <c r="B37" s="126" t="s">
        <v>555</v>
      </c>
      <c r="C37" s="126" t="s">
        <v>567</v>
      </c>
      <c r="D37" s="126" t="s">
        <v>568</v>
      </c>
      <c r="E37" s="126" t="s">
        <v>301</v>
      </c>
      <c r="F37" s="126" t="s">
        <v>569</v>
      </c>
      <c r="G37" s="126" t="s">
        <v>570</v>
      </c>
      <c r="H37" s="126">
        <v>0.89</v>
      </c>
      <c r="I37" s="126" t="s">
        <v>571</v>
      </c>
      <c r="J37" s="126" t="s">
        <v>572</v>
      </c>
      <c r="K37" s="126" t="s">
        <v>573</v>
      </c>
      <c r="L37" s="126" t="s">
        <v>574</v>
      </c>
      <c r="M37" s="126" t="s">
        <v>575</v>
      </c>
      <c r="N37" s="149">
        <v>44971.0</v>
      </c>
      <c r="O37" s="150">
        <v>0.0809</v>
      </c>
      <c r="P37" s="150">
        <v>0.0888</v>
      </c>
      <c r="Q37" s="149">
        <v>40953.0</v>
      </c>
      <c r="R37" s="126" t="s">
        <v>286</v>
      </c>
      <c r="S37" s="150">
        <v>-0.0048</v>
      </c>
      <c r="T37" s="150">
        <v>0.0</v>
      </c>
      <c r="U37" s="126" t="s">
        <v>276</v>
      </c>
      <c r="V37" s="150">
        <v>0.0</v>
      </c>
      <c r="W37" s="126" t="s">
        <v>576</v>
      </c>
      <c r="X37" s="151">
        <v>1438.0</v>
      </c>
      <c r="Y37" s="115"/>
      <c r="Z37" s="115"/>
    </row>
    <row r="38">
      <c r="A38" s="126" t="s">
        <v>577</v>
      </c>
      <c r="B38" s="126" t="s">
        <v>578</v>
      </c>
      <c r="C38" s="126" t="s">
        <v>579</v>
      </c>
      <c r="D38" s="126" t="s">
        <v>580</v>
      </c>
      <c r="E38" s="126" t="s">
        <v>423</v>
      </c>
      <c r="F38" s="126" t="s">
        <v>581</v>
      </c>
      <c r="G38" s="126" t="s">
        <v>582</v>
      </c>
      <c r="H38" s="126">
        <v>1.33</v>
      </c>
      <c r="I38" s="126" t="s">
        <v>583</v>
      </c>
      <c r="J38" s="126" t="s">
        <v>584</v>
      </c>
      <c r="K38" s="126" t="s">
        <v>585</v>
      </c>
      <c r="L38" s="126" t="s">
        <v>586</v>
      </c>
      <c r="M38" s="126" t="s">
        <v>587</v>
      </c>
      <c r="N38" s="149">
        <v>44971.0</v>
      </c>
      <c r="O38" s="150">
        <v>0.1393</v>
      </c>
      <c r="P38" s="150">
        <v>0.1404</v>
      </c>
      <c r="Q38" s="149">
        <v>41177.0</v>
      </c>
      <c r="R38" s="126" t="s">
        <v>286</v>
      </c>
      <c r="S38" s="150">
        <v>-0.0108</v>
      </c>
      <c r="T38" s="150">
        <v>0.0</v>
      </c>
      <c r="U38" s="126" t="s">
        <v>276</v>
      </c>
      <c r="V38" s="150">
        <v>0.0</v>
      </c>
      <c r="W38" s="126" t="s">
        <v>588</v>
      </c>
      <c r="X38" s="151">
        <v>4015.0</v>
      </c>
      <c r="Y38" s="115"/>
      <c r="Z38" s="115"/>
    </row>
    <row r="39">
      <c r="A39" s="126" t="s">
        <v>79</v>
      </c>
      <c r="B39" s="126" t="s">
        <v>589</v>
      </c>
      <c r="C39" s="126" t="s">
        <v>590</v>
      </c>
      <c r="D39" s="126" t="s">
        <v>591</v>
      </c>
      <c r="E39" s="126" t="s">
        <v>328</v>
      </c>
      <c r="F39" s="126" t="s">
        <v>592</v>
      </c>
      <c r="G39" s="126" t="s">
        <v>593</v>
      </c>
      <c r="H39" s="126">
        <v>0.86</v>
      </c>
      <c r="I39" s="126" t="s">
        <v>276</v>
      </c>
      <c r="J39" s="126" t="s">
        <v>276</v>
      </c>
      <c r="K39" s="126" t="s">
        <v>594</v>
      </c>
      <c r="L39" s="126"/>
      <c r="M39" s="126" t="s">
        <v>285</v>
      </c>
      <c r="N39" s="149">
        <v>44964.0</v>
      </c>
      <c r="O39" s="150">
        <v>0.1281</v>
      </c>
      <c r="P39" s="150">
        <v>0.1308</v>
      </c>
      <c r="Q39" s="149">
        <v>41379.0</v>
      </c>
      <c r="R39" s="126" t="s">
        <v>286</v>
      </c>
      <c r="S39" s="150">
        <v>-0.0433</v>
      </c>
      <c r="T39" s="126" t="s">
        <v>276</v>
      </c>
      <c r="U39" s="126" t="s">
        <v>276</v>
      </c>
      <c r="V39" s="150">
        <v>0.0026</v>
      </c>
      <c r="W39" s="126" t="s">
        <v>595</v>
      </c>
      <c r="X39" s="151">
        <v>19420.0</v>
      </c>
      <c r="Y39" s="115"/>
      <c r="Z39" s="115"/>
    </row>
    <row r="40">
      <c r="A40" s="126" t="s">
        <v>114</v>
      </c>
      <c r="B40" s="126" t="s">
        <v>596</v>
      </c>
      <c r="C40" s="126" t="s">
        <v>597</v>
      </c>
      <c r="D40" s="126" t="s">
        <v>313</v>
      </c>
      <c r="E40" s="126" t="s">
        <v>267</v>
      </c>
      <c r="F40" s="126" t="s">
        <v>598</v>
      </c>
      <c r="G40" s="126" t="s">
        <v>599</v>
      </c>
      <c r="H40" s="126">
        <v>0.47</v>
      </c>
      <c r="I40" s="126" t="s">
        <v>600</v>
      </c>
      <c r="J40" s="126" t="s">
        <v>601</v>
      </c>
      <c r="K40" s="126" t="s">
        <v>602</v>
      </c>
      <c r="L40" s="126" t="s">
        <v>603</v>
      </c>
      <c r="M40" s="126" t="s">
        <v>604</v>
      </c>
      <c r="N40" s="149">
        <v>44981.0</v>
      </c>
      <c r="O40" s="150">
        <v>0.0565</v>
      </c>
      <c r="P40" s="150">
        <v>0.0465</v>
      </c>
      <c r="Q40" s="149">
        <v>43672.0</v>
      </c>
      <c r="R40" s="126" t="s">
        <v>286</v>
      </c>
      <c r="S40" s="150">
        <v>-0.0664</v>
      </c>
      <c r="T40" s="150">
        <v>0.048</v>
      </c>
      <c r="U40" s="126" t="s">
        <v>276</v>
      </c>
      <c r="V40" s="150">
        <v>0.0</v>
      </c>
      <c r="W40" s="126" t="s">
        <v>605</v>
      </c>
      <c r="X40" s="151">
        <v>1587.0</v>
      </c>
      <c r="Y40" s="115"/>
      <c r="Z40" s="115"/>
    </row>
    <row r="41">
      <c r="A41" s="126" t="s">
        <v>105</v>
      </c>
      <c r="B41" s="126" t="s">
        <v>606</v>
      </c>
      <c r="C41" s="126" t="s">
        <v>607</v>
      </c>
      <c r="D41" s="126"/>
      <c r="E41" s="126" t="s">
        <v>528</v>
      </c>
      <c r="F41" s="126" t="s">
        <v>608</v>
      </c>
      <c r="G41" s="126" t="s">
        <v>609</v>
      </c>
      <c r="H41" s="126">
        <v>0.84</v>
      </c>
      <c r="I41" s="126" t="s">
        <v>610</v>
      </c>
      <c r="J41" s="126" t="s">
        <v>611</v>
      </c>
      <c r="K41" s="126" t="s">
        <v>612</v>
      </c>
      <c r="L41" s="126" t="s">
        <v>613</v>
      </c>
      <c r="M41" s="126" t="s">
        <v>614</v>
      </c>
      <c r="N41" s="149">
        <v>44971.0</v>
      </c>
      <c r="O41" s="150">
        <v>0.1274</v>
      </c>
      <c r="P41" s="150">
        <v>0.1143</v>
      </c>
      <c r="Q41" s="149">
        <v>43705.0</v>
      </c>
      <c r="R41" s="126" t="s">
        <v>286</v>
      </c>
      <c r="S41" s="150">
        <v>-0.0963</v>
      </c>
      <c r="T41" s="126" t="s">
        <v>276</v>
      </c>
      <c r="U41" s="126" t="s">
        <v>276</v>
      </c>
      <c r="V41" s="150">
        <v>0.0</v>
      </c>
      <c r="W41" s="126" t="s">
        <v>615</v>
      </c>
      <c r="X41" s="151">
        <v>178.0</v>
      </c>
      <c r="Y41" s="115"/>
      <c r="Z41" s="115"/>
    </row>
    <row r="42">
      <c r="A42" s="126" t="s">
        <v>152</v>
      </c>
      <c r="B42" s="126" t="s">
        <v>616</v>
      </c>
      <c r="C42" s="126" t="s">
        <v>617</v>
      </c>
      <c r="D42" s="126" t="s">
        <v>618</v>
      </c>
      <c r="E42" s="126" t="s">
        <v>528</v>
      </c>
      <c r="F42" s="126" t="s">
        <v>619</v>
      </c>
      <c r="G42" s="126" t="s">
        <v>620</v>
      </c>
      <c r="H42" s="126">
        <v>0.77</v>
      </c>
      <c r="I42" s="126" t="s">
        <v>621</v>
      </c>
      <c r="J42" s="126" t="s">
        <v>622</v>
      </c>
      <c r="K42" s="126" t="s">
        <v>594</v>
      </c>
      <c r="L42" s="126" t="s">
        <v>623</v>
      </c>
      <c r="M42" s="126" t="s">
        <v>624</v>
      </c>
      <c r="N42" s="149">
        <v>44971.0</v>
      </c>
      <c r="O42" s="150">
        <v>0.0826</v>
      </c>
      <c r="P42" s="150">
        <v>0.086</v>
      </c>
      <c r="Q42" s="149">
        <v>43804.0</v>
      </c>
      <c r="R42" s="126" t="s">
        <v>286</v>
      </c>
      <c r="S42" s="150">
        <v>-0.0499</v>
      </c>
      <c r="T42" s="150">
        <v>0.12</v>
      </c>
      <c r="U42" s="153">
        <v>44957.0</v>
      </c>
      <c r="V42" s="150">
        <v>0.0133</v>
      </c>
      <c r="W42" s="126" t="s">
        <v>625</v>
      </c>
      <c r="X42" s="151">
        <v>112470.0</v>
      </c>
      <c r="Y42" s="115"/>
      <c r="Z42" s="115"/>
    </row>
    <row r="43">
      <c r="A43" s="126" t="s">
        <v>128</v>
      </c>
      <c r="B43" s="126" t="s">
        <v>626</v>
      </c>
      <c r="C43" s="126" t="s">
        <v>627</v>
      </c>
      <c r="D43" s="126" t="s">
        <v>313</v>
      </c>
      <c r="E43" s="126" t="s">
        <v>301</v>
      </c>
      <c r="F43" s="126" t="s">
        <v>628</v>
      </c>
      <c r="G43" s="126" t="s">
        <v>629</v>
      </c>
      <c r="H43" s="126">
        <v>0.55</v>
      </c>
      <c r="I43" s="126" t="s">
        <v>630</v>
      </c>
      <c r="J43" s="126" t="s">
        <v>631</v>
      </c>
      <c r="K43" s="126" t="s">
        <v>632</v>
      </c>
      <c r="L43" s="126" t="s">
        <v>633</v>
      </c>
      <c r="M43" s="126" t="s">
        <v>634</v>
      </c>
      <c r="N43" s="149">
        <v>44971.0</v>
      </c>
      <c r="O43" s="150">
        <v>0.1087</v>
      </c>
      <c r="P43" s="150">
        <v>0.1058</v>
      </c>
      <c r="Q43" s="153">
        <v>40513.0</v>
      </c>
      <c r="R43" s="126" t="s">
        <v>286</v>
      </c>
      <c r="S43" s="150">
        <v>-0.0809</v>
      </c>
      <c r="T43" s="150">
        <v>0.239</v>
      </c>
      <c r="U43" s="153">
        <v>44957.0</v>
      </c>
      <c r="V43" s="150">
        <v>0.0145</v>
      </c>
      <c r="W43" s="126" t="s">
        <v>635</v>
      </c>
      <c r="X43" s="151">
        <v>157924.0</v>
      </c>
      <c r="Y43" s="115"/>
      <c r="Z43" s="115"/>
    </row>
    <row r="44">
      <c r="A44" s="126" t="s">
        <v>184</v>
      </c>
      <c r="B44" s="126" t="s">
        <v>636</v>
      </c>
      <c r="C44" s="126" t="s">
        <v>637</v>
      </c>
      <c r="D44" s="126" t="s">
        <v>638</v>
      </c>
      <c r="E44" s="126" t="s">
        <v>301</v>
      </c>
      <c r="F44" s="126" t="s">
        <v>639</v>
      </c>
      <c r="G44" s="126" t="s">
        <v>640</v>
      </c>
      <c r="H44" s="126">
        <v>0.81</v>
      </c>
      <c r="I44" s="126" t="s">
        <v>641</v>
      </c>
      <c r="J44" s="126" t="s">
        <v>642</v>
      </c>
      <c r="K44" s="126" t="s">
        <v>643</v>
      </c>
      <c r="L44" s="126" t="s">
        <v>644</v>
      </c>
      <c r="M44" s="126" t="s">
        <v>645</v>
      </c>
      <c r="N44" s="149">
        <v>44971.0</v>
      </c>
      <c r="O44" s="150">
        <v>0.0808</v>
      </c>
      <c r="P44" s="150">
        <v>0.0764</v>
      </c>
      <c r="Q44" s="149">
        <v>43851.0</v>
      </c>
      <c r="R44" s="126" t="s">
        <v>286</v>
      </c>
      <c r="S44" s="150">
        <v>0.0592</v>
      </c>
      <c r="T44" s="150">
        <v>0.0</v>
      </c>
      <c r="U44" s="126" t="s">
        <v>276</v>
      </c>
      <c r="V44" s="150">
        <v>0.0</v>
      </c>
      <c r="W44" s="126" t="s">
        <v>646</v>
      </c>
      <c r="X44" s="151">
        <v>188.0</v>
      </c>
      <c r="Y44" s="115"/>
      <c r="Z44" s="115"/>
    </row>
    <row r="45">
      <c r="A45" s="126" t="s">
        <v>647</v>
      </c>
      <c r="B45" s="126" t="s">
        <v>318</v>
      </c>
      <c r="C45" s="126" t="s">
        <v>648</v>
      </c>
      <c r="D45" s="126" t="s">
        <v>649</v>
      </c>
      <c r="E45" s="126" t="s">
        <v>391</v>
      </c>
      <c r="F45" s="126" t="s">
        <v>318</v>
      </c>
      <c r="G45" s="126" t="s">
        <v>650</v>
      </c>
      <c r="H45" s="126">
        <v>0.0</v>
      </c>
      <c r="I45" s="126" t="s">
        <v>318</v>
      </c>
      <c r="J45" s="126" t="s">
        <v>651</v>
      </c>
      <c r="K45" s="126" t="s">
        <v>318</v>
      </c>
      <c r="L45" s="126" t="s">
        <v>318</v>
      </c>
      <c r="M45" s="126" t="s">
        <v>652</v>
      </c>
      <c r="N45" s="149">
        <v>44973.0</v>
      </c>
      <c r="O45" s="150"/>
      <c r="P45" s="150"/>
      <c r="Q45" s="149">
        <v>41477.0</v>
      </c>
      <c r="R45" s="126" t="s">
        <v>286</v>
      </c>
      <c r="S45" s="126" t="s">
        <v>276</v>
      </c>
      <c r="T45" s="126" t="s">
        <v>276</v>
      </c>
      <c r="U45" s="126" t="s">
        <v>276</v>
      </c>
      <c r="V45" s="150">
        <v>0.0</v>
      </c>
      <c r="W45" s="126"/>
      <c r="X45" s="151">
        <v>11.0</v>
      </c>
      <c r="Y45" s="115"/>
      <c r="Z45" s="115"/>
    </row>
    <row r="46">
      <c r="A46" s="126" t="s">
        <v>191</v>
      </c>
      <c r="B46" s="126" t="s">
        <v>653</v>
      </c>
      <c r="C46" s="126" t="s">
        <v>654</v>
      </c>
      <c r="D46" s="126" t="s">
        <v>493</v>
      </c>
      <c r="E46" s="126" t="s">
        <v>655</v>
      </c>
      <c r="F46" s="126" t="s">
        <v>656</v>
      </c>
      <c r="G46" s="126" t="s">
        <v>657</v>
      </c>
      <c r="H46" s="126">
        <v>0.94</v>
      </c>
      <c r="I46" s="126" t="s">
        <v>276</v>
      </c>
      <c r="J46" s="126" t="s">
        <v>276</v>
      </c>
      <c r="K46" s="126" t="s">
        <v>658</v>
      </c>
      <c r="L46" s="126"/>
      <c r="M46" s="126" t="s">
        <v>285</v>
      </c>
      <c r="N46" s="149">
        <v>44971.0</v>
      </c>
      <c r="O46" s="150">
        <v>0.1345</v>
      </c>
      <c r="P46" s="150">
        <v>0.1324</v>
      </c>
      <c r="Q46" s="149">
        <v>44027.0</v>
      </c>
      <c r="R46" s="126" t="s">
        <v>320</v>
      </c>
      <c r="S46" s="150">
        <v>-2.0E-4</v>
      </c>
      <c r="T46" s="126" t="s">
        <v>276</v>
      </c>
      <c r="U46" s="126" t="s">
        <v>276</v>
      </c>
      <c r="V46" s="150">
        <v>0.0</v>
      </c>
      <c r="W46" s="126"/>
      <c r="X46" s="151">
        <v>209.0</v>
      </c>
      <c r="Y46" s="115"/>
      <c r="Z46" s="115"/>
    </row>
    <row r="47">
      <c r="A47" s="126" t="s">
        <v>659</v>
      </c>
      <c r="B47" s="126" t="s">
        <v>660</v>
      </c>
      <c r="C47" s="126" t="s">
        <v>661</v>
      </c>
      <c r="D47" s="126" t="s">
        <v>493</v>
      </c>
      <c r="E47" s="126" t="s">
        <v>655</v>
      </c>
      <c r="F47" s="126" t="s">
        <v>662</v>
      </c>
      <c r="G47" s="126" t="s">
        <v>663</v>
      </c>
      <c r="H47" s="126">
        <v>1.12</v>
      </c>
      <c r="I47" s="126" t="s">
        <v>276</v>
      </c>
      <c r="J47" s="126" t="s">
        <v>276</v>
      </c>
      <c r="K47" s="126" t="s">
        <v>664</v>
      </c>
      <c r="L47" s="126"/>
      <c r="M47" s="126" t="s">
        <v>285</v>
      </c>
      <c r="N47" s="149">
        <v>44973.0</v>
      </c>
      <c r="O47" s="150">
        <v>2.0853</v>
      </c>
      <c r="P47" s="150">
        <v>0.0984</v>
      </c>
      <c r="Q47" s="149">
        <v>44120.0</v>
      </c>
      <c r="R47" s="126" t="s">
        <v>320</v>
      </c>
      <c r="S47" s="150">
        <v>-0.0242</v>
      </c>
      <c r="T47" s="126" t="s">
        <v>276</v>
      </c>
      <c r="U47" s="126" t="s">
        <v>276</v>
      </c>
      <c r="V47" s="150">
        <v>0.0</v>
      </c>
      <c r="W47" s="126"/>
      <c r="X47" s="151">
        <v>243.0</v>
      </c>
      <c r="Y47" s="115"/>
      <c r="Z47" s="115"/>
    </row>
    <row r="48">
      <c r="A48" s="126" t="s">
        <v>665</v>
      </c>
      <c r="B48" s="126" t="s">
        <v>666</v>
      </c>
      <c r="C48" s="126" t="s">
        <v>667</v>
      </c>
      <c r="D48" s="126" t="s">
        <v>313</v>
      </c>
      <c r="E48" s="126" t="s">
        <v>528</v>
      </c>
      <c r="F48" s="126" t="s">
        <v>668</v>
      </c>
      <c r="G48" s="126" t="s">
        <v>669</v>
      </c>
      <c r="H48" s="126">
        <v>0.9</v>
      </c>
      <c r="I48" s="126" t="s">
        <v>670</v>
      </c>
      <c r="J48" s="126" t="s">
        <v>671</v>
      </c>
      <c r="K48" s="126" t="s">
        <v>672</v>
      </c>
      <c r="L48" s="126" t="s">
        <v>673</v>
      </c>
      <c r="M48" s="126" t="s">
        <v>674</v>
      </c>
      <c r="N48" s="149">
        <v>44974.0</v>
      </c>
      <c r="O48" s="150">
        <v>0.0964</v>
      </c>
      <c r="P48" s="150">
        <v>0.0908</v>
      </c>
      <c r="Q48" s="149">
        <v>44083.0</v>
      </c>
      <c r="R48" s="126" t="s">
        <v>286</v>
      </c>
      <c r="S48" s="150">
        <v>-0.0069</v>
      </c>
      <c r="T48" s="126" t="s">
        <v>276</v>
      </c>
      <c r="U48" s="126" t="s">
        <v>276</v>
      </c>
      <c r="V48" s="150">
        <v>0.0</v>
      </c>
      <c r="W48" s="126" t="s">
        <v>675</v>
      </c>
      <c r="X48" s="151">
        <v>245.0</v>
      </c>
      <c r="Y48" s="115"/>
      <c r="Z48" s="115"/>
    </row>
    <row r="49">
      <c r="A49" s="126" t="s">
        <v>214</v>
      </c>
      <c r="B49" s="126" t="s">
        <v>676</v>
      </c>
      <c r="C49" s="126" t="s">
        <v>677</v>
      </c>
      <c r="D49" s="126" t="s">
        <v>313</v>
      </c>
      <c r="E49" s="126" t="s">
        <v>292</v>
      </c>
      <c r="F49" s="126" t="s">
        <v>678</v>
      </c>
      <c r="G49" s="126" t="s">
        <v>679</v>
      </c>
      <c r="H49" s="126">
        <v>0.85</v>
      </c>
      <c r="I49" s="126" t="s">
        <v>276</v>
      </c>
      <c r="J49" s="126" t="s">
        <v>276</v>
      </c>
      <c r="K49" s="126" t="s">
        <v>680</v>
      </c>
      <c r="L49" s="126"/>
      <c r="M49" s="126" t="s">
        <v>285</v>
      </c>
      <c r="N49" s="149">
        <v>44985.0</v>
      </c>
      <c r="O49" s="150">
        <v>0.1179</v>
      </c>
      <c r="P49" s="150">
        <v>0.1117</v>
      </c>
      <c r="Q49" s="149">
        <v>44225.0</v>
      </c>
      <c r="R49" s="126" t="s">
        <v>286</v>
      </c>
      <c r="S49" s="150">
        <v>-0.064</v>
      </c>
      <c r="T49" s="126" t="s">
        <v>276</v>
      </c>
      <c r="U49" s="126" t="s">
        <v>276</v>
      </c>
      <c r="V49" s="150">
        <v>0.0052</v>
      </c>
      <c r="W49" s="126" t="s">
        <v>681</v>
      </c>
      <c r="X49" s="151">
        <v>43979.0</v>
      </c>
      <c r="Y49" s="115"/>
      <c r="Z49" s="115"/>
    </row>
    <row r="50">
      <c r="A50" s="126" t="s">
        <v>682</v>
      </c>
      <c r="B50" s="126" t="s">
        <v>683</v>
      </c>
      <c r="C50" s="126" t="s">
        <v>684</v>
      </c>
      <c r="D50" s="126" t="s">
        <v>313</v>
      </c>
      <c r="E50" s="126" t="s">
        <v>281</v>
      </c>
      <c r="F50" s="126" t="s">
        <v>685</v>
      </c>
      <c r="G50" s="126" t="s">
        <v>686</v>
      </c>
      <c r="H50" s="126">
        <v>0.86</v>
      </c>
      <c r="I50" s="126" t="s">
        <v>276</v>
      </c>
      <c r="J50" s="126" t="s">
        <v>276</v>
      </c>
      <c r="K50" s="126" t="s">
        <v>687</v>
      </c>
      <c r="L50" s="126"/>
      <c r="M50" s="126" t="s">
        <v>285</v>
      </c>
      <c r="N50" s="149">
        <v>44971.0</v>
      </c>
      <c r="O50" s="150">
        <v>0.1564</v>
      </c>
      <c r="P50" s="150">
        <v>0.1539</v>
      </c>
      <c r="Q50" s="149">
        <v>39983.0</v>
      </c>
      <c r="R50" s="126" t="s">
        <v>688</v>
      </c>
      <c r="S50" s="150">
        <v>-0.032</v>
      </c>
      <c r="T50" s="126" t="s">
        <v>276</v>
      </c>
      <c r="U50" s="126" t="s">
        <v>276</v>
      </c>
      <c r="V50" s="150">
        <v>0.0082</v>
      </c>
      <c r="W50" s="126" t="s">
        <v>689</v>
      </c>
      <c r="X50" s="151">
        <v>37181.0</v>
      </c>
      <c r="Y50" s="115"/>
      <c r="Z50" s="115"/>
    </row>
    <row r="51">
      <c r="A51" s="126" t="s">
        <v>145</v>
      </c>
      <c r="B51" s="126" t="s">
        <v>690</v>
      </c>
      <c r="C51" s="126" t="s">
        <v>691</v>
      </c>
      <c r="D51" s="126" t="s">
        <v>313</v>
      </c>
      <c r="E51" s="126" t="s">
        <v>528</v>
      </c>
      <c r="F51" s="126" t="s">
        <v>692</v>
      </c>
      <c r="G51" s="126" t="s">
        <v>693</v>
      </c>
      <c r="H51" s="126">
        <v>0.94</v>
      </c>
      <c r="I51" s="126" t="s">
        <v>694</v>
      </c>
      <c r="J51" s="126" t="s">
        <v>695</v>
      </c>
      <c r="K51" s="126" t="s">
        <v>696</v>
      </c>
      <c r="L51" s="126" t="s">
        <v>697</v>
      </c>
      <c r="M51" s="126" t="s">
        <v>698</v>
      </c>
      <c r="N51" s="149">
        <v>44981.0</v>
      </c>
      <c r="O51" s="150">
        <v>0.0997</v>
      </c>
      <c r="P51" s="150">
        <v>0.0954</v>
      </c>
      <c r="Q51" s="149">
        <v>40402.0</v>
      </c>
      <c r="R51" s="126" t="s">
        <v>286</v>
      </c>
      <c r="S51" s="150">
        <v>-0.073</v>
      </c>
      <c r="T51" s="150">
        <v>0.003</v>
      </c>
      <c r="U51" s="153">
        <v>44925.0</v>
      </c>
      <c r="V51" s="150">
        <v>0.0194</v>
      </c>
      <c r="W51" s="126" t="s">
        <v>699</v>
      </c>
      <c r="X51" s="151">
        <v>209120.0</v>
      </c>
      <c r="Y51" s="115"/>
      <c r="Z51" s="115"/>
    </row>
    <row r="52">
      <c r="A52" s="126" t="s">
        <v>215</v>
      </c>
      <c r="B52" s="126" t="s">
        <v>700</v>
      </c>
      <c r="C52" s="126" t="s">
        <v>701</v>
      </c>
      <c r="D52" s="126" t="s">
        <v>313</v>
      </c>
      <c r="E52" s="126" t="s">
        <v>292</v>
      </c>
      <c r="F52" s="126" t="s">
        <v>702</v>
      </c>
      <c r="G52" s="126" t="s">
        <v>703</v>
      </c>
      <c r="H52" s="126">
        <v>0.61</v>
      </c>
      <c r="I52" s="126" t="s">
        <v>276</v>
      </c>
      <c r="J52" s="126" t="s">
        <v>276</v>
      </c>
      <c r="K52" s="126" t="s">
        <v>704</v>
      </c>
      <c r="L52" s="126"/>
      <c r="M52" s="126" t="s">
        <v>285</v>
      </c>
      <c r="N52" s="149">
        <v>44985.0</v>
      </c>
      <c r="O52" s="150">
        <v>0.1441</v>
      </c>
      <c r="P52" s="150">
        <v>0.1176</v>
      </c>
      <c r="Q52" s="149">
        <v>44407.0</v>
      </c>
      <c r="R52" s="126" t="s">
        <v>286</v>
      </c>
      <c r="S52" s="150">
        <v>-0.0226</v>
      </c>
      <c r="T52" s="126" t="s">
        <v>276</v>
      </c>
      <c r="U52" s="126" t="s">
        <v>276</v>
      </c>
      <c r="V52" s="150">
        <v>0.0027</v>
      </c>
      <c r="W52" s="126" t="s">
        <v>705</v>
      </c>
      <c r="X52" s="151">
        <v>20770.0</v>
      </c>
      <c r="Y52" s="115"/>
      <c r="Z52" s="115"/>
    </row>
    <row r="53">
      <c r="A53" s="126" t="s">
        <v>706</v>
      </c>
      <c r="B53" s="126" t="s">
        <v>286</v>
      </c>
      <c r="C53" s="126" t="s">
        <v>707</v>
      </c>
      <c r="D53" s="126" t="s">
        <v>500</v>
      </c>
      <c r="E53" s="126" t="s">
        <v>367</v>
      </c>
      <c r="F53" s="126" t="s">
        <v>708</v>
      </c>
      <c r="G53" s="126" t="s">
        <v>709</v>
      </c>
      <c r="H53" s="126">
        <v>0.73</v>
      </c>
      <c r="I53" s="126" t="s">
        <v>276</v>
      </c>
      <c r="J53" s="126" t="s">
        <v>276</v>
      </c>
      <c r="K53" s="126" t="s">
        <v>710</v>
      </c>
      <c r="L53" s="126"/>
      <c r="M53" s="126" t="s">
        <v>285</v>
      </c>
      <c r="N53" s="149">
        <v>44971.0</v>
      </c>
      <c r="O53" s="150">
        <v>0.1082</v>
      </c>
      <c r="P53" s="150">
        <v>0.0999</v>
      </c>
      <c r="Q53" s="126" t="s">
        <v>276</v>
      </c>
      <c r="R53" s="126" t="s">
        <v>286</v>
      </c>
      <c r="S53" s="150">
        <v>0.0</v>
      </c>
      <c r="T53" s="126" t="s">
        <v>276</v>
      </c>
      <c r="U53" s="126" t="s">
        <v>276</v>
      </c>
      <c r="V53" s="150">
        <v>0.0</v>
      </c>
      <c r="W53" s="126"/>
      <c r="X53" s="151">
        <v>56.0</v>
      </c>
      <c r="Y53" s="115"/>
      <c r="Z53" s="115"/>
    </row>
    <row r="54">
      <c r="A54" s="126" t="s">
        <v>711</v>
      </c>
      <c r="B54" s="126" t="s">
        <v>318</v>
      </c>
      <c r="C54" s="126" t="s">
        <v>712</v>
      </c>
      <c r="D54" s="126" t="s">
        <v>500</v>
      </c>
      <c r="E54" s="126" t="s">
        <v>335</v>
      </c>
      <c r="F54" s="126" t="s">
        <v>318</v>
      </c>
      <c r="G54" s="126" t="s">
        <v>713</v>
      </c>
      <c r="H54" s="126">
        <v>0.0</v>
      </c>
      <c r="I54" s="126" t="s">
        <v>276</v>
      </c>
      <c r="J54" s="126" t="s">
        <v>276</v>
      </c>
      <c r="K54" s="126" t="s">
        <v>714</v>
      </c>
      <c r="L54" s="126"/>
      <c r="M54" s="126" t="s">
        <v>285</v>
      </c>
      <c r="N54" s="149">
        <v>44985.0</v>
      </c>
      <c r="O54" s="150"/>
      <c r="P54" s="150"/>
      <c r="Q54" s="149">
        <v>44937.0</v>
      </c>
      <c r="R54" s="126" t="s">
        <v>286</v>
      </c>
      <c r="S54" s="126" t="s">
        <v>276</v>
      </c>
      <c r="T54" s="126" t="s">
        <v>276</v>
      </c>
      <c r="U54" s="126" t="s">
        <v>276</v>
      </c>
      <c r="V54" s="150">
        <v>0.0</v>
      </c>
      <c r="W54" s="126"/>
      <c r="X54" s="151">
        <v>91.0</v>
      </c>
      <c r="Y54" s="115"/>
      <c r="Z54" s="115"/>
    </row>
    <row r="55">
      <c r="A55" s="126" t="s">
        <v>715</v>
      </c>
      <c r="B55" s="126" t="s">
        <v>664</v>
      </c>
      <c r="C55" s="126" t="s">
        <v>716</v>
      </c>
      <c r="D55" s="126" t="s">
        <v>717</v>
      </c>
      <c r="E55" s="126" t="s">
        <v>301</v>
      </c>
      <c r="F55" s="126" t="s">
        <v>718</v>
      </c>
      <c r="G55" s="126" t="s">
        <v>719</v>
      </c>
      <c r="H55" s="126">
        <v>0.96</v>
      </c>
      <c r="I55" s="126" t="s">
        <v>720</v>
      </c>
      <c r="J55" s="126" t="s">
        <v>721</v>
      </c>
      <c r="K55" s="126" t="s">
        <v>722</v>
      </c>
      <c r="L55" s="126" t="s">
        <v>723</v>
      </c>
      <c r="M55" s="126" t="s">
        <v>724</v>
      </c>
      <c r="N55" s="149">
        <v>44971.0</v>
      </c>
      <c r="O55" s="150">
        <v>0.0411</v>
      </c>
      <c r="P55" s="150">
        <v>0.0479</v>
      </c>
      <c r="Q55" s="149">
        <v>41884.0</v>
      </c>
      <c r="R55" s="126" t="s">
        <v>725</v>
      </c>
      <c r="S55" s="150">
        <v>0.0143</v>
      </c>
      <c r="T55" s="150">
        <v>0.02</v>
      </c>
      <c r="U55" s="126" t="s">
        <v>276</v>
      </c>
      <c r="V55" s="150">
        <v>0.0</v>
      </c>
      <c r="W55" s="126"/>
      <c r="X55" s="151">
        <v>64.0</v>
      </c>
      <c r="Y55" s="115"/>
      <c r="Z55" s="115"/>
    </row>
    <row r="56">
      <c r="A56" s="126" t="s">
        <v>726</v>
      </c>
      <c r="B56" s="126" t="s">
        <v>318</v>
      </c>
      <c r="C56" s="126" t="s">
        <v>727</v>
      </c>
      <c r="D56" s="126" t="s">
        <v>266</v>
      </c>
      <c r="E56" s="126" t="s">
        <v>301</v>
      </c>
      <c r="F56" s="126" t="s">
        <v>318</v>
      </c>
      <c r="G56" s="126" t="s">
        <v>728</v>
      </c>
      <c r="H56" s="126">
        <v>0.0</v>
      </c>
      <c r="I56" s="126" t="s">
        <v>318</v>
      </c>
      <c r="J56" s="126" t="s">
        <v>729</v>
      </c>
      <c r="K56" s="126" t="s">
        <v>318</v>
      </c>
      <c r="L56" s="126" t="s">
        <v>318</v>
      </c>
      <c r="M56" s="126" t="s">
        <v>730</v>
      </c>
      <c r="N56" s="149">
        <v>44972.0</v>
      </c>
      <c r="O56" s="150"/>
      <c r="P56" s="150"/>
      <c r="Q56" s="149">
        <v>42108.0</v>
      </c>
      <c r="R56" s="126" t="s">
        <v>286</v>
      </c>
      <c r="S56" s="150">
        <v>-1.0</v>
      </c>
      <c r="T56" s="126" t="s">
        <v>276</v>
      </c>
      <c r="U56" s="126" t="s">
        <v>276</v>
      </c>
      <c r="V56" s="150">
        <v>0.0</v>
      </c>
      <c r="W56" s="126"/>
      <c r="X56" s="151">
        <v>69.0</v>
      </c>
      <c r="Y56" s="115"/>
      <c r="Z56" s="115"/>
    </row>
    <row r="57">
      <c r="A57" s="126" t="s">
        <v>731</v>
      </c>
      <c r="B57" s="126" t="s">
        <v>318</v>
      </c>
      <c r="C57" s="126" t="s">
        <v>732</v>
      </c>
      <c r="D57" s="126" t="s">
        <v>733</v>
      </c>
      <c r="E57" s="126" t="s">
        <v>335</v>
      </c>
      <c r="F57" s="126" t="s">
        <v>318</v>
      </c>
      <c r="G57" s="126" t="s">
        <v>734</v>
      </c>
      <c r="H57" s="126">
        <v>0.0</v>
      </c>
      <c r="I57" s="126" t="s">
        <v>318</v>
      </c>
      <c r="J57" s="126" t="s">
        <v>735</v>
      </c>
      <c r="K57" s="126" t="s">
        <v>318</v>
      </c>
      <c r="L57" s="126" t="s">
        <v>318</v>
      </c>
      <c r="M57" s="126" t="s">
        <v>736</v>
      </c>
      <c r="N57" s="149">
        <v>44957.0</v>
      </c>
      <c r="O57" s="150"/>
      <c r="P57" s="150"/>
      <c r="Q57" s="126" t="s">
        <v>276</v>
      </c>
      <c r="R57" s="126" t="s">
        <v>286</v>
      </c>
      <c r="S57" s="126" t="s">
        <v>276</v>
      </c>
      <c r="T57" s="126" t="s">
        <v>276</v>
      </c>
      <c r="U57" s="126" t="s">
        <v>276</v>
      </c>
      <c r="V57" s="150">
        <v>0.0</v>
      </c>
      <c r="W57" s="126"/>
      <c r="X57" s="151">
        <v>3.0</v>
      </c>
      <c r="Y57" s="115"/>
      <c r="Z57" s="115"/>
    </row>
    <row r="58">
      <c r="A58" s="126" t="s">
        <v>737</v>
      </c>
      <c r="B58" s="126" t="s">
        <v>738</v>
      </c>
      <c r="C58" s="126" t="s">
        <v>739</v>
      </c>
      <c r="D58" s="126" t="s">
        <v>740</v>
      </c>
      <c r="E58" s="126" t="s">
        <v>335</v>
      </c>
      <c r="F58" s="126" t="s">
        <v>741</v>
      </c>
      <c r="G58" s="126" t="s">
        <v>742</v>
      </c>
      <c r="H58" s="126">
        <v>1.53</v>
      </c>
      <c r="I58" s="126" t="s">
        <v>276</v>
      </c>
      <c r="J58" s="126" t="s">
        <v>276</v>
      </c>
      <c r="K58" s="126" t="s">
        <v>318</v>
      </c>
      <c r="L58" s="126"/>
      <c r="M58" s="126" t="s">
        <v>285</v>
      </c>
      <c r="N58" s="149">
        <v>44957.0</v>
      </c>
      <c r="O58" s="150">
        <v>0.0</v>
      </c>
      <c r="P58" s="150"/>
      <c r="Q58" s="153">
        <v>43069.0</v>
      </c>
      <c r="R58" s="126" t="s">
        <v>743</v>
      </c>
      <c r="S58" s="150">
        <v>-0.0288</v>
      </c>
      <c r="T58" s="126" t="s">
        <v>276</v>
      </c>
      <c r="U58" s="126" t="s">
        <v>276</v>
      </c>
      <c r="V58" s="150">
        <v>0.0</v>
      </c>
      <c r="W58" s="126" t="s">
        <v>744</v>
      </c>
      <c r="X58" s="151">
        <v>19.0</v>
      </c>
      <c r="Y58" s="115"/>
      <c r="Z58" s="115"/>
    </row>
    <row r="59">
      <c r="A59" s="126" t="s">
        <v>208</v>
      </c>
      <c r="B59" s="126" t="s">
        <v>745</v>
      </c>
      <c r="C59" s="126" t="s">
        <v>746</v>
      </c>
      <c r="D59" s="126" t="s">
        <v>747</v>
      </c>
      <c r="E59" s="126" t="s">
        <v>281</v>
      </c>
      <c r="F59" s="126" t="s">
        <v>748</v>
      </c>
      <c r="G59" s="126" t="s">
        <v>749</v>
      </c>
      <c r="H59" s="126">
        <v>1.0</v>
      </c>
      <c r="I59" s="126" t="s">
        <v>276</v>
      </c>
      <c r="J59" s="126" t="s">
        <v>276</v>
      </c>
      <c r="K59" s="126" t="s">
        <v>750</v>
      </c>
      <c r="L59" s="126"/>
      <c r="M59" s="126" t="s">
        <v>285</v>
      </c>
      <c r="N59" s="153">
        <v>44965.0</v>
      </c>
      <c r="O59" s="150">
        <v>0.1736</v>
      </c>
      <c r="P59" s="150">
        <v>0.1686</v>
      </c>
      <c r="Q59" s="149">
        <v>43854.0</v>
      </c>
      <c r="R59" s="126" t="s">
        <v>286</v>
      </c>
      <c r="S59" s="150">
        <v>0.0056</v>
      </c>
      <c r="T59" s="126" t="s">
        <v>276</v>
      </c>
      <c r="U59" s="126" t="s">
        <v>276</v>
      </c>
      <c r="V59" s="150">
        <v>0.0017</v>
      </c>
      <c r="W59" s="126" t="s">
        <v>751</v>
      </c>
      <c r="X59" s="151">
        <v>8829.0</v>
      </c>
      <c r="Y59" s="115"/>
      <c r="Z59" s="115"/>
    </row>
    <row r="60">
      <c r="A60" s="126" t="s">
        <v>216</v>
      </c>
      <c r="B60" s="126" t="s">
        <v>752</v>
      </c>
      <c r="C60" s="126" t="s">
        <v>753</v>
      </c>
      <c r="D60" s="126" t="s">
        <v>754</v>
      </c>
      <c r="E60" s="126" t="s">
        <v>755</v>
      </c>
      <c r="F60" s="126" t="s">
        <v>756</v>
      </c>
      <c r="G60" s="126" t="s">
        <v>757</v>
      </c>
      <c r="H60" s="126">
        <v>0.29</v>
      </c>
      <c r="I60" s="126" t="s">
        <v>276</v>
      </c>
      <c r="J60" s="126" t="s">
        <v>276</v>
      </c>
      <c r="K60" s="126" t="s">
        <v>318</v>
      </c>
      <c r="L60" s="126"/>
      <c r="M60" s="126" t="s">
        <v>285</v>
      </c>
      <c r="N60" s="149">
        <v>44963.0</v>
      </c>
      <c r="O60" s="150">
        <v>0.0</v>
      </c>
      <c r="P60" s="150"/>
      <c r="Q60" s="149">
        <v>41334.0</v>
      </c>
      <c r="R60" s="126" t="s">
        <v>758</v>
      </c>
      <c r="S60" s="150">
        <v>-0.1773</v>
      </c>
      <c r="T60" s="126" t="s">
        <v>276</v>
      </c>
      <c r="U60" s="126" t="s">
        <v>276</v>
      </c>
      <c r="V60" s="150">
        <v>9.0E-4</v>
      </c>
      <c r="W60" s="126" t="s">
        <v>759</v>
      </c>
      <c r="X60" s="151">
        <v>11984.0</v>
      </c>
      <c r="Y60" s="115"/>
      <c r="Z60" s="115"/>
    </row>
    <row r="61">
      <c r="A61" s="126" t="s">
        <v>760</v>
      </c>
      <c r="B61" s="126" t="s">
        <v>761</v>
      </c>
      <c r="C61" s="126" t="s">
        <v>762</v>
      </c>
      <c r="D61" s="126" t="s">
        <v>763</v>
      </c>
      <c r="E61" s="126" t="s">
        <v>301</v>
      </c>
      <c r="F61" s="126" t="s">
        <v>764</v>
      </c>
      <c r="G61" s="126" t="s">
        <v>765</v>
      </c>
      <c r="H61" s="126">
        <v>0.61</v>
      </c>
      <c r="I61" s="126" t="s">
        <v>766</v>
      </c>
      <c r="J61" s="126" t="s">
        <v>767</v>
      </c>
      <c r="K61" s="126" t="s">
        <v>768</v>
      </c>
      <c r="L61" s="126" t="s">
        <v>769</v>
      </c>
      <c r="M61" s="126" t="s">
        <v>770</v>
      </c>
      <c r="N61" s="149">
        <v>44971.0</v>
      </c>
      <c r="O61" s="150">
        <v>0.0325</v>
      </c>
      <c r="P61" s="150">
        <v>0.1484</v>
      </c>
      <c r="Q61" s="153">
        <v>41703.0</v>
      </c>
      <c r="R61" s="126" t="s">
        <v>286</v>
      </c>
      <c r="S61" s="150">
        <v>-0.1298</v>
      </c>
      <c r="T61" s="150">
        <v>0.397</v>
      </c>
      <c r="U61" s="153">
        <v>44957.0</v>
      </c>
      <c r="V61" s="150">
        <v>0.0</v>
      </c>
      <c r="W61" s="126" t="s">
        <v>771</v>
      </c>
      <c r="X61" s="151">
        <v>3756.0</v>
      </c>
      <c r="Y61" s="115"/>
      <c r="Z61" s="115"/>
    </row>
    <row r="62">
      <c r="A62" s="126" t="s">
        <v>772</v>
      </c>
      <c r="B62" s="126" t="s">
        <v>318</v>
      </c>
      <c r="C62" s="126" t="s">
        <v>773</v>
      </c>
      <c r="D62" s="126" t="s">
        <v>774</v>
      </c>
      <c r="E62" s="126" t="s">
        <v>335</v>
      </c>
      <c r="F62" s="126" t="s">
        <v>318</v>
      </c>
      <c r="G62" s="126" t="s">
        <v>775</v>
      </c>
      <c r="H62" s="126">
        <v>0.0</v>
      </c>
      <c r="I62" s="126" t="s">
        <v>276</v>
      </c>
      <c r="J62" s="126" t="s">
        <v>276</v>
      </c>
      <c r="K62" s="126" t="s">
        <v>318</v>
      </c>
      <c r="L62" s="126"/>
      <c r="M62" s="126" t="s">
        <v>285</v>
      </c>
      <c r="N62" s="149">
        <v>44964.0</v>
      </c>
      <c r="O62" s="150"/>
      <c r="P62" s="150"/>
      <c r="Q62" s="149">
        <v>44897.0</v>
      </c>
      <c r="R62" s="126" t="s">
        <v>286</v>
      </c>
      <c r="S62" s="126" t="s">
        <v>276</v>
      </c>
      <c r="T62" s="126" t="s">
        <v>276</v>
      </c>
      <c r="U62" s="126" t="s">
        <v>276</v>
      </c>
      <c r="V62" s="150">
        <v>0.0</v>
      </c>
      <c r="W62" s="126"/>
      <c r="X62" s="151">
        <v>21.0</v>
      </c>
      <c r="Y62" s="115"/>
      <c r="Z62" s="115"/>
    </row>
    <row r="63">
      <c r="A63" s="126" t="s">
        <v>776</v>
      </c>
      <c r="B63" s="126" t="s">
        <v>777</v>
      </c>
      <c r="C63" s="126" t="s">
        <v>778</v>
      </c>
      <c r="D63" s="126" t="s">
        <v>779</v>
      </c>
      <c r="E63" s="126" t="s">
        <v>281</v>
      </c>
      <c r="F63" s="126" t="s">
        <v>780</v>
      </c>
      <c r="G63" s="126" t="s">
        <v>781</v>
      </c>
      <c r="H63" s="126">
        <v>0.9</v>
      </c>
      <c r="I63" s="126" t="s">
        <v>276</v>
      </c>
      <c r="J63" s="126" t="s">
        <v>276</v>
      </c>
      <c r="K63" s="126" t="s">
        <v>782</v>
      </c>
      <c r="L63" s="126"/>
      <c r="M63" s="126" t="s">
        <v>285</v>
      </c>
      <c r="N63" s="149">
        <v>44985.0</v>
      </c>
      <c r="O63" s="150">
        <v>0.2096</v>
      </c>
      <c r="P63" s="150">
        <v>0.1395</v>
      </c>
      <c r="Q63" s="149">
        <v>44320.0</v>
      </c>
      <c r="R63" s="126" t="s">
        <v>286</v>
      </c>
      <c r="S63" s="150">
        <v>0.0213</v>
      </c>
      <c r="T63" s="126" t="s">
        <v>276</v>
      </c>
      <c r="U63" s="126" t="s">
        <v>276</v>
      </c>
      <c r="V63" s="150">
        <v>0.0</v>
      </c>
      <c r="W63" s="126" t="s">
        <v>783</v>
      </c>
      <c r="X63" s="151">
        <v>285.0</v>
      </c>
      <c r="Y63" s="115"/>
      <c r="Z63" s="115"/>
    </row>
    <row r="64">
      <c r="A64" s="126" t="s">
        <v>94</v>
      </c>
      <c r="B64" s="126" t="s">
        <v>784</v>
      </c>
      <c r="C64" s="126" t="s">
        <v>785</v>
      </c>
      <c r="D64" s="126"/>
      <c r="E64" s="126" t="s">
        <v>301</v>
      </c>
      <c r="F64" s="126" t="s">
        <v>786</v>
      </c>
      <c r="G64" s="126" t="s">
        <v>787</v>
      </c>
      <c r="H64" s="126">
        <v>0.67</v>
      </c>
      <c r="I64" s="126" t="s">
        <v>788</v>
      </c>
      <c r="J64" s="126" t="s">
        <v>789</v>
      </c>
      <c r="K64" s="126" t="s">
        <v>790</v>
      </c>
      <c r="L64" s="126" t="s">
        <v>791</v>
      </c>
      <c r="M64" s="126" t="s">
        <v>792</v>
      </c>
      <c r="N64" s="149">
        <v>44971.0</v>
      </c>
      <c r="O64" s="150">
        <v>0.1592</v>
      </c>
      <c r="P64" s="150">
        <v>0.1182</v>
      </c>
      <c r="Q64" s="149">
        <v>41186.0</v>
      </c>
      <c r="R64" s="126" t="s">
        <v>286</v>
      </c>
      <c r="S64" s="150">
        <v>-0.0312</v>
      </c>
      <c r="T64" s="150">
        <v>0.0</v>
      </c>
      <c r="U64" s="149">
        <v>42552.0</v>
      </c>
      <c r="V64" s="150">
        <v>0.0</v>
      </c>
      <c r="W64" s="126" t="s">
        <v>793</v>
      </c>
      <c r="X64" s="151">
        <v>4928.0</v>
      </c>
      <c r="Y64" s="115"/>
      <c r="Z64" s="115"/>
    </row>
    <row r="65">
      <c r="A65" s="126" t="s">
        <v>794</v>
      </c>
      <c r="B65" s="126" t="s">
        <v>318</v>
      </c>
      <c r="C65" s="126" t="s">
        <v>795</v>
      </c>
      <c r="D65" s="126" t="s">
        <v>796</v>
      </c>
      <c r="E65" s="126" t="s">
        <v>301</v>
      </c>
      <c r="F65" s="126" t="s">
        <v>797</v>
      </c>
      <c r="G65" s="126" t="s">
        <v>798</v>
      </c>
      <c r="H65" s="126">
        <v>1.44</v>
      </c>
      <c r="I65" s="126" t="s">
        <v>799</v>
      </c>
      <c r="J65" s="126" t="s">
        <v>800</v>
      </c>
      <c r="K65" s="126" t="s">
        <v>318</v>
      </c>
      <c r="L65" s="126" t="s">
        <v>318</v>
      </c>
      <c r="M65" s="126" t="s">
        <v>801</v>
      </c>
      <c r="N65" s="149">
        <v>44712.0</v>
      </c>
      <c r="O65" s="150">
        <v>0.0</v>
      </c>
      <c r="P65" s="150"/>
      <c r="Q65" s="126" t="s">
        <v>276</v>
      </c>
      <c r="R65" s="126" t="s">
        <v>320</v>
      </c>
      <c r="S65" s="150">
        <v>0.0</v>
      </c>
      <c r="T65" s="126" t="s">
        <v>276</v>
      </c>
      <c r="U65" s="126" t="s">
        <v>276</v>
      </c>
      <c r="V65" s="150">
        <v>0.0</v>
      </c>
      <c r="W65" s="126"/>
      <c r="X65" s="151">
        <v>54.0</v>
      </c>
      <c r="Y65" s="115"/>
      <c r="Z65" s="115"/>
    </row>
    <row r="66">
      <c r="A66" s="126" t="s">
        <v>802</v>
      </c>
      <c r="B66" s="126" t="s">
        <v>803</v>
      </c>
      <c r="C66" s="126" t="s">
        <v>804</v>
      </c>
      <c r="D66" s="126" t="s">
        <v>399</v>
      </c>
      <c r="E66" s="126" t="s">
        <v>301</v>
      </c>
      <c r="F66" s="126" t="s">
        <v>805</v>
      </c>
      <c r="G66" s="126" t="s">
        <v>806</v>
      </c>
      <c r="H66" s="126">
        <v>1.03</v>
      </c>
      <c r="I66" s="126" t="s">
        <v>807</v>
      </c>
      <c r="J66" s="126" t="s">
        <v>808</v>
      </c>
      <c r="K66" s="126" t="s">
        <v>318</v>
      </c>
      <c r="L66" s="126" t="s">
        <v>318</v>
      </c>
      <c r="M66" s="126" t="s">
        <v>809</v>
      </c>
      <c r="N66" s="149">
        <v>45098.0</v>
      </c>
      <c r="O66" s="150">
        <v>0.0</v>
      </c>
      <c r="P66" s="150"/>
      <c r="Q66" s="153">
        <v>40542.0</v>
      </c>
      <c r="R66" s="126" t="s">
        <v>286</v>
      </c>
      <c r="S66" s="150">
        <v>-0.0357</v>
      </c>
      <c r="T66" s="150">
        <v>0.508</v>
      </c>
      <c r="U66" s="126" t="s">
        <v>276</v>
      </c>
      <c r="V66" s="150">
        <v>0.0</v>
      </c>
      <c r="W66" s="126" t="s">
        <v>810</v>
      </c>
      <c r="X66" s="151">
        <v>1201.0</v>
      </c>
      <c r="Y66" s="115"/>
      <c r="Z66" s="115"/>
    </row>
    <row r="67">
      <c r="A67" s="126" t="s">
        <v>811</v>
      </c>
      <c r="B67" s="126" t="s">
        <v>318</v>
      </c>
      <c r="C67" s="126" t="s">
        <v>812</v>
      </c>
      <c r="D67" s="126" t="s">
        <v>313</v>
      </c>
      <c r="E67" s="126" t="s">
        <v>301</v>
      </c>
      <c r="F67" s="126" t="s">
        <v>318</v>
      </c>
      <c r="G67" s="126" t="s">
        <v>813</v>
      </c>
      <c r="H67" s="126">
        <v>0.0</v>
      </c>
      <c r="I67" s="126" t="s">
        <v>318</v>
      </c>
      <c r="J67" s="126" t="s">
        <v>814</v>
      </c>
      <c r="K67" s="126"/>
      <c r="L67" s="126"/>
      <c r="M67" s="126" t="s">
        <v>815</v>
      </c>
      <c r="N67" s="149"/>
      <c r="O67" s="150"/>
      <c r="P67" s="150"/>
      <c r="Q67" s="126" t="s">
        <v>276</v>
      </c>
      <c r="R67" s="126" t="s">
        <v>488</v>
      </c>
      <c r="S67" s="126" t="s">
        <v>276</v>
      </c>
      <c r="T67" s="126" t="s">
        <v>276</v>
      </c>
      <c r="U67" s="126" t="s">
        <v>276</v>
      </c>
      <c r="V67" s="150">
        <v>0.0</v>
      </c>
      <c r="W67" s="126"/>
      <c r="X67" s="151">
        <v>1.0</v>
      </c>
      <c r="Y67" s="115"/>
      <c r="Z67" s="115"/>
    </row>
    <row r="68">
      <c r="A68" s="126" t="s">
        <v>180</v>
      </c>
      <c r="B68" s="126" t="s">
        <v>816</v>
      </c>
      <c r="C68" s="126" t="s">
        <v>817</v>
      </c>
      <c r="D68" s="126" t="s">
        <v>313</v>
      </c>
      <c r="E68" s="126" t="s">
        <v>301</v>
      </c>
      <c r="F68" s="126" t="s">
        <v>818</v>
      </c>
      <c r="G68" s="126" t="s">
        <v>819</v>
      </c>
      <c r="H68" s="126">
        <v>0.36</v>
      </c>
      <c r="I68" s="126" t="s">
        <v>820</v>
      </c>
      <c r="J68" s="126" t="s">
        <v>821</v>
      </c>
      <c r="K68" s="126" t="s">
        <v>374</v>
      </c>
      <c r="L68" s="126" t="s">
        <v>822</v>
      </c>
      <c r="M68" s="126" t="s">
        <v>823</v>
      </c>
      <c r="N68" s="149">
        <v>44984.0</v>
      </c>
      <c r="O68" s="150">
        <v>0.0498</v>
      </c>
      <c r="P68" s="150">
        <v>0.0397</v>
      </c>
      <c r="Q68" s="149">
        <v>40759.0</v>
      </c>
      <c r="R68" s="126" t="s">
        <v>286</v>
      </c>
      <c r="S68" s="150">
        <v>-0.0123</v>
      </c>
      <c r="T68" s="150">
        <v>0.546</v>
      </c>
      <c r="U68" s="126" t="s">
        <v>276</v>
      </c>
      <c r="V68" s="150">
        <v>0.0</v>
      </c>
      <c r="W68" s="126" t="s">
        <v>824</v>
      </c>
      <c r="X68" s="151">
        <v>1851.0</v>
      </c>
      <c r="Y68" s="115"/>
      <c r="Z68" s="115"/>
    </row>
    <row r="69">
      <c r="A69" s="126" t="s">
        <v>51</v>
      </c>
      <c r="B69" s="126" t="s">
        <v>825</v>
      </c>
      <c r="C69" s="126" t="s">
        <v>826</v>
      </c>
      <c r="D69" s="126" t="s">
        <v>827</v>
      </c>
      <c r="E69" s="126" t="s">
        <v>328</v>
      </c>
      <c r="F69" s="126" t="s">
        <v>828</v>
      </c>
      <c r="G69" s="126" t="s">
        <v>829</v>
      </c>
      <c r="H69" s="126">
        <v>0.78</v>
      </c>
      <c r="I69" s="126" t="s">
        <v>276</v>
      </c>
      <c r="J69" s="126" t="s">
        <v>276</v>
      </c>
      <c r="K69" s="126" t="s">
        <v>830</v>
      </c>
      <c r="L69" s="126"/>
      <c r="M69" s="126" t="s">
        <v>285</v>
      </c>
      <c r="N69" s="149">
        <v>44973.0</v>
      </c>
      <c r="O69" s="150">
        <v>0.0759</v>
      </c>
      <c r="P69" s="150">
        <v>0.1166</v>
      </c>
      <c r="Q69" s="149">
        <v>43832.0</v>
      </c>
      <c r="R69" s="126" t="s">
        <v>286</v>
      </c>
      <c r="S69" s="150">
        <v>-0.0729</v>
      </c>
      <c r="T69" s="126" t="s">
        <v>276</v>
      </c>
      <c r="U69" s="126" t="s">
        <v>276</v>
      </c>
      <c r="V69" s="150">
        <v>0.0033</v>
      </c>
      <c r="W69" s="126" t="s">
        <v>831</v>
      </c>
      <c r="X69" s="151">
        <v>11748.0</v>
      </c>
      <c r="Y69" s="115"/>
      <c r="Z69" s="115"/>
    </row>
    <row r="70">
      <c r="A70" s="126" t="s">
        <v>832</v>
      </c>
      <c r="B70" s="126" t="s">
        <v>833</v>
      </c>
      <c r="C70" s="126" t="s">
        <v>834</v>
      </c>
      <c r="D70" s="126" t="s">
        <v>835</v>
      </c>
      <c r="E70" s="126" t="s">
        <v>292</v>
      </c>
      <c r="F70" s="126" t="s">
        <v>836</v>
      </c>
      <c r="G70" s="126" t="s">
        <v>837</v>
      </c>
      <c r="H70" s="126">
        <v>0.99</v>
      </c>
      <c r="I70" s="126" t="s">
        <v>276</v>
      </c>
      <c r="J70" s="126" t="s">
        <v>276</v>
      </c>
      <c r="K70" s="126" t="s">
        <v>838</v>
      </c>
      <c r="L70" s="126"/>
      <c r="M70" s="126" t="s">
        <v>285</v>
      </c>
      <c r="N70" s="149">
        <v>44974.0</v>
      </c>
      <c r="O70" s="150">
        <v>0.1931</v>
      </c>
      <c r="P70" s="150">
        <v>0.126</v>
      </c>
      <c r="Q70" s="149">
        <v>44734.0</v>
      </c>
      <c r="R70" s="126" t="s">
        <v>839</v>
      </c>
      <c r="S70" s="150">
        <v>-0.0133</v>
      </c>
      <c r="T70" s="126" t="s">
        <v>276</v>
      </c>
      <c r="U70" s="126" t="s">
        <v>276</v>
      </c>
      <c r="V70" s="150">
        <v>0.0</v>
      </c>
      <c r="W70" s="126" t="s">
        <v>840</v>
      </c>
      <c r="X70" s="151">
        <v>11776.0</v>
      </c>
      <c r="Y70" s="115"/>
      <c r="Z70" s="115"/>
    </row>
    <row r="71">
      <c r="A71" s="126" t="s">
        <v>207</v>
      </c>
      <c r="B71" s="126" t="s">
        <v>841</v>
      </c>
      <c r="C71" s="126" t="s">
        <v>842</v>
      </c>
      <c r="D71" s="126" t="s">
        <v>827</v>
      </c>
      <c r="E71" s="126" t="s">
        <v>281</v>
      </c>
      <c r="F71" s="126" t="s">
        <v>843</v>
      </c>
      <c r="G71" s="126" t="s">
        <v>844</v>
      </c>
      <c r="H71" s="126">
        <v>0.89</v>
      </c>
      <c r="I71" s="126" t="s">
        <v>276</v>
      </c>
      <c r="J71" s="126" t="s">
        <v>276</v>
      </c>
      <c r="K71" s="126" t="s">
        <v>845</v>
      </c>
      <c r="L71" s="126"/>
      <c r="M71" s="126" t="s">
        <v>285</v>
      </c>
      <c r="N71" s="149">
        <v>44974.0</v>
      </c>
      <c r="O71" s="150">
        <v>0.1214</v>
      </c>
      <c r="P71" s="150">
        <v>0.1445</v>
      </c>
      <c r="Q71" s="153">
        <v>41879.0</v>
      </c>
      <c r="R71" s="126" t="s">
        <v>286</v>
      </c>
      <c r="S71" s="150">
        <v>-0.0475</v>
      </c>
      <c r="T71" s="126" t="s">
        <v>276</v>
      </c>
      <c r="U71" s="126" t="s">
        <v>276</v>
      </c>
      <c r="V71" s="150">
        <v>0.024</v>
      </c>
      <c r="W71" s="126" t="s">
        <v>846</v>
      </c>
      <c r="X71" s="151">
        <v>207686.0</v>
      </c>
      <c r="Y71" s="115"/>
      <c r="Z71" s="115"/>
    </row>
    <row r="72">
      <c r="A72" s="126" t="s">
        <v>129</v>
      </c>
      <c r="B72" s="126" t="s">
        <v>847</v>
      </c>
      <c r="C72" s="126" t="s">
        <v>848</v>
      </c>
      <c r="D72" s="126" t="s">
        <v>849</v>
      </c>
      <c r="E72" s="126" t="s">
        <v>328</v>
      </c>
      <c r="F72" s="126" t="s">
        <v>850</v>
      </c>
      <c r="G72" s="126" t="s">
        <v>851</v>
      </c>
      <c r="H72" s="126">
        <v>0.79</v>
      </c>
      <c r="I72" s="126" t="s">
        <v>276</v>
      </c>
      <c r="J72" s="126" t="s">
        <v>276</v>
      </c>
      <c r="K72" s="126" t="s">
        <v>852</v>
      </c>
      <c r="L72" s="126"/>
      <c r="M72" s="126" t="s">
        <v>285</v>
      </c>
      <c r="N72" s="149">
        <v>44967.0</v>
      </c>
      <c r="O72" s="150">
        <v>0.1192</v>
      </c>
      <c r="P72" s="150">
        <v>0.1105</v>
      </c>
      <c r="Q72" s="153">
        <v>43602.0</v>
      </c>
      <c r="R72" s="126" t="s">
        <v>286</v>
      </c>
      <c r="S72" s="150">
        <v>-0.0204</v>
      </c>
      <c r="T72" s="126" t="s">
        <v>276</v>
      </c>
      <c r="U72" s="126" t="s">
        <v>276</v>
      </c>
      <c r="V72" s="150">
        <v>0.0</v>
      </c>
      <c r="W72" s="126" t="s">
        <v>853</v>
      </c>
      <c r="X72" s="151">
        <v>1663.0</v>
      </c>
      <c r="Y72" s="115"/>
      <c r="Z72" s="115"/>
    </row>
    <row r="73">
      <c r="A73" s="126" t="s">
        <v>854</v>
      </c>
      <c r="B73" s="126" t="s">
        <v>855</v>
      </c>
      <c r="C73" s="126" t="s">
        <v>856</v>
      </c>
      <c r="D73" s="126" t="s">
        <v>266</v>
      </c>
      <c r="E73" s="126" t="s">
        <v>301</v>
      </c>
      <c r="F73" s="126" t="s">
        <v>857</v>
      </c>
      <c r="G73" s="126" t="s">
        <v>858</v>
      </c>
      <c r="H73" s="126">
        <v>0.35</v>
      </c>
      <c r="I73" s="126" t="s">
        <v>859</v>
      </c>
      <c r="J73" s="126" t="s">
        <v>860</v>
      </c>
      <c r="K73" s="126" t="s">
        <v>318</v>
      </c>
      <c r="L73" s="126" t="s">
        <v>318</v>
      </c>
      <c r="M73" s="126" t="s">
        <v>861</v>
      </c>
      <c r="N73" s="149">
        <v>44957.0</v>
      </c>
      <c r="O73" s="150">
        <v>0.0</v>
      </c>
      <c r="P73" s="150"/>
      <c r="Q73" s="153">
        <v>41255.0</v>
      </c>
      <c r="R73" s="126" t="s">
        <v>862</v>
      </c>
      <c r="S73" s="150">
        <v>0.0059</v>
      </c>
      <c r="T73" s="150">
        <v>0.97</v>
      </c>
      <c r="U73" s="126" t="s">
        <v>276</v>
      </c>
      <c r="V73" s="150">
        <v>0.0</v>
      </c>
      <c r="W73" s="126" t="s">
        <v>863</v>
      </c>
      <c r="X73" s="151">
        <v>3181.0</v>
      </c>
      <c r="Y73" s="115"/>
      <c r="Z73" s="115"/>
    </row>
    <row r="74">
      <c r="A74" s="126" t="s">
        <v>43</v>
      </c>
      <c r="B74" s="126" t="s">
        <v>864</v>
      </c>
      <c r="C74" s="126" t="s">
        <v>865</v>
      </c>
      <c r="D74" s="126" t="s">
        <v>866</v>
      </c>
      <c r="E74" s="126" t="s">
        <v>281</v>
      </c>
      <c r="F74" s="126" t="s">
        <v>867</v>
      </c>
      <c r="G74" s="126" t="s">
        <v>868</v>
      </c>
      <c r="H74" s="126">
        <v>0.95</v>
      </c>
      <c r="I74" s="126" t="s">
        <v>276</v>
      </c>
      <c r="J74" s="126" t="s">
        <v>276</v>
      </c>
      <c r="K74" s="126" t="s">
        <v>869</v>
      </c>
      <c r="L74" s="126"/>
      <c r="M74" s="126" t="s">
        <v>285</v>
      </c>
      <c r="N74" s="149">
        <v>44972.0</v>
      </c>
      <c r="O74" s="150">
        <v>0.1591</v>
      </c>
      <c r="P74" s="150">
        <v>0.1412</v>
      </c>
      <c r="Q74" s="153">
        <v>43734.0</v>
      </c>
      <c r="R74" s="126" t="s">
        <v>286</v>
      </c>
      <c r="S74" s="150">
        <v>0.0298</v>
      </c>
      <c r="T74" s="126" t="s">
        <v>276</v>
      </c>
      <c r="U74" s="126" t="s">
        <v>276</v>
      </c>
      <c r="V74" s="150">
        <v>0.0087</v>
      </c>
      <c r="W74" s="126" t="s">
        <v>870</v>
      </c>
      <c r="X74" s="151">
        <v>71974.0</v>
      </c>
      <c r="Y74" s="115"/>
      <c r="Z74" s="115"/>
    </row>
    <row r="75">
      <c r="A75" s="126" t="s">
        <v>871</v>
      </c>
      <c r="B75" s="126" t="s">
        <v>872</v>
      </c>
      <c r="C75" s="126" t="s">
        <v>873</v>
      </c>
      <c r="D75" s="126" t="s">
        <v>874</v>
      </c>
      <c r="E75" s="126" t="s">
        <v>423</v>
      </c>
      <c r="F75" s="126" t="s">
        <v>875</v>
      </c>
      <c r="G75" s="126" t="s">
        <v>876</v>
      </c>
      <c r="H75" s="126">
        <v>0.68</v>
      </c>
      <c r="I75" s="126" t="s">
        <v>877</v>
      </c>
      <c r="J75" s="126" t="s">
        <v>878</v>
      </c>
      <c r="K75" s="126" t="s">
        <v>845</v>
      </c>
      <c r="L75" s="126" t="s">
        <v>879</v>
      </c>
      <c r="M75" s="126" t="s">
        <v>880</v>
      </c>
      <c r="N75" s="149">
        <v>44973.0</v>
      </c>
      <c r="O75" s="150">
        <v>0.1226</v>
      </c>
      <c r="P75" s="150">
        <v>0.1201</v>
      </c>
      <c r="Q75" s="153">
        <v>44560.0</v>
      </c>
      <c r="R75" s="126" t="s">
        <v>881</v>
      </c>
      <c r="S75" s="150">
        <v>0.0056</v>
      </c>
      <c r="T75" s="126" t="s">
        <v>276</v>
      </c>
      <c r="U75" s="126" t="s">
        <v>276</v>
      </c>
      <c r="V75" s="150">
        <v>0.0</v>
      </c>
      <c r="W75" s="126" t="s">
        <v>882</v>
      </c>
      <c r="X75" s="151">
        <v>11491.0</v>
      </c>
      <c r="Y75" s="115"/>
      <c r="Z75" s="115"/>
    </row>
    <row r="76">
      <c r="A76" s="126" t="s">
        <v>45</v>
      </c>
      <c r="B76" s="126" t="s">
        <v>883</v>
      </c>
      <c r="C76" s="126" t="s">
        <v>884</v>
      </c>
      <c r="D76" s="126" t="s">
        <v>422</v>
      </c>
      <c r="E76" s="126" t="s">
        <v>301</v>
      </c>
      <c r="F76" s="126" t="s">
        <v>885</v>
      </c>
      <c r="G76" s="126" t="s">
        <v>886</v>
      </c>
      <c r="H76" s="126">
        <v>0.61</v>
      </c>
      <c r="I76" s="126" t="s">
        <v>887</v>
      </c>
      <c r="J76" s="126" t="s">
        <v>888</v>
      </c>
      <c r="K76" s="126" t="s">
        <v>889</v>
      </c>
      <c r="L76" s="126" t="s">
        <v>890</v>
      </c>
      <c r="M76" s="126" t="s">
        <v>891</v>
      </c>
      <c r="N76" s="149">
        <v>44972.0</v>
      </c>
      <c r="O76" s="150">
        <v>0.1281</v>
      </c>
      <c r="P76" s="150">
        <v>0.1135</v>
      </c>
      <c r="Q76" s="153">
        <v>40241.0</v>
      </c>
      <c r="R76" s="126" t="s">
        <v>892</v>
      </c>
      <c r="S76" s="150">
        <v>-0.0336</v>
      </c>
      <c r="T76" s="150">
        <v>0.0</v>
      </c>
      <c r="U76" s="126" t="s">
        <v>276</v>
      </c>
      <c r="V76" s="150">
        <v>0.0</v>
      </c>
      <c r="W76" s="126" t="s">
        <v>893</v>
      </c>
      <c r="X76" s="151">
        <v>4078.0</v>
      </c>
      <c r="Y76" s="115"/>
      <c r="Z76" s="115"/>
    </row>
    <row r="77">
      <c r="A77" s="126" t="s">
        <v>894</v>
      </c>
      <c r="B77" s="126" t="s">
        <v>895</v>
      </c>
      <c r="C77" s="126" t="s">
        <v>896</v>
      </c>
      <c r="D77" s="126" t="s">
        <v>897</v>
      </c>
      <c r="E77" s="126" t="s">
        <v>328</v>
      </c>
      <c r="F77" s="126" t="s">
        <v>898</v>
      </c>
      <c r="G77" s="126" t="s">
        <v>899</v>
      </c>
      <c r="H77" s="126">
        <v>0.83</v>
      </c>
      <c r="I77" s="126" t="s">
        <v>276</v>
      </c>
      <c r="J77" s="126" t="s">
        <v>276</v>
      </c>
      <c r="K77" s="126" t="s">
        <v>680</v>
      </c>
      <c r="L77" s="126"/>
      <c r="M77" s="126" t="s">
        <v>285</v>
      </c>
      <c r="N77" s="149">
        <v>44971.0</v>
      </c>
      <c r="O77" s="150">
        <v>0.1412</v>
      </c>
      <c r="P77" s="150">
        <v>0.1115</v>
      </c>
      <c r="Q77" s="153">
        <v>44642.0</v>
      </c>
      <c r="R77" s="126" t="s">
        <v>286</v>
      </c>
      <c r="S77" s="150">
        <v>-0.0555</v>
      </c>
      <c r="T77" s="126" t="s">
        <v>276</v>
      </c>
      <c r="U77" s="126" t="s">
        <v>276</v>
      </c>
      <c r="V77" s="150">
        <v>0.0</v>
      </c>
      <c r="W77" s="126" t="s">
        <v>900</v>
      </c>
      <c r="X77" s="151">
        <v>5522.0</v>
      </c>
      <c r="Y77" s="115"/>
      <c r="Z77" s="115"/>
    </row>
    <row r="78">
      <c r="A78" s="126" t="s">
        <v>901</v>
      </c>
      <c r="B78" s="126" t="s">
        <v>902</v>
      </c>
      <c r="C78" s="126" t="s">
        <v>903</v>
      </c>
      <c r="D78" s="126"/>
      <c r="E78" s="126" t="s">
        <v>301</v>
      </c>
      <c r="F78" s="126" t="s">
        <v>904</v>
      </c>
      <c r="G78" s="126" t="s">
        <v>905</v>
      </c>
      <c r="H78" s="126">
        <v>0.7</v>
      </c>
      <c r="I78" s="126" t="s">
        <v>276</v>
      </c>
      <c r="J78" s="126" t="s">
        <v>276</v>
      </c>
      <c r="K78" s="126" t="s">
        <v>906</v>
      </c>
      <c r="L78" s="126"/>
      <c r="M78" s="126" t="s">
        <v>285</v>
      </c>
      <c r="N78" s="149">
        <v>44971.0</v>
      </c>
      <c r="O78" s="150">
        <v>0.1333</v>
      </c>
      <c r="P78" s="150">
        <v>0.1225</v>
      </c>
      <c r="Q78" s="153">
        <v>44286.0</v>
      </c>
      <c r="R78" s="126" t="s">
        <v>907</v>
      </c>
      <c r="S78" s="150">
        <v>-0.0143</v>
      </c>
      <c r="T78" s="126" t="s">
        <v>276</v>
      </c>
      <c r="U78" s="126" t="s">
        <v>276</v>
      </c>
      <c r="V78" s="150">
        <v>0.0</v>
      </c>
      <c r="W78" s="126" t="s">
        <v>908</v>
      </c>
      <c r="X78" s="151">
        <v>13301.0</v>
      </c>
      <c r="Y78" s="115"/>
      <c r="Z78" s="115"/>
    </row>
    <row r="79">
      <c r="A79" s="126" t="s">
        <v>909</v>
      </c>
      <c r="B79" s="126" t="s">
        <v>910</v>
      </c>
      <c r="C79" s="126" t="s">
        <v>911</v>
      </c>
      <c r="D79" s="126" t="s">
        <v>849</v>
      </c>
      <c r="E79" s="126" t="s">
        <v>328</v>
      </c>
      <c r="F79" s="126" t="s">
        <v>912</v>
      </c>
      <c r="G79" s="126" t="s">
        <v>913</v>
      </c>
      <c r="H79" s="126">
        <v>0.78</v>
      </c>
      <c r="I79" s="126" t="s">
        <v>276</v>
      </c>
      <c r="J79" s="126" t="s">
        <v>276</v>
      </c>
      <c r="K79" s="126" t="s">
        <v>474</v>
      </c>
      <c r="L79" s="126"/>
      <c r="M79" s="126" t="s">
        <v>285</v>
      </c>
      <c r="N79" s="149">
        <v>44967.0</v>
      </c>
      <c r="O79" s="150">
        <v>0.112</v>
      </c>
      <c r="P79" s="150">
        <v>0.1049</v>
      </c>
      <c r="Q79" s="153">
        <v>41620.0</v>
      </c>
      <c r="R79" s="126" t="s">
        <v>286</v>
      </c>
      <c r="S79" s="150">
        <v>0.0</v>
      </c>
      <c r="T79" s="126" t="s">
        <v>276</v>
      </c>
      <c r="U79" s="126" t="s">
        <v>276</v>
      </c>
      <c r="V79" s="150">
        <v>0.0</v>
      </c>
      <c r="W79" s="126" t="s">
        <v>914</v>
      </c>
      <c r="X79" s="151">
        <v>2458.0</v>
      </c>
      <c r="Y79" s="115"/>
      <c r="Z79" s="115"/>
    </row>
    <row r="80">
      <c r="A80" s="126" t="s">
        <v>187</v>
      </c>
      <c r="B80" s="126" t="s">
        <v>915</v>
      </c>
      <c r="C80" s="126" t="s">
        <v>916</v>
      </c>
      <c r="D80" s="126" t="s">
        <v>422</v>
      </c>
      <c r="E80" s="126" t="s">
        <v>528</v>
      </c>
      <c r="F80" s="126" t="s">
        <v>917</v>
      </c>
      <c r="G80" s="126" t="s">
        <v>918</v>
      </c>
      <c r="H80" s="126">
        <v>0.87</v>
      </c>
      <c r="I80" s="126" t="s">
        <v>919</v>
      </c>
      <c r="J80" s="126" t="s">
        <v>920</v>
      </c>
      <c r="K80" s="126" t="s">
        <v>921</v>
      </c>
      <c r="L80" s="126" t="s">
        <v>922</v>
      </c>
      <c r="M80" s="126" t="s">
        <v>923</v>
      </c>
      <c r="N80" s="149">
        <v>44972.0</v>
      </c>
      <c r="O80" s="150">
        <v>0.0446</v>
      </c>
      <c r="P80" s="150">
        <v>0.0155</v>
      </c>
      <c r="Q80" s="153">
        <v>40925.0</v>
      </c>
      <c r="R80" s="126" t="s">
        <v>320</v>
      </c>
      <c r="S80" s="150">
        <v>-0.0547</v>
      </c>
      <c r="T80" s="150">
        <v>0.0</v>
      </c>
      <c r="U80" s="149">
        <v>44347.0</v>
      </c>
      <c r="V80" s="150">
        <v>0.0</v>
      </c>
      <c r="W80" s="126" t="s">
        <v>924</v>
      </c>
      <c r="X80" s="151">
        <v>609.0</v>
      </c>
      <c r="Y80" s="115"/>
      <c r="Z80" s="115"/>
    </row>
    <row r="81">
      <c r="A81" s="126" t="s">
        <v>925</v>
      </c>
      <c r="B81" s="126" t="s">
        <v>926</v>
      </c>
      <c r="C81" s="126" t="s">
        <v>927</v>
      </c>
      <c r="D81" s="126" t="s">
        <v>928</v>
      </c>
      <c r="E81" s="126" t="s">
        <v>281</v>
      </c>
      <c r="F81" s="126" t="s">
        <v>929</v>
      </c>
      <c r="G81" s="126" t="s">
        <v>930</v>
      </c>
      <c r="H81" s="126">
        <v>0.86</v>
      </c>
      <c r="I81" s="126" t="s">
        <v>276</v>
      </c>
      <c r="J81" s="126" t="s">
        <v>276</v>
      </c>
      <c r="K81" s="126" t="s">
        <v>362</v>
      </c>
      <c r="L81" s="126"/>
      <c r="M81" s="126" t="s">
        <v>285</v>
      </c>
      <c r="N81" s="149">
        <v>44971.0</v>
      </c>
      <c r="O81" s="150">
        <v>0.1482</v>
      </c>
      <c r="P81" s="150">
        <v>0.1618</v>
      </c>
      <c r="Q81" s="153">
        <v>44523.0</v>
      </c>
      <c r="R81" s="126" t="s">
        <v>296</v>
      </c>
      <c r="S81" s="150">
        <v>-0.0807</v>
      </c>
      <c r="T81" s="126" t="s">
        <v>276</v>
      </c>
      <c r="U81" s="126" t="s">
        <v>276</v>
      </c>
      <c r="V81" s="150">
        <v>0.0</v>
      </c>
      <c r="W81" s="126" t="s">
        <v>931</v>
      </c>
      <c r="X81" s="151">
        <v>6489.0</v>
      </c>
      <c r="Y81" s="115"/>
      <c r="Z81" s="115"/>
    </row>
    <row r="82">
      <c r="A82" s="126" t="s">
        <v>932</v>
      </c>
      <c r="B82" s="126" t="s">
        <v>933</v>
      </c>
      <c r="C82" s="126" t="s">
        <v>934</v>
      </c>
      <c r="D82" s="126" t="s">
        <v>313</v>
      </c>
      <c r="E82" s="126" t="s">
        <v>267</v>
      </c>
      <c r="F82" s="126" t="s">
        <v>935</v>
      </c>
      <c r="G82" s="126" t="s">
        <v>936</v>
      </c>
      <c r="H82" s="126">
        <v>1.13</v>
      </c>
      <c r="I82" s="126" t="s">
        <v>276</v>
      </c>
      <c r="J82" s="126" t="s">
        <v>276</v>
      </c>
      <c r="K82" s="126" t="s">
        <v>448</v>
      </c>
      <c r="L82" s="126"/>
      <c r="M82" s="126" t="s">
        <v>285</v>
      </c>
      <c r="N82" s="149">
        <v>44964.0</v>
      </c>
      <c r="O82" s="150">
        <v>0.1306</v>
      </c>
      <c r="P82" s="150">
        <v>0.021</v>
      </c>
      <c r="Q82" s="126" t="s">
        <v>276</v>
      </c>
      <c r="R82" s="126" t="s">
        <v>937</v>
      </c>
      <c r="S82" s="150">
        <v>-0.0652</v>
      </c>
      <c r="T82" s="126" t="s">
        <v>276</v>
      </c>
      <c r="U82" s="126" t="s">
        <v>276</v>
      </c>
      <c r="V82" s="150">
        <v>0.0</v>
      </c>
      <c r="W82" s="126" t="s">
        <v>938</v>
      </c>
      <c r="X82" s="151">
        <v>578.0</v>
      </c>
      <c r="Y82" s="115"/>
      <c r="Z82" s="115"/>
    </row>
    <row r="83">
      <c r="A83" s="126" t="s">
        <v>939</v>
      </c>
      <c r="B83" s="126" t="s">
        <v>940</v>
      </c>
      <c r="C83" s="126" t="s">
        <v>941</v>
      </c>
      <c r="D83" s="126" t="s">
        <v>942</v>
      </c>
      <c r="E83" s="126" t="s">
        <v>292</v>
      </c>
      <c r="F83" s="126" t="s">
        <v>943</v>
      </c>
      <c r="G83" s="126" t="s">
        <v>944</v>
      </c>
      <c r="H83" s="126">
        <v>0.95</v>
      </c>
      <c r="I83" s="126" t="s">
        <v>276</v>
      </c>
      <c r="J83" s="126" t="s">
        <v>276</v>
      </c>
      <c r="K83" s="126" t="s">
        <v>768</v>
      </c>
      <c r="L83" s="126"/>
      <c r="M83" s="126" t="s">
        <v>285</v>
      </c>
      <c r="N83" s="149">
        <v>44971.0</v>
      </c>
      <c r="O83" s="150">
        <v>0.1702</v>
      </c>
      <c r="P83" s="150">
        <v>0.1527</v>
      </c>
      <c r="Q83" s="149">
        <v>44600.0</v>
      </c>
      <c r="R83" s="126" t="s">
        <v>296</v>
      </c>
      <c r="S83" s="150">
        <v>-0.0044</v>
      </c>
      <c r="T83" s="126" t="s">
        <v>276</v>
      </c>
      <c r="U83" s="126" t="s">
        <v>276</v>
      </c>
      <c r="V83" s="150">
        <v>0.0</v>
      </c>
      <c r="W83" s="126" t="s">
        <v>945</v>
      </c>
      <c r="X83" s="151">
        <v>10883.0</v>
      </c>
      <c r="Y83" s="115"/>
      <c r="Z83" s="115"/>
    </row>
    <row r="84">
      <c r="A84" s="126" t="s">
        <v>34</v>
      </c>
      <c r="B84" s="126" t="s">
        <v>946</v>
      </c>
      <c r="C84" s="126" t="s">
        <v>947</v>
      </c>
      <c r="D84" s="126" t="s">
        <v>942</v>
      </c>
      <c r="E84" s="126" t="s">
        <v>281</v>
      </c>
      <c r="F84" s="126" t="s">
        <v>948</v>
      </c>
      <c r="G84" s="126" t="s">
        <v>949</v>
      </c>
      <c r="H84" s="126">
        <v>0.84</v>
      </c>
      <c r="I84" s="126" t="s">
        <v>276</v>
      </c>
      <c r="J84" s="126" t="s">
        <v>276</v>
      </c>
      <c r="K84" s="126" t="s">
        <v>869</v>
      </c>
      <c r="L84" s="126"/>
      <c r="M84" s="126" t="s">
        <v>285</v>
      </c>
      <c r="N84" s="149">
        <v>44971.0</v>
      </c>
      <c r="O84" s="150">
        <v>0.1672</v>
      </c>
      <c r="P84" s="150">
        <v>0.1569</v>
      </c>
      <c r="Q84" s="149">
        <v>44069.0</v>
      </c>
      <c r="R84" s="126" t="s">
        <v>286</v>
      </c>
      <c r="S84" s="150">
        <v>-0.0279</v>
      </c>
      <c r="T84" s="126" t="s">
        <v>276</v>
      </c>
      <c r="U84" s="126" t="s">
        <v>276</v>
      </c>
      <c r="V84" s="150">
        <v>0.0113</v>
      </c>
      <c r="W84" s="126" t="s">
        <v>950</v>
      </c>
      <c r="X84" s="151">
        <v>132215.0</v>
      </c>
      <c r="Y84" s="115"/>
      <c r="Z84" s="115"/>
    </row>
    <row r="85">
      <c r="A85" s="126" t="s">
        <v>951</v>
      </c>
      <c r="B85" s="126" t="s">
        <v>318</v>
      </c>
      <c r="C85" s="126" t="s">
        <v>952</v>
      </c>
      <c r="D85" s="126" t="s">
        <v>953</v>
      </c>
      <c r="E85" s="126" t="s">
        <v>301</v>
      </c>
      <c r="F85" s="126" t="s">
        <v>318</v>
      </c>
      <c r="G85" s="126" t="s">
        <v>954</v>
      </c>
      <c r="H85" s="126">
        <v>0.0</v>
      </c>
      <c r="I85" s="126" t="s">
        <v>318</v>
      </c>
      <c r="J85" s="126" t="s">
        <v>955</v>
      </c>
      <c r="K85" s="126" t="s">
        <v>318</v>
      </c>
      <c r="L85" s="126" t="s">
        <v>956</v>
      </c>
      <c r="M85" s="126" t="s">
        <v>957</v>
      </c>
      <c r="N85" s="149">
        <v>44972.0</v>
      </c>
      <c r="O85" s="150"/>
      <c r="P85" s="150"/>
      <c r="Q85" s="126" t="s">
        <v>276</v>
      </c>
      <c r="R85" s="126" t="s">
        <v>488</v>
      </c>
      <c r="S85" s="126" t="s">
        <v>276</v>
      </c>
      <c r="T85" s="126" t="s">
        <v>276</v>
      </c>
      <c r="U85" s="126" t="s">
        <v>276</v>
      </c>
      <c r="V85" s="150">
        <v>0.0</v>
      </c>
      <c r="W85" s="126"/>
      <c r="X85" s="151">
        <v>9.0</v>
      </c>
      <c r="Y85" s="115"/>
      <c r="Z85" s="115"/>
    </row>
    <row r="86">
      <c r="A86" s="126" t="s">
        <v>243</v>
      </c>
      <c r="B86" s="126" t="s">
        <v>318</v>
      </c>
      <c r="C86" s="126" t="s">
        <v>958</v>
      </c>
      <c r="D86" s="126" t="s">
        <v>580</v>
      </c>
      <c r="E86" s="126" t="s">
        <v>655</v>
      </c>
      <c r="F86" s="126" t="s">
        <v>318</v>
      </c>
      <c r="G86" s="126" t="s">
        <v>959</v>
      </c>
      <c r="H86" s="126">
        <v>0.0</v>
      </c>
      <c r="I86" s="126" t="s">
        <v>276</v>
      </c>
      <c r="J86" s="126" t="s">
        <v>276</v>
      </c>
      <c r="K86" s="126" t="s">
        <v>960</v>
      </c>
      <c r="L86" s="126"/>
      <c r="M86" s="126" t="s">
        <v>285</v>
      </c>
      <c r="N86" s="149">
        <v>44552.0</v>
      </c>
      <c r="O86" s="150"/>
      <c r="P86" s="150"/>
      <c r="Q86" s="149">
        <v>43343.0</v>
      </c>
      <c r="R86" s="126" t="s">
        <v>320</v>
      </c>
      <c r="S86" s="150">
        <v>-1.0</v>
      </c>
      <c r="T86" s="126" t="s">
        <v>276</v>
      </c>
      <c r="U86" s="126" t="s">
        <v>276</v>
      </c>
      <c r="V86" s="150">
        <v>0.0</v>
      </c>
      <c r="W86" s="126"/>
      <c r="X86" s="151">
        <v>2352.0</v>
      </c>
      <c r="Y86" s="115"/>
      <c r="Z86" s="115"/>
    </row>
    <row r="87">
      <c r="A87" s="126" t="s">
        <v>961</v>
      </c>
      <c r="B87" s="126" t="s">
        <v>318</v>
      </c>
      <c r="C87" s="126" t="s">
        <v>962</v>
      </c>
      <c r="D87" s="126" t="s">
        <v>963</v>
      </c>
      <c r="E87" s="126" t="s">
        <v>301</v>
      </c>
      <c r="F87" s="126" t="s">
        <v>964</v>
      </c>
      <c r="G87" s="126" t="s">
        <v>965</v>
      </c>
      <c r="H87" s="126">
        <v>0.77</v>
      </c>
      <c r="I87" s="126" t="s">
        <v>966</v>
      </c>
      <c r="J87" s="126" t="s">
        <v>967</v>
      </c>
      <c r="K87" s="126" t="s">
        <v>968</v>
      </c>
      <c r="L87" s="126" t="s">
        <v>969</v>
      </c>
      <c r="M87" s="126" t="s">
        <v>970</v>
      </c>
      <c r="N87" s="149">
        <v>44949.0</v>
      </c>
      <c r="O87" s="150">
        <v>0.4725</v>
      </c>
      <c r="P87" s="150">
        <v>0.0612</v>
      </c>
      <c r="Q87" s="149">
        <v>39780.0</v>
      </c>
      <c r="R87" s="126" t="s">
        <v>320</v>
      </c>
      <c r="S87" s="150">
        <v>-3.0E-4</v>
      </c>
      <c r="T87" s="150">
        <v>0.6429</v>
      </c>
      <c r="U87" s="126" t="s">
        <v>276</v>
      </c>
      <c r="V87" s="150">
        <v>0.0</v>
      </c>
      <c r="W87" s="126"/>
      <c r="X87" s="151">
        <v>52.0</v>
      </c>
      <c r="Y87" s="115"/>
      <c r="Z87" s="115"/>
    </row>
    <row r="88">
      <c r="A88" s="126" t="s">
        <v>971</v>
      </c>
      <c r="B88" s="126" t="s">
        <v>972</v>
      </c>
      <c r="C88" s="126" t="s">
        <v>973</v>
      </c>
      <c r="D88" s="126" t="s">
        <v>942</v>
      </c>
      <c r="E88" s="126" t="s">
        <v>528</v>
      </c>
      <c r="F88" s="126" t="s">
        <v>974</v>
      </c>
      <c r="G88" s="126" t="s">
        <v>975</v>
      </c>
      <c r="H88" s="126">
        <v>1.01</v>
      </c>
      <c r="I88" s="126" t="s">
        <v>976</v>
      </c>
      <c r="J88" s="126" t="s">
        <v>977</v>
      </c>
      <c r="K88" s="126" t="s">
        <v>418</v>
      </c>
      <c r="L88" s="126" t="s">
        <v>978</v>
      </c>
      <c r="M88" s="126" t="s">
        <v>979</v>
      </c>
      <c r="N88" s="149">
        <v>44971.0</v>
      </c>
      <c r="O88" s="150">
        <v>0.1178</v>
      </c>
      <c r="P88" s="150">
        <v>0.0715</v>
      </c>
      <c r="Q88" s="149">
        <v>44789.0</v>
      </c>
      <c r="R88" s="126" t="s">
        <v>286</v>
      </c>
      <c r="S88" s="150">
        <v>-0.0343</v>
      </c>
      <c r="T88" s="150">
        <v>0.0</v>
      </c>
      <c r="U88" s="153">
        <v>44957.0</v>
      </c>
      <c r="V88" s="150">
        <v>0.0</v>
      </c>
      <c r="W88" s="126" t="s">
        <v>980</v>
      </c>
      <c r="X88" s="151">
        <v>145.0</v>
      </c>
      <c r="Y88" s="115"/>
      <c r="Z88" s="115"/>
    </row>
    <row r="89">
      <c r="A89" s="126" t="s">
        <v>981</v>
      </c>
      <c r="B89" s="126" t="s">
        <v>982</v>
      </c>
      <c r="C89" s="126" t="s">
        <v>983</v>
      </c>
      <c r="D89" s="126" t="s">
        <v>984</v>
      </c>
      <c r="E89" s="126" t="s">
        <v>301</v>
      </c>
      <c r="F89" s="126" t="s">
        <v>985</v>
      </c>
      <c r="G89" s="126" t="s">
        <v>986</v>
      </c>
      <c r="H89" s="126">
        <v>0.68</v>
      </c>
      <c r="I89" s="126" t="s">
        <v>987</v>
      </c>
      <c r="J89" s="126" t="s">
        <v>988</v>
      </c>
      <c r="K89" s="126" t="s">
        <v>989</v>
      </c>
      <c r="L89" s="126" t="s">
        <v>990</v>
      </c>
      <c r="M89" s="126" t="s">
        <v>991</v>
      </c>
      <c r="N89" s="149">
        <v>44972.0</v>
      </c>
      <c r="O89" s="150">
        <v>0.0744</v>
      </c>
      <c r="P89" s="150">
        <v>0.0813</v>
      </c>
      <c r="Q89" s="149">
        <v>40752.0</v>
      </c>
      <c r="R89" s="126" t="s">
        <v>286</v>
      </c>
      <c r="S89" s="150">
        <v>-0.0723</v>
      </c>
      <c r="T89" s="150">
        <v>0.078</v>
      </c>
      <c r="U89" s="149">
        <v>43190.0</v>
      </c>
      <c r="V89" s="150">
        <v>0.0</v>
      </c>
      <c r="W89" s="126" t="s">
        <v>992</v>
      </c>
      <c r="X89" s="151">
        <v>357.0</v>
      </c>
      <c r="Y89" s="115"/>
      <c r="Z89" s="115"/>
    </row>
    <row r="90">
      <c r="A90" s="126" t="s">
        <v>993</v>
      </c>
      <c r="B90" s="126" t="s">
        <v>994</v>
      </c>
      <c r="C90" s="126" t="s">
        <v>995</v>
      </c>
      <c r="D90" s="126" t="s">
        <v>942</v>
      </c>
      <c r="E90" s="126" t="s">
        <v>328</v>
      </c>
      <c r="F90" s="126" t="s">
        <v>996</v>
      </c>
      <c r="G90" s="126" t="s">
        <v>997</v>
      </c>
      <c r="H90" s="126">
        <v>0.79</v>
      </c>
      <c r="I90" s="126" t="s">
        <v>276</v>
      </c>
      <c r="J90" s="126" t="s">
        <v>276</v>
      </c>
      <c r="K90" s="126" t="s">
        <v>998</v>
      </c>
      <c r="L90" s="126"/>
      <c r="M90" s="126" t="s">
        <v>285</v>
      </c>
      <c r="N90" s="149">
        <v>44971.0</v>
      </c>
      <c r="O90" s="150">
        <v>0.1276</v>
      </c>
      <c r="P90" s="150">
        <v>0.1289</v>
      </c>
      <c r="Q90" s="149">
        <v>44400.0</v>
      </c>
      <c r="R90" s="126" t="s">
        <v>286</v>
      </c>
      <c r="S90" s="150">
        <v>-0.0464</v>
      </c>
      <c r="T90" s="126" t="s">
        <v>276</v>
      </c>
      <c r="U90" s="126" t="s">
        <v>276</v>
      </c>
      <c r="V90" s="150">
        <v>0.0</v>
      </c>
      <c r="W90" s="126" t="s">
        <v>999</v>
      </c>
      <c r="X90" s="151">
        <v>681.0</v>
      </c>
      <c r="Y90" s="115"/>
      <c r="Z90" s="115"/>
    </row>
    <row r="91">
      <c r="A91" s="126" t="s">
        <v>113</v>
      </c>
      <c r="B91" s="126" t="s">
        <v>1000</v>
      </c>
      <c r="C91" s="126" t="s">
        <v>1001</v>
      </c>
      <c r="D91" s="126" t="s">
        <v>580</v>
      </c>
      <c r="E91" s="126" t="s">
        <v>301</v>
      </c>
      <c r="F91" s="126" t="s">
        <v>1002</v>
      </c>
      <c r="G91" s="126" t="s">
        <v>1003</v>
      </c>
      <c r="H91" s="126">
        <v>1.11</v>
      </c>
      <c r="I91" s="126" t="s">
        <v>1004</v>
      </c>
      <c r="J91" s="126" t="s">
        <v>1005</v>
      </c>
      <c r="K91" s="126" t="s">
        <v>1006</v>
      </c>
      <c r="L91" s="126" t="s">
        <v>1007</v>
      </c>
      <c r="M91" s="126" t="s">
        <v>1008</v>
      </c>
      <c r="N91" s="149">
        <v>44967.0</v>
      </c>
      <c r="O91" s="150">
        <v>0.1071</v>
      </c>
      <c r="P91" s="150">
        <v>0.0989</v>
      </c>
      <c r="Q91" s="149">
        <v>38740.0</v>
      </c>
      <c r="R91" s="126" t="s">
        <v>286</v>
      </c>
      <c r="S91" s="150">
        <v>-0.0909</v>
      </c>
      <c r="T91" s="150">
        <v>0.071</v>
      </c>
      <c r="U91" s="149">
        <v>42978.0</v>
      </c>
      <c r="V91" s="150">
        <v>0.0</v>
      </c>
      <c r="W91" s="126" t="s">
        <v>1009</v>
      </c>
      <c r="X91" s="151">
        <v>546.0</v>
      </c>
      <c r="Y91" s="115"/>
      <c r="Z91" s="115"/>
    </row>
    <row r="92">
      <c r="A92" s="126" t="s">
        <v>160</v>
      </c>
      <c r="B92" s="126" t="s">
        <v>1010</v>
      </c>
      <c r="C92" s="126" t="s">
        <v>1011</v>
      </c>
      <c r="D92" s="126" t="s">
        <v>313</v>
      </c>
      <c r="E92" s="126" t="s">
        <v>301</v>
      </c>
      <c r="F92" s="126" t="s">
        <v>1012</v>
      </c>
      <c r="G92" s="126" t="s">
        <v>1013</v>
      </c>
      <c r="H92" s="126">
        <v>0.34</v>
      </c>
      <c r="I92" s="126" t="s">
        <v>1014</v>
      </c>
      <c r="J92" s="126" t="s">
        <v>1015</v>
      </c>
      <c r="K92" s="126" t="s">
        <v>374</v>
      </c>
      <c r="L92" s="126" t="s">
        <v>1016</v>
      </c>
      <c r="M92" s="126" t="s">
        <v>1017</v>
      </c>
      <c r="N92" s="149">
        <v>44985.0</v>
      </c>
      <c r="O92" s="150">
        <v>0.0773</v>
      </c>
      <c r="P92" s="150">
        <v>0.076</v>
      </c>
      <c r="Q92" s="149">
        <v>41164.0</v>
      </c>
      <c r="R92" s="126" t="s">
        <v>286</v>
      </c>
      <c r="S92" s="150">
        <v>0.0966</v>
      </c>
      <c r="T92" s="150">
        <v>0.4124</v>
      </c>
      <c r="U92" s="126" t="s">
        <v>276</v>
      </c>
      <c r="V92" s="150">
        <v>0.0</v>
      </c>
      <c r="W92" s="126" t="s">
        <v>1018</v>
      </c>
      <c r="X92" s="151">
        <v>6024.0</v>
      </c>
      <c r="Y92" s="115"/>
      <c r="Z92" s="115"/>
    </row>
    <row r="93">
      <c r="A93" s="126" t="s">
        <v>1019</v>
      </c>
      <c r="B93" s="126" t="s">
        <v>1020</v>
      </c>
      <c r="C93" s="126" t="s">
        <v>1021</v>
      </c>
      <c r="D93" s="126" t="s">
        <v>1022</v>
      </c>
      <c r="E93" s="126" t="s">
        <v>292</v>
      </c>
      <c r="F93" s="126" t="s">
        <v>1023</v>
      </c>
      <c r="G93" s="126" t="s">
        <v>1024</v>
      </c>
      <c r="H93" s="126">
        <v>1.04</v>
      </c>
      <c r="I93" s="126" t="s">
        <v>276</v>
      </c>
      <c r="J93" s="126" t="s">
        <v>276</v>
      </c>
      <c r="K93" s="126" t="s">
        <v>1025</v>
      </c>
      <c r="L93" s="126"/>
      <c r="M93" s="126" t="s">
        <v>285</v>
      </c>
      <c r="N93" s="149">
        <v>44971.0</v>
      </c>
      <c r="O93" s="150">
        <v>0.1878</v>
      </c>
      <c r="P93" s="150">
        <v>0.1896</v>
      </c>
      <c r="Q93" s="149">
        <v>44589.0</v>
      </c>
      <c r="R93" s="126" t="s">
        <v>286</v>
      </c>
      <c r="S93" s="150">
        <v>-0.0142</v>
      </c>
      <c r="T93" s="126" t="s">
        <v>276</v>
      </c>
      <c r="U93" s="126" t="s">
        <v>276</v>
      </c>
      <c r="V93" s="150">
        <v>0.0</v>
      </c>
      <c r="W93" s="126" t="s">
        <v>1026</v>
      </c>
      <c r="X93" s="151">
        <v>2325.0</v>
      </c>
      <c r="Y93" s="115"/>
      <c r="Z93" s="115"/>
    </row>
    <row r="94">
      <c r="A94" s="126" t="s">
        <v>1027</v>
      </c>
      <c r="B94" s="126" t="s">
        <v>1028</v>
      </c>
      <c r="C94" s="126" t="s">
        <v>1029</v>
      </c>
      <c r="D94" s="126" t="s">
        <v>1030</v>
      </c>
      <c r="E94" s="126" t="s">
        <v>655</v>
      </c>
      <c r="F94" s="126" t="s">
        <v>1031</v>
      </c>
      <c r="G94" s="126" t="s">
        <v>1032</v>
      </c>
      <c r="H94" s="126">
        <v>0.13</v>
      </c>
      <c r="I94" s="126" t="s">
        <v>276</v>
      </c>
      <c r="J94" s="126" t="s">
        <v>276</v>
      </c>
      <c r="K94" s="126" t="s">
        <v>318</v>
      </c>
      <c r="L94" s="126"/>
      <c r="M94" s="126" t="s">
        <v>285</v>
      </c>
      <c r="N94" s="149">
        <v>44957.0</v>
      </c>
      <c r="O94" s="150">
        <v>0.0</v>
      </c>
      <c r="P94" s="150"/>
      <c r="Q94" s="126" t="s">
        <v>276</v>
      </c>
      <c r="R94" s="126" t="s">
        <v>488</v>
      </c>
      <c r="S94" s="150">
        <v>0.3388</v>
      </c>
      <c r="T94" s="126" t="s">
        <v>276</v>
      </c>
      <c r="U94" s="126" t="s">
        <v>276</v>
      </c>
      <c r="V94" s="150">
        <v>0.0</v>
      </c>
      <c r="W94" s="126" t="s">
        <v>1033</v>
      </c>
      <c r="X94" s="151">
        <v>25.0</v>
      </c>
      <c r="Y94" s="115"/>
      <c r="Z94" s="115"/>
    </row>
    <row r="95">
      <c r="A95" s="126" t="s">
        <v>1034</v>
      </c>
      <c r="B95" s="126" t="s">
        <v>318</v>
      </c>
      <c r="C95" s="126" t="s">
        <v>1035</v>
      </c>
      <c r="D95" s="126" t="s">
        <v>266</v>
      </c>
      <c r="E95" s="126" t="s">
        <v>267</v>
      </c>
      <c r="F95" s="126" t="s">
        <v>1036</v>
      </c>
      <c r="G95" s="126" t="s">
        <v>1037</v>
      </c>
      <c r="H95" s="126">
        <v>0.47</v>
      </c>
      <c r="I95" s="126" t="s">
        <v>1038</v>
      </c>
      <c r="J95" s="126" t="s">
        <v>1039</v>
      </c>
      <c r="K95" s="126" t="s">
        <v>1040</v>
      </c>
      <c r="L95" s="126" t="s">
        <v>1041</v>
      </c>
      <c r="M95" s="126" t="s">
        <v>1042</v>
      </c>
      <c r="N95" s="149">
        <v>44981.0</v>
      </c>
      <c r="O95" s="150">
        <v>0.1137</v>
      </c>
      <c r="P95" s="150">
        <v>0.1491</v>
      </c>
      <c r="Q95" s="153">
        <v>40498.0</v>
      </c>
      <c r="R95" s="126" t="s">
        <v>320</v>
      </c>
      <c r="S95" s="150">
        <v>-0.0248</v>
      </c>
      <c r="T95" s="126" t="s">
        <v>276</v>
      </c>
      <c r="U95" s="126" t="s">
        <v>276</v>
      </c>
      <c r="V95" s="150">
        <v>0.0</v>
      </c>
      <c r="W95" s="126"/>
      <c r="X95" s="151">
        <v>60.0</v>
      </c>
      <c r="Y95" s="115"/>
      <c r="Z95" s="115"/>
    </row>
    <row r="96">
      <c r="A96" s="126" t="s">
        <v>230</v>
      </c>
      <c r="B96" s="126" t="s">
        <v>1043</v>
      </c>
      <c r="C96" s="126" t="s">
        <v>1044</v>
      </c>
      <c r="D96" s="126" t="s">
        <v>1045</v>
      </c>
      <c r="E96" s="126" t="s">
        <v>281</v>
      </c>
      <c r="F96" s="126" t="s">
        <v>1046</v>
      </c>
      <c r="G96" s="126" t="s">
        <v>1047</v>
      </c>
      <c r="H96" s="126">
        <v>0.92</v>
      </c>
      <c r="I96" s="126" t="s">
        <v>276</v>
      </c>
      <c r="J96" s="126" t="s">
        <v>276</v>
      </c>
      <c r="K96" s="126" t="s">
        <v>687</v>
      </c>
      <c r="L96" s="126"/>
      <c r="M96" s="126" t="s">
        <v>285</v>
      </c>
      <c r="N96" s="153">
        <v>44985.0</v>
      </c>
      <c r="O96" s="150">
        <v>0.1588</v>
      </c>
      <c r="P96" s="150">
        <v>0.1489</v>
      </c>
      <c r="Q96" s="149">
        <v>44522.0</v>
      </c>
      <c r="R96" s="126" t="s">
        <v>296</v>
      </c>
      <c r="S96" s="150">
        <v>-0.0681</v>
      </c>
      <c r="T96" s="126" t="s">
        <v>276</v>
      </c>
      <c r="U96" s="126" t="s">
        <v>276</v>
      </c>
      <c r="V96" s="150">
        <v>0.0</v>
      </c>
      <c r="W96" s="126" t="s">
        <v>1048</v>
      </c>
      <c r="X96" s="151">
        <v>2692.0</v>
      </c>
      <c r="Y96" s="115"/>
      <c r="Z96" s="115"/>
    </row>
    <row r="97">
      <c r="A97" s="126" t="s">
        <v>1049</v>
      </c>
      <c r="B97" s="126" t="s">
        <v>318</v>
      </c>
      <c r="C97" s="126" t="s">
        <v>1050</v>
      </c>
      <c r="D97" s="126" t="s">
        <v>580</v>
      </c>
      <c r="E97" s="126" t="s">
        <v>655</v>
      </c>
      <c r="F97" s="126" t="s">
        <v>1051</v>
      </c>
      <c r="G97" s="126" t="s">
        <v>1052</v>
      </c>
      <c r="H97" s="126">
        <v>1.07</v>
      </c>
      <c r="I97" s="126" t="s">
        <v>276</v>
      </c>
      <c r="J97" s="126" t="s">
        <v>276</v>
      </c>
      <c r="K97" s="126"/>
      <c r="L97" s="126"/>
      <c r="M97" s="126" t="s">
        <v>285</v>
      </c>
      <c r="N97" s="149"/>
      <c r="O97" s="150"/>
      <c r="P97" s="150"/>
      <c r="Q97" s="149">
        <v>44183.0</v>
      </c>
      <c r="R97" s="126" t="s">
        <v>286</v>
      </c>
      <c r="S97" s="150">
        <v>-0.0396</v>
      </c>
      <c r="T97" s="126" t="s">
        <v>276</v>
      </c>
      <c r="U97" s="126" t="s">
        <v>276</v>
      </c>
      <c r="V97" s="150">
        <v>0.0</v>
      </c>
      <c r="W97" s="126"/>
      <c r="X97" s="151">
        <v>10.0</v>
      </c>
      <c r="Y97" s="115"/>
      <c r="Z97" s="115"/>
    </row>
    <row r="98">
      <c r="A98" s="126" t="s">
        <v>1053</v>
      </c>
      <c r="B98" s="126" t="s">
        <v>1054</v>
      </c>
      <c r="C98" s="126" t="s">
        <v>1055</v>
      </c>
      <c r="D98" s="126" t="s">
        <v>1056</v>
      </c>
      <c r="E98" s="126" t="s">
        <v>301</v>
      </c>
      <c r="F98" s="126" t="s">
        <v>1057</v>
      </c>
      <c r="G98" s="126" t="s">
        <v>1058</v>
      </c>
      <c r="H98" s="126">
        <v>0.88</v>
      </c>
      <c r="I98" s="126" t="s">
        <v>1059</v>
      </c>
      <c r="J98" s="126" t="s">
        <v>1060</v>
      </c>
      <c r="K98" s="126" t="s">
        <v>1061</v>
      </c>
      <c r="L98" s="126" t="s">
        <v>1062</v>
      </c>
      <c r="M98" s="126" t="s">
        <v>1063</v>
      </c>
      <c r="N98" s="149">
        <v>44971.0</v>
      </c>
      <c r="O98" s="150">
        <v>0.0717</v>
      </c>
      <c r="P98" s="150">
        <v>0.0491</v>
      </c>
      <c r="Q98" s="149">
        <v>43539.0</v>
      </c>
      <c r="R98" s="126" t="s">
        <v>286</v>
      </c>
      <c r="S98" s="150">
        <v>-0.0323</v>
      </c>
      <c r="T98" s="126" t="s">
        <v>276</v>
      </c>
      <c r="U98" s="126" t="s">
        <v>276</v>
      </c>
      <c r="V98" s="150">
        <v>0.0</v>
      </c>
      <c r="W98" s="126" t="s">
        <v>1064</v>
      </c>
      <c r="X98" s="151">
        <v>330.0</v>
      </c>
      <c r="Y98" s="115"/>
      <c r="Z98" s="115"/>
    </row>
    <row r="99">
      <c r="A99" s="126" t="s">
        <v>1065</v>
      </c>
      <c r="B99" s="126" t="s">
        <v>318</v>
      </c>
      <c r="C99" s="126" t="s">
        <v>1066</v>
      </c>
      <c r="D99" s="126" t="s">
        <v>1067</v>
      </c>
      <c r="E99" s="126" t="s">
        <v>301</v>
      </c>
      <c r="F99" s="126" t="s">
        <v>318</v>
      </c>
      <c r="G99" s="126" t="s">
        <v>1068</v>
      </c>
      <c r="H99" s="126">
        <v>0.0</v>
      </c>
      <c r="I99" s="126" t="s">
        <v>276</v>
      </c>
      <c r="J99" s="126" t="s">
        <v>276</v>
      </c>
      <c r="K99" s="126"/>
      <c r="L99" s="126"/>
      <c r="M99" s="126" t="s">
        <v>285</v>
      </c>
      <c r="N99" s="149"/>
      <c r="O99" s="150"/>
      <c r="P99" s="150"/>
      <c r="Q99" s="126" t="s">
        <v>276</v>
      </c>
      <c r="R99" s="126" t="s">
        <v>488</v>
      </c>
      <c r="S99" s="126" t="s">
        <v>276</v>
      </c>
      <c r="T99" s="126" t="s">
        <v>276</v>
      </c>
      <c r="U99" s="126" t="s">
        <v>276</v>
      </c>
      <c r="V99" s="150">
        <v>0.0</v>
      </c>
      <c r="W99" s="126"/>
      <c r="X99" s="151">
        <v>5.0</v>
      </c>
      <c r="Y99" s="115"/>
      <c r="Z99" s="115"/>
    </row>
    <row r="100">
      <c r="A100" s="126" t="s">
        <v>115</v>
      </c>
      <c r="B100" s="126" t="s">
        <v>1069</v>
      </c>
      <c r="C100" s="126" t="s">
        <v>1070</v>
      </c>
      <c r="D100" s="126" t="s">
        <v>1071</v>
      </c>
      <c r="E100" s="126" t="s">
        <v>528</v>
      </c>
      <c r="F100" s="126" t="s">
        <v>1072</v>
      </c>
      <c r="G100" s="126" t="s">
        <v>1073</v>
      </c>
      <c r="H100" s="126">
        <v>0.74</v>
      </c>
      <c r="I100" s="126" t="s">
        <v>1074</v>
      </c>
      <c r="J100" s="126" t="s">
        <v>1075</v>
      </c>
      <c r="K100" s="126" t="s">
        <v>1076</v>
      </c>
      <c r="L100" s="126" t="s">
        <v>1077</v>
      </c>
      <c r="M100" s="126" t="s">
        <v>1078</v>
      </c>
      <c r="N100" s="149">
        <v>44971.0</v>
      </c>
      <c r="O100" s="150">
        <v>0.098</v>
      </c>
      <c r="P100" s="150">
        <v>0.091</v>
      </c>
      <c r="Q100" s="149">
        <v>37638.0</v>
      </c>
      <c r="R100" s="126" t="s">
        <v>286</v>
      </c>
      <c r="S100" s="150">
        <v>0.0391</v>
      </c>
      <c r="T100" s="150">
        <v>0.0542</v>
      </c>
      <c r="U100" s="126" t="s">
        <v>276</v>
      </c>
      <c r="V100" s="150">
        <v>0.0</v>
      </c>
      <c r="W100" s="126" t="s">
        <v>1079</v>
      </c>
      <c r="X100" s="151">
        <v>2541.0</v>
      </c>
      <c r="Y100" s="115"/>
      <c r="Z100" s="115"/>
    </row>
    <row r="101">
      <c r="A101" s="126" t="s">
        <v>1080</v>
      </c>
      <c r="B101" s="126" t="s">
        <v>1081</v>
      </c>
      <c r="C101" s="126" t="s">
        <v>1082</v>
      </c>
      <c r="D101" s="126" t="s">
        <v>866</v>
      </c>
      <c r="E101" s="126" t="s">
        <v>335</v>
      </c>
      <c r="F101" s="126" t="s">
        <v>1083</v>
      </c>
      <c r="G101" s="126" t="s">
        <v>1084</v>
      </c>
      <c r="H101" s="126">
        <v>0.94</v>
      </c>
      <c r="I101" s="126" t="s">
        <v>1085</v>
      </c>
      <c r="J101" s="126" t="s">
        <v>1086</v>
      </c>
      <c r="K101" s="126" t="s">
        <v>845</v>
      </c>
      <c r="L101" s="126" t="s">
        <v>1087</v>
      </c>
      <c r="M101" s="126" t="s">
        <v>1088</v>
      </c>
      <c r="N101" s="149">
        <v>44964.0</v>
      </c>
      <c r="O101" s="150">
        <v>0.0998</v>
      </c>
      <c r="P101" s="150">
        <v>0.0955</v>
      </c>
      <c r="Q101" s="149">
        <v>43853.0</v>
      </c>
      <c r="R101" s="126" t="s">
        <v>286</v>
      </c>
      <c r="S101" s="150">
        <v>-2.0E-4</v>
      </c>
      <c r="T101" s="150">
        <v>0.0</v>
      </c>
      <c r="U101" s="149">
        <v>44225.0</v>
      </c>
      <c r="V101" s="150">
        <v>0.0</v>
      </c>
      <c r="W101" s="126" t="s">
        <v>1089</v>
      </c>
      <c r="X101" s="151">
        <v>1130.0</v>
      </c>
      <c r="Y101" s="115"/>
      <c r="Z101" s="115"/>
    </row>
    <row r="102">
      <c r="A102" s="126" t="s">
        <v>1090</v>
      </c>
      <c r="B102" s="126" t="s">
        <v>318</v>
      </c>
      <c r="C102" s="126" t="s">
        <v>1091</v>
      </c>
      <c r="D102" s="126" t="s">
        <v>1092</v>
      </c>
      <c r="E102" s="126" t="s">
        <v>391</v>
      </c>
      <c r="F102" s="126" t="s">
        <v>318</v>
      </c>
      <c r="G102" s="126" t="s">
        <v>276</v>
      </c>
      <c r="H102" s="126" t="s">
        <v>276</v>
      </c>
      <c r="I102" s="126" t="s">
        <v>276</v>
      </c>
      <c r="J102" s="126" t="s">
        <v>276</v>
      </c>
      <c r="K102" s="126"/>
      <c r="L102" s="126"/>
      <c r="M102" s="126" t="s">
        <v>285</v>
      </c>
      <c r="N102" s="149"/>
      <c r="O102" s="150"/>
      <c r="P102" s="150"/>
      <c r="Q102" s="126" t="s">
        <v>276</v>
      </c>
      <c r="R102" s="126" t="s">
        <v>286</v>
      </c>
      <c r="S102" s="126" t="s">
        <v>276</v>
      </c>
      <c r="T102" s="126" t="s">
        <v>276</v>
      </c>
      <c r="U102" s="126" t="s">
        <v>276</v>
      </c>
      <c r="V102" s="150">
        <v>0.0</v>
      </c>
      <c r="W102" s="126"/>
      <c r="X102" s="151"/>
      <c r="Y102" s="115"/>
      <c r="Z102" s="115"/>
    </row>
    <row r="103">
      <c r="A103" s="126" t="s">
        <v>1093</v>
      </c>
      <c r="B103" s="126" t="s">
        <v>1094</v>
      </c>
      <c r="C103" s="126" t="s">
        <v>1095</v>
      </c>
      <c r="D103" s="126" t="s">
        <v>291</v>
      </c>
      <c r="E103" s="126" t="s">
        <v>281</v>
      </c>
      <c r="F103" s="126" t="s">
        <v>1096</v>
      </c>
      <c r="G103" s="126" t="s">
        <v>1097</v>
      </c>
      <c r="H103" s="126">
        <v>1.02</v>
      </c>
      <c r="I103" s="126" t="s">
        <v>276</v>
      </c>
      <c r="J103" s="126" t="s">
        <v>276</v>
      </c>
      <c r="K103" s="126" t="s">
        <v>1098</v>
      </c>
      <c r="L103" s="126"/>
      <c r="M103" s="126" t="s">
        <v>285</v>
      </c>
      <c r="N103" s="149">
        <v>44985.0</v>
      </c>
      <c r="O103" s="150">
        <v>0.1138</v>
      </c>
      <c r="P103" s="150">
        <v>0.0664</v>
      </c>
      <c r="Q103" s="149">
        <v>44736.0</v>
      </c>
      <c r="R103" s="126" t="s">
        <v>286</v>
      </c>
      <c r="S103" s="150">
        <v>0.0</v>
      </c>
      <c r="T103" s="126" t="s">
        <v>276</v>
      </c>
      <c r="U103" s="126" t="s">
        <v>276</v>
      </c>
      <c r="V103" s="150">
        <v>0.0</v>
      </c>
      <c r="W103" s="126" t="s">
        <v>1099</v>
      </c>
      <c r="X103" s="151">
        <v>61.0</v>
      </c>
      <c r="Y103" s="115"/>
      <c r="Z103" s="115"/>
    </row>
    <row r="104">
      <c r="A104" s="126" t="s">
        <v>73</v>
      </c>
      <c r="B104" s="126" t="s">
        <v>1100</v>
      </c>
      <c r="C104" s="126" t="s">
        <v>1101</v>
      </c>
      <c r="D104" s="126" t="s">
        <v>313</v>
      </c>
      <c r="E104" s="126" t="s">
        <v>1102</v>
      </c>
      <c r="F104" s="126" t="s">
        <v>1103</v>
      </c>
      <c r="G104" s="126" t="s">
        <v>1104</v>
      </c>
      <c r="H104" s="126">
        <v>0.67</v>
      </c>
      <c r="I104" s="126" t="s">
        <v>1105</v>
      </c>
      <c r="J104" s="126" t="s">
        <v>1106</v>
      </c>
      <c r="K104" s="126" t="s">
        <v>1107</v>
      </c>
      <c r="L104" s="126" t="s">
        <v>1108</v>
      </c>
      <c r="M104" s="126" t="s">
        <v>1109</v>
      </c>
      <c r="N104" s="153">
        <v>44971.0</v>
      </c>
      <c r="O104" s="150">
        <v>0.1434</v>
      </c>
      <c r="P104" s="150">
        <v>0.1251</v>
      </c>
      <c r="Q104" s="149">
        <v>40186.0</v>
      </c>
      <c r="R104" s="126" t="s">
        <v>286</v>
      </c>
      <c r="S104" s="150">
        <v>-0.0263</v>
      </c>
      <c r="T104" s="150">
        <v>0.0</v>
      </c>
      <c r="U104" s="149">
        <v>42613.0</v>
      </c>
      <c r="V104" s="150">
        <v>0.0</v>
      </c>
      <c r="W104" s="126" t="s">
        <v>1110</v>
      </c>
      <c r="X104" s="151">
        <v>4783.0</v>
      </c>
      <c r="Y104" s="115"/>
      <c r="Z104" s="115"/>
    </row>
    <row r="105">
      <c r="A105" s="126" t="s">
        <v>192</v>
      </c>
      <c r="B105" s="126" t="s">
        <v>1111</v>
      </c>
      <c r="C105" s="126" t="s">
        <v>1112</v>
      </c>
      <c r="D105" s="126" t="s">
        <v>313</v>
      </c>
      <c r="E105" s="126" t="s">
        <v>301</v>
      </c>
      <c r="F105" s="126" t="s">
        <v>1113</v>
      </c>
      <c r="G105" s="126" t="s">
        <v>1114</v>
      </c>
      <c r="H105" s="126">
        <v>0.24</v>
      </c>
      <c r="I105" s="126" t="s">
        <v>1115</v>
      </c>
      <c r="J105" s="126" t="s">
        <v>1116</v>
      </c>
      <c r="K105" s="126" t="s">
        <v>318</v>
      </c>
      <c r="L105" s="126" t="s">
        <v>318</v>
      </c>
      <c r="M105" s="126" t="s">
        <v>1117</v>
      </c>
      <c r="N105" s="149">
        <v>44957.0</v>
      </c>
      <c r="O105" s="150">
        <v>0.0</v>
      </c>
      <c r="P105" s="150"/>
      <c r="Q105" s="149">
        <v>37712.0</v>
      </c>
      <c r="R105" s="126" t="s">
        <v>320</v>
      </c>
      <c r="S105" s="150">
        <v>0.0016</v>
      </c>
      <c r="T105" s="150">
        <v>0.931</v>
      </c>
      <c r="U105" s="149">
        <v>42643.0</v>
      </c>
      <c r="V105" s="150">
        <v>0.0</v>
      </c>
      <c r="W105" s="126" t="s">
        <v>1118</v>
      </c>
      <c r="X105" s="151">
        <v>2781.0</v>
      </c>
      <c r="Y105" s="115"/>
      <c r="Z105" s="115"/>
    </row>
    <row r="106">
      <c r="A106" s="126" t="s">
        <v>1119</v>
      </c>
      <c r="B106" s="126" t="s">
        <v>318</v>
      </c>
      <c r="C106" s="126" t="s">
        <v>1120</v>
      </c>
      <c r="D106" s="126" t="s">
        <v>1121</v>
      </c>
      <c r="E106" s="126" t="s">
        <v>292</v>
      </c>
      <c r="F106" s="126" t="s">
        <v>318</v>
      </c>
      <c r="G106" s="126" t="s">
        <v>276</v>
      </c>
      <c r="H106" s="126" t="s">
        <v>276</v>
      </c>
      <c r="I106" s="126" t="s">
        <v>276</v>
      </c>
      <c r="J106" s="126" t="s">
        <v>276</v>
      </c>
      <c r="K106" s="126"/>
      <c r="L106" s="126"/>
      <c r="M106" s="126" t="s">
        <v>285</v>
      </c>
      <c r="N106" s="149"/>
      <c r="O106" s="150"/>
      <c r="P106" s="150"/>
      <c r="Q106" s="126" t="s">
        <v>276</v>
      </c>
      <c r="R106" s="126" t="s">
        <v>318</v>
      </c>
      <c r="S106" s="126" t="s">
        <v>276</v>
      </c>
      <c r="T106" s="126" t="s">
        <v>276</v>
      </c>
      <c r="U106" s="126" t="s">
        <v>276</v>
      </c>
      <c r="V106" s="150">
        <v>0.0</v>
      </c>
      <c r="W106" s="126"/>
      <c r="X106" s="151"/>
      <c r="Y106" s="115"/>
      <c r="Z106" s="115"/>
    </row>
    <row r="107">
      <c r="A107" s="126" t="s">
        <v>111</v>
      </c>
      <c r="B107" s="126" t="s">
        <v>1081</v>
      </c>
      <c r="C107" s="126" t="s">
        <v>1122</v>
      </c>
      <c r="D107" s="126" t="s">
        <v>638</v>
      </c>
      <c r="E107" s="126" t="s">
        <v>335</v>
      </c>
      <c r="F107" s="126" t="s">
        <v>1123</v>
      </c>
      <c r="G107" s="126" t="s">
        <v>1124</v>
      </c>
      <c r="H107" s="126">
        <v>0.95</v>
      </c>
      <c r="I107" s="126" t="s">
        <v>1125</v>
      </c>
      <c r="J107" s="126" t="s">
        <v>1126</v>
      </c>
      <c r="K107" s="126" t="s">
        <v>418</v>
      </c>
      <c r="L107" s="126" t="s">
        <v>1127</v>
      </c>
      <c r="M107" s="126" t="s">
        <v>1128</v>
      </c>
      <c r="N107" s="149">
        <v>44971.0</v>
      </c>
      <c r="O107" s="150">
        <v>0.1211</v>
      </c>
      <c r="P107" s="150">
        <v>0.1078</v>
      </c>
      <c r="Q107" s="149">
        <v>43986.0</v>
      </c>
      <c r="R107" s="126" t="s">
        <v>286</v>
      </c>
      <c r="S107" s="150">
        <v>9.0E-4</v>
      </c>
      <c r="T107" s="150">
        <v>0.0</v>
      </c>
      <c r="U107" s="126" t="s">
        <v>276</v>
      </c>
      <c r="V107" s="150">
        <v>0.0</v>
      </c>
      <c r="W107" s="126" t="s">
        <v>1129</v>
      </c>
      <c r="X107" s="151">
        <v>919.0</v>
      </c>
      <c r="Y107" s="115"/>
      <c r="Z107" s="115"/>
    </row>
    <row r="108">
      <c r="A108" s="126" t="s">
        <v>147</v>
      </c>
      <c r="B108" s="126" t="s">
        <v>1130</v>
      </c>
      <c r="C108" s="126" t="s">
        <v>1131</v>
      </c>
      <c r="D108" s="126" t="s">
        <v>313</v>
      </c>
      <c r="E108" s="126" t="s">
        <v>1102</v>
      </c>
      <c r="F108" s="126" t="s">
        <v>1132</v>
      </c>
      <c r="G108" s="126" t="s">
        <v>1133</v>
      </c>
      <c r="H108" s="126">
        <v>0.96</v>
      </c>
      <c r="I108" s="126" t="s">
        <v>1134</v>
      </c>
      <c r="J108" s="126" t="s">
        <v>1135</v>
      </c>
      <c r="K108" s="126" t="s">
        <v>503</v>
      </c>
      <c r="L108" s="126" t="s">
        <v>1136</v>
      </c>
      <c r="M108" s="126" t="s">
        <v>1137</v>
      </c>
      <c r="N108" s="149">
        <v>44981.0</v>
      </c>
      <c r="O108" s="150">
        <v>0.0905</v>
      </c>
      <c r="P108" s="150">
        <v>0.0885</v>
      </c>
      <c r="Q108" s="149">
        <v>40386.0</v>
      </c>
      <c r="R108" s="126" t="s">
        <v>1138</v>
      </c>
      <c r="S108" s="150">
        <v>-0.0337</v>
      </c>
      <c r="T108" s="150">
        <v>0.0</v>
      </c>
      <c r="U108" s="126" t="s">
        <v>276</v>
      </c>
      <c r="V108" s="150">
        <v>0.0</v>
      </c>
      <c r="W108" s="126" t="s">
        <v>1139</v>
      </c>
      <c r="X108" s="151">
        <v>3794.0</v>
      </c>
      <c r="Y108" s="115"/>
      <c r="Z108" s="115"/>
    </row>
    <row r="109">
      <c r="A109" s="126" t="s">
        <v>1140</v>
      </c>
      <c r="B109" s="126" t="s">
        <v>1141</v>
      </c>
      <c r="C109" s="126" t="s">
        <v>1142</v>
      </c>
      <c r="D109" s="126" t="s">
        <v>1143</v>
      </c>
      <c r="E109" s="126" t="s">
        <v>292</v>
      </c>
      <c r="F109" s="126" t="s">
        <v>1144</v>
      </c>
      <c r="G109" s="126" t="s">
        <v>1145</v>
      </c>
      <c r="H109" s="126">
        <v>1.03</v>
      </c>
      <c r="I109" s="126" t="s">
        <v>276</v>
      </c>
      <c r="J109" s="126" t="s">
        <v>276</v>
      </c>
      <c r="K109" s="126" t="s">
        <v>1146</v>
      </c>
      <c r="L109" s="126"/>
      <c r="M109" s="126" t="s">
        <v>285</v>
      </c>
      <c r="N109" s="153">
        <v>44971.0</v>
      </c>
      <c r="O109" s="150">
        <v>0.1829</v>
      </c>
      <c r="P109" s="150">
        <v>0.1793</v>
      </c>
      <c r="Q109" s="149">
        <v>44573.0</v>
      </c>
      <c r="R109" s="126" t="s">
        <v>296</v>
      </c>
      <c r="S109" s="150">
        <v>-0.007</v>
      </c>
      <c r="T109" s="126" t="s">
        <v>276</v>
      </c>
      <c r="U109" s="126" t="s">
        <v>276</v>
      </c>
      <c r="V109" s="150">
        <v>0.0</v>
      </c>
      <c r="W109" s="126" t="s">
        <v>1147</v>
      </c>
      <c r="X109" s="151">
        <v>22426.0</v>
      </c>
      <c r="Y109" s="115"/>
      <c r="Z109" s="115"/>
    </row>
    <row r="110">
      <c r="A110" s="126" t="s">
        <v>159</v>
      </c>
      <c r="B110" s="126" t="s">
        <v>1148</v>
      </c>
      <c r="C110" s="126" t="s">
        <v>1149</v>
      </c>
      <c r="D110" s="126" t="s">
        <v>399</v>
      </c>
      <c r="E110" s="126" t="s">
        <v>267</v>
      </c>
      <c r="F110" s="126" t="s">
        <v>1150</v>
      </c>
      <c r="G110" s="126" t="s">
        <v>1151</v>
      </c>
      <c r="H110" s="126">
        <v>0.61</v>
      </c>
      <c r="I110" s="126" t="s">
        <v>1152</v>
      </c>
      <c r="J110" s="126" t="s">
        <v>1153</v>
      </c>
      <c r="K110" s="126" t="s">
        <v>1154</v>
      </c>
      <c r="L110" s="126" t="s">
        <v>1155</v>
      </c>
      <c r="M110" s="126" t="s">
        <v>1156</v>
      </c>
      <c r="N110" s="149">
        <v>44971.0</v>
      </c>
      <c r="O110" s="150">
        <v>0.1059</v>
      </c>
      <c r="P110" s="150">
        <v>0.0987</v>
      </c>
      <c r="Q110" s="149">
        <v>41452.0</v>
      </c>
      <c r="R110" s="126" t="s">
        <v>286</v>
      </c>
      <c r="S110" s="150">
        <v>-0.0812</v>
      </c>
      <c r="T110" s="150">
        <v>0.111</v>
      </c>
      <c r="U110" s="126" t="s">
        <v>276</v>
      </c>
      <c r="V110" s="150">
        <v>0.0</v>
      </c>
      <c r="W110" s="126" t="s">
        <v>1157</v>
      </c>
      <c r="X110" s="151">
        <v>15645.0</v>
      </c>
      <c r="Y110" s="115"/>
      <c r="Z110" s="115"/>
    </row>
    <row r="111">
      <c r="A111" s="126" t="s">
        <v>131</v>
      </c>
      <c r="B111" s="126" t="s">
        <v>1158</v>
      </c>
      <c r="C111" s="126" t="s">
        <v>1159</v>
      </c>
      <c r="D111" s="126" t="s">
        <v>1071</v>
      </c>
      <c r="E111" s="126" t="s">
        <v>528</v>
      </c>
      <c r="F111" s="126" t="s">
        <v>1160</v>
      </c>
      <c r="G111" s="126" t="s">
        <v>1161</v>
      </c>
      <c r="H111" s="126">
        <v>0.98</v>
      </c>
      <c r="I111" s="126" t="s">
        <v>1162</v>
      </c>
      <c r="J111" s="126" t="s">
        <v>1163</v>
      </c>
      <c r="K111" s="126" t="s">
        <v>1164</v>
      </c>
      <c r="L111" s="126" t="s">
        <v>1165</v>
      </c>
      <c r="M111" s="126" t="s">
        <v>1166</v>
      </c>
      <c r="N111" s="149">
        <v>44967.0</v>
      </c>
      <c r="O111" s="150">
        <v>0.0902</v>
      </c>
      <c r="P111" s="150">
        <v>0.0931</v>
      </c>
      <c r="Q111" s="149">
        <v>40903.0</v>
      </c>
      <c r="R111" s="126" t="s">
        <v>1167</v>
      </c>
      <c r="S111" s="150">
        <v>-0.0367</v>
      </c>
      <c r="T111" s="150">
        <v>0.054</v>
      </c>
      <c r="U111" s="126" t="s">
        <v>276</v>
      </c>
      <c r="V111" s="150">
        <v>0.0</v>
      </c>
      <c r="W111" s="126" t="s">
        <v>1168</v>
      </c>
      <c r="X111" s="151">
        <v>17037.0</v>
      </c>
      <c r="Y111" s="115"/>
      <c r="Z111" s="115"/>
    </row>
    <row r="112">
      <c r="A112" s="126" t="s">
        <v>122</v>
      </c>
      <c r="B112" s="126" t="s">
        <v>1169</v>
      </c>
      <c r="C112" s="126" t="s">
        <v>1170</v>
      </c>
      <c r="D112" s="126" t="s">
        <v>1171</v>
      </c>
      <c r="E112" s="126" t="s">
        <v>335</v>
      </c>
      <c r="F112" s="126" t="s">
        <v>1172</v>
      </c>
      <c r="G112" s="126" t="s">
        <v>1173</v>
      </c>
      <c r="H112" s="126">
        <v>0.77</v>
      </c>
      <c r="I112" s="126" t="s">
        <v>1174</v>
      </c>
      <c r="J112" s="126" t="s">
        <v>1175</v>
      </c>
      <c r="K112" s="126" t="s">
        <v>1176</v>
      </c>
      <c r="L112" s="126" t="s">
        <v>1177</v>
      </c>
      <c r="M112" s="126" t="s">
        <v>1178</v>
      </c>
      <c r="N112" s="149">
        <v>44971.0</v>
      </c>
      <c r="O112" s="150">
        <v>0.1189</v>
      </c>
      <c r="P112" s="150">
        <v>0.1105</v>
      </c>
      <c r="Q112" s="149">
        <v>40177.0</v>
      </c>
      <c r="R112" s="126" t="s">
        <v>286</v>
      </c>
      <c r="S112" s="150">
        <v>-0.027</v>
      </c>
      <c r="T112" s="150">
        <v>0.0</v>
      </c>
      <c r="U112" s="149">
        <v>43921.0</v>
      </c>
      <c r="V112" s="150">
        <v>0.0</v>
      </c>
      <c r="W112" s="126" t="s">
        <v>1179</v>
      </c>
      <c r="X112" s="151">
        <v>8066.0</v>
      </c>
      <c r="Y112" s="115"/>
      <c r="Z112" s="115"/>
    </row>
    <row r="113">
      <c r="A113" s="126" t="s">
        <v>1180</v>
      </c>
      <c r="B113" s="126" t="s">
        <v>318</v>
      </c>
      <c r="C113" s="126" t="s">
        <v>1181</v>
      </c>
      <c r="D113" s="126" t="s">
        <v>1182</v>
      </c>
      <c r="E113" s="126" t="s">
        <v>528</v>
      </c>
      <c r="F113" s="126" t="s">
        <v>318</v>
      </c>
      <c r="G113" s="126" t="s">
        <v>1183</v>
      </c>
      <c r="H113" s="126">
        <v>0.0</v>
      </c>
      <c r="I113" s="126" t="s">
        <v>318</v>
      </c>
      <c r="J113" s="126" t="s">
        <v>1184</v>
      </c>
      <c r="K113" s="126" t="s">
        <v>1185</v>
      </c>
      <c r="L113" s="126" t="s">
        <v>1186</v>
      </c>
      <c r="M113" s="126" t="s">
        <v>1187</v>
      </c>
      <c r="N113" s="149">
        <v>44971.0</v>
      </c>
      <c r="O113" s="150"/>
      <c r="P113" s="150"/>
      <c r="Q113" s="149">
        <v>41899.0</v>
      </c>
      <c r="R113" s="126" t="s">
        <v>1188</v>
      </c>
      <c r="S113" s="126" t="s">
        <v>276</v>
      </c>
      <c r="T113" s="126" t="s">
        <v>276</v>
      </c>
      <c r="U113" s="126" t="s">
        <v>276</v>
      </c>
      <c r="V113" s="150">
        <v>0.0</v>
      </c>
      <c r="W113" s="126"/>
      <c r="X113" s="151">
        <v>4.0</v>
      </c>
      <c r="Y113" s="115"/>
      <c r="Z113" s="115"/>
    </row>
    <row r="114">
      <c r="A114" s="126" t="s">
        <v>1189</v>
      </c>
      <c r="B114" s="126" t="s">
        <v>318</v>
      </c>
      <c r="C114" s="126" t="s">
        <v>1190</v>
      </c>
      <c r="D114" s="126" t="s">
        <v>1191</v>
      </c>
      <c r="E114" s="126" t="s">
        <v>281</v>
      </c>
      <c r="F114" s="126" t="s">
        <v>1192</v>
      </c>
      <c r="G114" s="126" t="s">
        <v>1193</v>
      </c>
      <c r="H114" s="126">
        <v>2.52</v>
      </c>
      <c r="I114" s="126" t="s">
        <v>276</v>
      </c>
      <c r="J114" s="126" t="s">
        <v>276</v>
      </c>
      <c r="K114" s="126" t="s">
        <v>318</v>
      </c>
      <c r="L114" s="126"/>
      <c r="M114" s="126" t="s">
        <v>285</v>
      </c>
      <c r="N114" s="149">
        <v>44957.0</v>
      </c>
      <c r="O114" s="150">
        <v>0.0</v>
      </c>
      <c r="P114" s="150"/>
      <c r="Q114" s="149">
        <v>42795.0</v>
      </c>
      <c r="R114" s="126" t="s">
        <v>286</v>
      </c>
      <c r="S114" s="150">
        <v>0.0</v>
      </c>
      <c r="T114" s="126" t="s">
        <v>276</v>
      </c>
      <c r="U114" s="126" t="s">
        <v>276</v>
      </c>
      <c r="V114" s="150">
        <v>0.0</v>
      </c>
      <c r="W114" s="126"/>
      <c r="X114" s="151">
        <v>23.0</v>
      </c>
      <c r="Y114" s="115"/>
      <c r="Z114" s="115"/>
    </row>
    <row r="115">
      <c r="A115" s="126" t="s">
        <v>1194</v>
      </c>
      <c r="B115" s="126" t="s">
        <v>1195</v>
      </c>
      <c r="C115" s="126" t="s">
        <v>1196</v>
      </c>
      <c r="D115" s="126" t="s">
        <v>580</v>
      </c>
      <c r="E115" s="126" t="s">
        <v>655</v>
      </c>
      <c r="F115" s="126" t="s">
        <v>1197</v>
      </c>
      <c r="G115" s="126" t="s">
        <v>1198</v>
      </c>
      <c r="H115" s="126">
        <v>0.45</v>
      </c>
      <c r="I115" s="126" t="s">
        <v>276</v>
      </c>
      <c r="J115" s="126" t="s">
        <v>276</v>
      </c>
      <c r="K115" s="126" t="s">
        <v>318</v>
      </c>
      <c r="L115" s="126"/>
      <c r="M115" s="126" t="s">
        <v>285</v>
      </c>
      <c r="N115" s="149">
        <v>44957.0</v>
      </c>
      <c r="O115" s="150">
        <v>0.0</v>
      </c>
      <c r="P115" s="150"/>
      <c r="Q115" s="149">
        <v>41821.0</v>
      </c>
      <c r="R115" s="126" t="s">
        <v>296</v>
      </c>
      <c r="S115" s="150">
        <v>0.0886</v>
      </c>
      <c r="T115" s="150">
        <v>0.56</v>
      </c>
      <c r="U115" s="126" t="s">
        <v>276</v>
      </c>
      <c r="V115" s="150">
        <v>0.0</v>
      </c>
      <c r="W115" s="126" t="s">
        <v>1199</v>
      </c>
      <c r="X115" s="151">
        <v>4017.0</v>
      </c>
      <c r="Y115" s="115"/>
      <c r="Z115" s="115"/>
    </row>
    <row r="116">
      <c r="A116" s="126" t="s">
        <v>1200</v>
      </c>
      <c r="B116" s="126" t="s">
        <v>1201</v>
      </c>
      <c r="C116" s="126" t="s">
        <v>1202</v>
      </c>
      <c r="D116" s="126" t="s">
        <v>1203</v>
      </c>
      <c r="E116" s="126" t="s">
        <v>281</v>
      </c>
      <c r="F116" s="126" t="s">
        <v>1204</v>
      </c>
      <c r="G116" s="126" t="s">
        <v>1205</v>
      </c>
      <c r="H116" s="126">
        <v>0.97</v>
      </c>
      <c r="I116" s="126" t="s">
        <v>276</v>
      </c>
      <c r="J116" s="126" t="s">
        <v>276</v>
      </c>
      <c r="K116" s="126" t="s">
        <v>869</v>
      </c>
      <c r="L116" s="126"/>
      <c r="M116" s="126" t="s">
        <v>285</v>
      </c>
      <c r="N116" s="149">
        <v>44971.0</v>
      </c>
      <c r="O116" s="150">
        <v>0.1475</v>
      </c>
      <c r="P116" s="150">
        <v>0.1498</v>
      </c>
      <c r="Q116" s="149">
        <v>43760.0</v>
      </c>
      <c r="R116" s="126" t="s">
        <v>286</v>
      </c>
      <c r="S116" s="150">
        <v>0.0074</v>
      </c>
      <c r="T116" s="126" t="s">
        <v>276</v>
      </c>
      <c r="U116" s="126" t="s">
        <v>276</v>
      </c>
      <c r="V116" s="150">
        <v>0.0</v>
      </c>
      <c r="W116" s="126" t="s">
        <v>1206</v>
      </c>
      <c r="X116" s="151">
        <v>2789.0</v>
      </c>
      <c r="Y116" s="115"/>
      <c r="Z116" s="115"/>
    </row>
    <row r="117">
      <c r="A117" s="126" t="s">
        <v>176</v>
      </c>
      <c r="B117" s="126" t="s">
        <v>1207</v>
      </c>
      <c r="C117" s="126" t="s">
        <v>1208</v>
      </c>
      <c r="D117" s="126" t="s">
        <v>638</v>
      </c>
      <c r="E117" s="126" t="s">
        <v>301</v>
      </c>
      <c r="F117" s="126" t="s">
        <v>1209</v>
      </c>
      <c r="G117" s="126" t="s">
        <v>1210</v>
      </c>
      <c r="H117" s="126">
        <v>0.78</v>
      </c>
      <c r="I117" s="126" t="s">
        <v>1211</v>
      </c>
      <c r="J117" s="126" t="s">
        <v>1212</v>
      </c>
      <c r="K117" s="126" t="s">
        <v>503</v>
      </c>
      <c r="L117" s="126" t="s">
        <v>1213</v>
      </c>
      <c r="M117" s="126" t="s">
        <v>1214</v>
      </c>
      <c r="N117" s="149">
        <v>44971.0</v>
      </c>
      <c r="O117" s="150">
        <v>0.0798</v>
      </c>
      <c r="P117" s="150">
        <v>0.0826</v>
      </c>
      <c r="Q117" s="149">
        <v>36839.0</v>
      </c>
      <c r="R117" s="126" t="s">
        <v>1138</v>
      </c>
      <c r="S117" s="150">
        <v>-0.1051</v>
      </c>
      <c r="T117" s="150">
        <v>0.2821</v>
      </c>
      <c r="U117" s="126" t="s">
        <v>276</v>
      </c>
      <c r="V117" s="150">
        <v>0.0</v>
      </c>
      <c r="W117" s="126" t="s">
        <v>1215</v>
      </c>
      <c r="X117" s="151">
        <v>16968.0</v>
      </c>
      <c r="Y117" s="115"/>
      <c r="Z117" s="115"/>
    </row>
    <row r="118">
      <c r="A118" s="126" t="s">
        <v>136</v>
      </c>
      <c r="B118" s="126" t="s">
        <v>1216</v>
      </c>
      <c r="C118" s="126" t="s">
        <v>1217</v>
      </c>
      <c r="D118" s="126" t="s">
        <v>399</v>
      </c>
      <c r="E118" s="126" t="s">
        <v>267</v>
      </c>
      <c r="F118" s="126" t="s">
        <v>1218</v>
      </c>
      <c r="G118" s="126" t="s">
        <v>1219</v>
      </c>
      <c r="H118" s="126">
        <v>0.86</v>
      </c>
      <c r="I118" s="126" t="s">
        <v>1220</v>
      </c>
      <c r="J118" s="126" t="s">
        <v>1221</v>
      </c>
      <c r="K118" s="126" t="s">
        <v>1222</v>
      </c>
      <c r="L118" s="126" t="s">
        <v>1223</v>
      </c>
      <c r="M118" s="126" t="s">
        <v>1224</v>
      </c>
      <c r="N118" s="149">
        <v>44971.0</v>
      </c>
      <c r="O118" s="150">
        <v>0.1039</v>
      </c>
      <c r="P118" s="150">
        <v>0.0799</v>
      </c>
      <c r="Q118" s="149">
        <v>40105.0</v>
      </c>
      <c r="R118" s="126" t="s">
        <v>320</v>
      </c>
      <c r="S118" s="150">
        <v>-0.0113</v>
      </c>
      <c r="T118" s="150">
        <v>0.013</v>
      </c>
      <c r="U118" s="126" t="s">
        <v>276</v>
      </c>
      <c r="V118" s="150">
        <v>0.0</v>
      </c>
      <c r="W118" s="126" t="s">
        <v>1225</v>
      </c>
      <c r="X118" s="151">
        <v>804.0</v>
      </c>
      <c r="Y118" s="115"/>
      <c r="Z118" s="115"/>
    </row>
    <row r="119">
      <c r="A119" s="126" t="s">
        <v>48</v>
      </c>
      <c r="B119" s="126" t="s">
        <v>1226</v>
      </c>
      <c r="C119" s="126" t="s">
        <v>1227</v>
      </c>
      <c r="D119" s="126" t="s">
        <v>1071</v>
      </c>
      <c r="E119" s="126" t="s">
        <v>301</v>
      </c>
      <c r="F119" s="126" t="s">
        <v>1228</v>
      </c>
      <c r="G119" s="126" t="s">
        <v>1229</v>
      </c>
      <c r="H119" s="126">
        <v>0.47</v>
      </c>
      <c r="I119" s="126" t="s">
        <v>1230</v>
      </c>
      <c r="J119" s="126" t="s">
        <v>1231</v>
      </c>
      <c r="K119" s="126" t="s">
        <v>318</v>
      </c>
      <c r="L119" s="126" t="s">
        <v>318</v>
      </c>
      <c r="M119" s="126" t="s">
        <v>1232</v>
      </c>
      <c r="N119" s="153">
        <v>44957.0</v>
      </c>
      <c r="O119" s="150">
        <v>0.0</v>
      </c>
      <c r="P119" s="150">
        <v>0.008</v>
      </c>
      <c r="Q119" s="153">
        <v>39671.0</v>
      </c>
      <c r="R119" s="126" t="s">
        <v>286</v>
      </c>
      <c r="S119" s="150">
        <v>-0.0507</v>
      </c>
      <c r="T119" s="150">
        <v>0.4792</v>
      </c>
      <c r="U119" s="126" t="s">
        <v>276</v>
      </c>
      <c r="V119" s="150">
        <v>0.0</v>
      </c>
      <c r="W119" s="126" t="s">
        <v>1233</v>
      </c>
      <c r="X119" s="151">
        <v>288.0</v>
      </c>
      <c r="Y119" s="115"/>
      <c r="Z119" s="115"/>
    </row>
    <row r="120">
      <c r="A120" s="126" t="s">
        <v>171</v>
      </c>
      <c r="B120" s="126" t="s">
        <v>1234</v>
      </c>
      <c r="C120" s="126" t="s">
        <v>1235</v>
      </c>
      <c r="D120" s="126" t="s">
        <v>1071</v>
      </c>
      <c r="E120" s="126" t="s">
        <v>301</v>
      </c>
      <c r="F120" s="126" t="s">
        <v>1236</v>
      </c>
      <c r="G120" s="126" t="s">
        <v>1237</v>
      </c>
      <c r="H120" s="126">
        <v>0.36</v>
      </c>
      <c r="I120" s="126" t="s">
        <v>1238</v>
      </c>
      <c r="J120" s="126" t="s">
        <v>1239</v>
      </c>
      <c r="K120" s="126" t="s">
        <v>1240</v>
      </c>
      <c r="L120" s="126" t="s">
        <v>1241</v>
      </c>
      <c r="M120" s="126" t="s">
        <v>1242</v>
      </c>
      <c r="N120" s="149">
        <v>44971.0</v>
      </c>
      <c r="O120" s="150">
        <v>0.1546</v>
      </c>
      <c r="P120" s="150">
        <v>0.1404</v>
      </c>
      <c r="Q120" s="149">
        <v>38944.0</v>
      </c>
      <c r="R120" s="126" t="s">
        <v>1243</v>
      </c>
      <c r="S120" s="150">
        <v>-2.0E-4</v>
      </c>
      <c r="T120" s="150">
        <v>0.6817</v>
      </c>
      <c r="U120" s="126" t="s">
        <v>276</v>
      </c>
      <c r="V120" s="150">
        <v>0.0</v>
      </c>
      <c r="W120" s="126" t="s">
        <v>1244</v>
      </c>
      <c r="X120" s="151">
        <v>963.0</v>
      </c>
      <c r="Y120" s="115"/>
      <c r="Z120" s="115"/>
    </row>
    <row r="121">
      <c r="A121" s="126" t="s">
        <v>193</v>
      </c>
      <c r="B121" s="126" t="s">
        <v>1245</v>
      </c>
      <c r="C121" s="126" t="s">
        <v>1246</v>
      </c>
      <c r="D121" s="126" t="s">
        <v>638</v>
      </c>
      <c r="E121" s="126" t="s">
        <v>301</v>
      </c>
      <c r="F121" s="126" t="s">
        <v>1247</v>
      </c>
      <c r="G121" s="126" t="s">
        <v>1248</v>
      </c>
      <c r="H121" s="126">
        <v>0.38</v>
      </c>
      <c r="I121" s="126" t="s">
        <v>1249</v>
      </c>
      <c r="J121" s="126" t="s">
        <v>1250</v>
      </c>
      <c r="K121" s="126" t="s">
        <v>790</v>
      </c>
      <c r="L121" s="126" t="s">
        <v>1251</v>
      </c>
      <c r="M121" s="126" t="s">
        <v>1252</v>
      </c>
      <c r="N121" s="149">
        <v>44971.0</v>
      </c>
      <c r="O121" s="150">
        <v>0.1269</v>
      </c>
      <c r="P121" s="150">
        <v>0.1248</v>
      </c>
      <c r="Q121" s="149">
        <v>42464.0</v>
      </c>
      <c r="R121" s="126" t="s">
        <v>286</v>
      </c>
      <c r="S121" s="150">
        <v>0.0</v>
      </c>
      <c r="T121" s="150">
        <v>0.1614</v>
      </c>
      <c r="U121" s="126" t="s">
        <v>276</v>
      </c>
      <c r="V121" s="150">
        <v>0.0</v>
      </c>
      <c r="W121" s="126"/>
      <c r="X121" s="151">
        <v>67.0</v>
      </c>
      <c r="Y121" s="115"/>
      <c r="Z121" s="115"/>
    </row>
    <row r="122">
      <c r="A122" s="126" t="s">
        <v>1253</v>
      </c>
      <c r="B122" s="126" t="s">
        <v>1254</v>
      </c>
      <c r="C122" s="126" t="s">
        <v>1255</v>
      </c>
      <c r="D122" s="126" t="s">
        <v>963</v>
      </c>
      <c r="E122" s="126" t="s">
        <v>301</v>
      </c>
      <c r="F122" s="126" t="s">
        <v>1256</v>
      </c>
      <c r="G122" s="126" t="s">
        <v>1257</v>
      </c>
      <c r="H122" s="126">
        <v>1.01</v>
      </c>
      <c r="I122" s="126" t="s">
        <v>1258</v>
      </c>
      <c r="J122" s="126" t="s">
        <v>1259</v>
      </c>
      <c r="K122" s="126" t="s">
        <v>1260</v>
      </c>
      <c r="L122" s="126" t="s">
        <v>1261</v>
      </c>
      <c r="M122" s="126" t="s">
        <v>1262</v>
      </c>
      <c r="N122" s="149">
        <v>44985.0</v>
      </c>
      <c r="O122" s="150">
        <v>0.4259</v>
      </c>
      <c r="P122" s="150">
        <v>0.0774</v>
      </c>
      <c r="Q122" s="149">
        <v>35345.0</v>
      </c>
      <c r="R122" s="126" t="s">
        <v>320</v>
      </c>
      <c r="S122" s="150">
        <v>3.0E-4</v>
      </c>
      <c r="T122" s="126" t="s">
        <v>276</v>
      </c>
      <c r="U122" s="126" t="s">
        <v>276</v>
      </c>
      <c r="V122" s="150">
        <v>0.0</v>
      </c>
      <c r="W122" s="126" t="s">
        <v>1263</v>
      </c>
      <c r="X122" s="151">
        <v>57.0</v>
      </c>
      <c r="Y122" s="115"/>
      <c r="Z122" s="115"/>
    </row>
    <row r="123">
      <c r="A123" s="126" t="s">
        <v>1264</v>
      </c>
      <c r="B123" s="126" t="s">
        <v>1265</v>
      </c>
      <c r="C123" s="126" t="s">
        <v>1266</v>
      </c>
      <c r="D123" s="126" t="s">
        <v>266</v>
      </c>
      <c r="E123" s="126" t="s">
        <v>267</v>
      </c>
      <c r="F123" s="126" t="s">
        <v>1267</v>
      </c>
      <c r="G123" s="126" t="s">
        <v>1268</v>
      </c>
      <c r="H123" s="126">
        <v>0.52</v>
      </c>
      <c r="I123" s="126" t="s">
        <v>1269</v>
      </c>
      <c r="J123" s="126" t="s">
        <v>1270</v>
      </c>
      <c r="K123" s="126" t="s">
        <v>1271</v>
      </c>
      <c r="L123" s="126" t="s">
        <v>1272</v>
      </c>
      <c r="M123" s="126" t="s">
        <v>1273</v>
      </c>
      <c r="N123" s="149">
        <v>44965.0</v>
      </c>
      <c r="O123" s="150">
        <v>0.1594</v>
      </c>
      <c r="P123" s="150">
        <v>0.0959</v>
      </c>
      <c r="Q123" s="149">
        <v>35009.0</v>
      </c>
      <c r="R123" s="126" t="s">
        <v>286</v>
      </c>
      <c r="S123" s="150">
        <v>-0.0912</v>
      </c>
      <c r="T123" s="150">
        <v>0.044</v>
      </c>
      <c r="U123" s="126" t="s">
        <v>276</v>
      </c>
      <c r="V123" s="150">
        <v>0.0</v>
      </c>
      <c r="W123" s="126" t="s">
        <v>1274</v>
      </c>
      <c r="X123" s="151">
        <v>3998.0</v>
      </c>
      <c r="Y123" s="115"/>
      <c r="Z123" s="115"/>
    </row>
    <row r="124">
      <c r="A124" s="126" t="s">
        <v>1275</v>
      </c>
      <c r="B124" s="126" t="s">
        <v>1276</v>
      </c>
      <c r="C124" s="126" t="s">
        <v>1277</v>
      </c>
      <c r="D124" s="126" t="s">
        <v>1278</v>
      </c>
      <c r="E124" s="126" t="s">
        <v>292</v>
      </c>
      <c r="F124" s="126" t="s">
        <v>1279</v>
      </c>
      <c r="G124" s="126" t="s">
        <v>1280</v>
      </c>
      <c r="H124" s="126">
        <v>1.2</v>
      </c>
      <c r="I124" s="126" t="s">
        <v>276</v>
      </c>
      <c r="J124" s="126" t="s">
        <v>276</v>
      </c>
      <c r="K124" s="126"/>
      <c r="L124" s="126"/>
      <c r="M124" s="126" t="s">
        <v>285</v>
      </c>
      <c r="N124" s="149"/>
      <c r="O124" s="150"/>
      <c r="P124" s="150"/>
      <c r="Q124" s="149">
        <v>44810.0</v>
      </c>
      <c r="R124" s="126" t="s">
        <v>318</v>
      </c>
      <c r="S124" s="150">
        <v>-0.0083</v>
      </c>
      <c r="T124" s="126" t="s">
        <v>276</v>
      </c>
      <c r="U124" s="126" t="s">
        <v>276</v>
      </c>
      <c r="V124" s="150">
        <v>0.0</v>
      </c>
      <c r="W124" s="126" t="s">
        <v>1281</v>
      </c>
      <c r="X124" s="151">
        <v>77.0</v>
      </c>
      <c r="Y124" s="115"/>
      <c r="Z124" s="115"/>
    </row>
    <row r="125">
      <c r="A125" s="126" t="s">
        <v>77</v>
      </c>
      <c r="B125" s="126" t="s">
        <v>1282</v>
      </c>
      <c r="C125" s="126" t="s">
        <v>1283</v>
      </c>
      <c r="D125" s="126" t="s">
        <v>1284</v>
      </c>
      <c r="E125" s="126" t="s">
        <v>528</v>
      </c>
      <c r="F125" s="126" t="s">
        <v>1285</v>
      </c>
      <c r="G125" s="126" t="s">
        <v>1286</v>
      </c>
      <c r="H125" s="126">
        <v>0.92</v>
      </c>
      <c r="I125" s="126" t="s">
        <v>1287</v>
      </c>
      <c r="J125" s="126" t="s">
        <v>1288</v>
      </c>
      <c r="K125" s="126" t="s">
        <v>510</v>
      </c>
      <c r="L125" s="126" t="s">
        <v>1289</v>
      </c>
      <c r="M125" s="126" t="s">
        <v>1290</v>
      </c>
      <c r="N125" s="149">
        <v>44964.0</v>
      </c>
      <c r="O125" s="150">
        <v>0.1194</v>
      </c>
      <c r="P125" s="150">
        <v>0.1143</v>
      </c>
      <c r="Q125" s="149">
        <v>44202.0</v>
      </c>
      <c r="R125" s="126" t="s">
        <v>296</v>
      </c>
      <c r="S125" s="150">
        <v>-0.0863</v>
      </c>
      <c r="T125" s="150">
        <v>0.0</v>
      </c>
      <c r="U125" s="153">
        <v>44925.0</v>
      </c>
      <c r="V125" s="150">
        <v>0.0049</v>
      </c>
      <c r="W125" s="126" t="s">
        <v>1291</v>
      </c>
      <c r="X125" s="151">
        <v>25166.0</v>
      </c>
      <c r="Y125" s="115"/>
      <c r="Z125" s="115"/>
    </row>
    <row r="126">
      <c r="A126" s="126" t="s">
        <v>1292</v>
      </c>
      <c r="B126" s="126" t="s">
        <v>1293</v>
      </c>
      <c r="C126" s="126" t="s">
        <v>1294</v>
      </c>
      <c r="D126" s="126" t="s">
        <v>1284</v>
      </c>
      <c r="E126" s="126" t="s">
        <v>281</v>
      </c>
      <c r="F126" s="126" t="s">
        <v>1295</v>
      </c>
      <c r="G126" s="126" t="s">
        <v>1296</v>
      </c>
      <c r="H126" s="126">
        <v>0.89</v>
      </c>
      <c r="I126" s="126" t="s">
        <v>276</v>
      </c>
      <c r="J126" s="126" t="s">
        <v>276</v>
      </c>
      <c r="K126" s="126" t="s">
        <v>362</v>
      </c>
      <c r="L126" s="126"/>
      <c r="M126" s="126" t="s">
        <v>285</v>
      </c>
      <c r="N126" s="149">
        <v>44980.0</v>
      </c>
      <c r="O126" s="150">
        <v>0.1461</v>
      </c>
      <c r="P126" s="150">
        <v>0.1623</v>
      </c>
      <c r="Q126" s="149">
        <v>44610.0</v>
      </c>
      <c r="R126" s="126" t="s">
        <v>296</v>
      </c>
      <c r="S126" s="150">
        <v>-0.0245</v>
      </c>
      <c r="T126" s="126" t="s">
        <v>276</v>
      </c>
      <c r="U126" s="126" t="s">
        <v>276</v>
      </c>
      <c r="V126" s="150">
        <v>0.0</v>
      </c>
      <c r="W126" s="126" t="s">
        <v>1297</v>
      </c>
      <c r="X126" s="151">
        <v>19752.0</v>
      </c>
      <c r="Y126" s="115"/>
      <c r="Z126" s="115"/>
    </row>
    <row r="127">
      <c r="A127" s="126" t="s">
        <v>53</v>
      </c>
      <c r="B127" s="126" t="s">
        <v>1298</v>
      </c>
      <c r="C127" s="126" t="s">
        <v>1299</v>
      </c>
      <c r="D127" s="126" t="s">
        <v>1300</v>
      </c>
      <c r="E127" s="126" t="s">
        <v>328</v>
      </c>
      <c r="F127" s="126" t="s">
        <v>1301</v>
      </c>
      <c r="G127" s="126" t="s">
        <v>1302</v>
      </c>
      <c r="H127" s="126">
        <v>0.86</v>
      </c>
      <c r="I127" s="126" t="s">
        <v>276</v>
      </c>
      <c r="J127" s="126" t="s">
        <v>276</v>
      </c>
      <c r="K127" s="126" t="s">
        <v>998</v>
      </c>
      <c r="L127" s="126"/>
      <c r="M127" s="126" t="s">
        <v>285</v>
      </c>
      <c r="N127" s="149">
        <v>44979.0</v>
      </c>
      <c r="O127" s="150">
        <v>0.1302</v>
      </c>
      <c r="P127" s="150">
        <v>0.1315</v>
      </c>
      <c r="Q127" s="149">
        <v>44032.0</v>
      </c>
      <c r="R127" s="126" t="s">
        <v>286</v>
      </c>
      <c r="S127" s="150">
        <v>-0.0406</v>
      </c>
      <c r="T127" s="126" t="s">
        <v>276</v>
      </c>
      <c r="U127" s="126" t="s">
        <v>276</v>
      </c>
      <c r="V127" s="150">
        <v>0.0</v>
      </c>
      <c r="W127" s="126" t="s">
        <v>1303</v>
      </c>
      <c r="X127" s="151">
        <v>1958.0</v>
      </c>
      <c r="Y127" s="115"/>
      <c r="Z127" s="115"/>
    </row>
    <row r="128">
      <c r="A128" s="126" t="s">
        <v>1304</v>
      </c>
      <c r="B128" s="126" t="s">
        <v>1305</v>
      </c>
      <c r="C128" s="126" t="s">
        <v>1306</v>
      </c>
      <c r="D128" s="126" t="s">
        <v>1300</v>
      </c>
      <c r="E128" s="126" t="s">
        <v>292</v>
      </c>
      <c r="F128" s="126" t="s">
        <v>1307</v>
      </c>
      <c r="G128" s="126" t="s">
        <v>1308</v>
      </c>
      <c r="H128" s="126">
        <v>0.97</v>
      </c>
      <c r="I128" s="126" t="s">
        <v>276</v>
      </c>
      <c r="J128" s="126" t="s">
        <v>276</v>
      </c>
      <c r="K128" s="126" t="s">
        <v>1309</v>
      </c>
      <c r="L128" s="126"/>
      <c r="M128" s="126" t="s">
        <v>285</v>
      </c>
      <c r="N128" s="149">
        <v>44971.0</v>
      </c>
      <c r="O128" s="150">
        <v>0.1651</v>
      </c>
      <c r="P128" s="150">
        <v>0.165</v>
      </c>
      <c r="Q128" s="149">
        <v>44580.0</v>
      </c>
      <c r="R128" s="126" t="s">
        <v>286</v>
      </c>
      <c r="S128" s="150">
        <v>-0.0134</v>
      </c>
      <c r="T128" s="126" t="s">
        <v>276</v>
      </c>
      <c r="U128" s="126" t="s">
        <v>276</v>
      </c>
      <c r="V128" s="150">
        <v>0.0</v>
      </c>
      <c r="W128" s="126" t="s">
        <v>1310</v>
      </c>
      <c r="X128" s="151">
        <v>5779.0</v>
      </c>
      <c r="Y128" s="115"/>
      <c r="Z128" s="115"/>
    </row>
    <row r="129">
      <c r="A129" s="126" t="s">
        <v>1311</v>
      </c>
      <c r="B129" s="126" t="s">
        <v>1312</v>
      </c>
      <c r="C129" s="126" t="s">
        <v>1313</v>
      </c>
      <c r="D129" s="126" t="s">
        <v>1300</v>
      </c>
      <c r="E129" s="126" t="s">
        <v>281</v>
      </c>
      <c r="F129" s="126" t="s">
        <v>1314</v>
      </c>
      <c r="G129" s="126" t="s">
        <v>1315</v>
      </c>
      <c r="H129" s="126">
        <v>0.96</v>
      </c>
      <c r="I129" s="126" t="s">
        <v>276</v>
      </c>
      <c r="J129" s="126" t="s">
        <v>276</v>
      </c>
      <c r="K129" s="126" t="s">
        <v>869</v>
      </c>
      <c r="L129" s="126"/>
      <c r="M129" s="126" t="s">
        <v>285</v>
      </c>
      <c r="N129" s="149">
        <v>44979.0</v>
      </c>
      <c r="O129" s="150">
        <v>0.157</v>
      </c>
      <c r="P129" s="150">
        <v>0.1691</v>
      </c>
      <c r="Q129" s="149">
        <v>44175.0</v>
      </c>
      <c r="R129" s="126" t="s">
        <v>286</v>
      </c>
      <c r="S129" s="150">
        <v>-0.0321</v>
      </c>
      <c r="T129" s="126" t="s">
        <v>276</v>
      </c>
      <c r="U129" s="126" t="s">
        <v>276</v>
      </c>
      <c r="V129" s="150">
        <v>0.0</v>
      </c>
      <c r="W129" s="126" t="s">
        <v>1316</v>
      </c>
      <c r="X129" s="151">
        <v>3810.0</v>
      </c>
      <c r="Y129" s="115"/>
      <c r="Z129" s="115"/>
    </row>
    <row r="130">
      <c r="A130" s="126" t="s">
        <v>56</v>
      </c>
      <c r="B130" s="126" t="s">
        <v>318</v>
      </c>
      <c r="C130" s="126" t="s">
        <v>1317</v>
      </c>
      <c r="D130" s="126" t="s">
        <v>313</v>
      </c>
      <c r="E130" s="126" t="s">
        <v>755</v>
      </c>
      <c r="F130" s="126" t="s">
        <v>1318</v>
      </c>
      <c r="G130" s="126" t="s">
        <v>1319</v>
      </c>
      <c r="H130" s="126">
        <v>0.77</v>
      </c>
      <c r="I130" s="126" t="s">
        <v>1320</v>
      </c>
      <c r="J130" s="126" t="s">
        <v>1321</v>
      </c>
      <c r="K130" s="126" t="s">
        <v>1322</v>
      </c>
      <c r="L130" s="126" t="s">
        <v>1323</v>
      </c>
      <c r="M130" s="126" t="s">
        <v>1324</v>
      </c>
      <c r="N130" s="149">
        <v>44971.0</v>
      </c>
      <c r="O130" s="150">
        <v>0.1286</v>
      </c>
      <c r="P130" s="150">
        <v>0.1216</v>
      </c>
      <c r="Q130" s="149">
        <v>42555.0</v>
      </c>
      <c r="R130" s="126" t="s">
        <v>320</v>
      </c>
      <c r="S130" s="150">
        <v>-0.0113</v>
      </c>
      <c r="T130" s="150">
        <v>0.0</v>
      </c>
      <c r="U130" s="126" t="s">
        <v>276</v>
      </c>
      <c r="V130" s="150">
        <v>0.0</v>
      </c>
      <c r="W130" s="126"/>
      <c r="X130" s="151">
        <v>55.0</v>
      </c>
      <c r="Y130" s="115"/>
      <c r="Z130" s="115"/>
    </row>
    <row r="131">
      <c r="A131" s="126" t="s">
        <v>91</v>
      </c>
      <c r="B131" s="126" t="s">
        <v>1325</v>
      </c>
      <c r="C131" s="126" t="s">
        <v>1326</v>
      </c>
      <c r="D131" s="126" t="s">
        <v>1327</v>
      </c>
      <c r="E131" s="126" t="s">
        <v>528</v>
      </c>
      <c r="F131" s="126" t="s">
        <v>1328</v>
      </c>
      <c r="G131" s="126" t="s">
        <v>1329</v>
      </c>
      <c r="H131" s="126">
        <v>0.81</v>
      </c>
      <c r="I131" s="126" t="s">
        <v>1330</v>
      </c>
      <c r="J131" s="126" t="s">
        <v>1331</v>
      </c>
      <c r="K131" s="126" t="s">
        <v>704</v>
      </c>
      <c r="L131" s="126" t="s">
        <v>1332</v>
      </c>
      <c r="M131" s="126" t="s">
        <v>1333</v>
      </c>
      <c r="N131" s="149">
        <v>44965.0</v>
      </c>
      <c r="O131" s="150">
        <v>0.1187</v>
      </c>
      <c r="P131" s="150">
        <v>0.1115</v>
      </c>
      <c r="Q131" s="149">
        <v>42858.0</v>
      </c>
      <c r="R131" s="126" t="s">
        <v>286</v>
      </c>
      <c r="S131" s="150">
        <v>-0.1276</v>
      </c>
      <c r="T131" s="150">
        <v>0.0</v>
      </c>
      <c r="U131" s="149">
        <v>44469.0</v>
      </c>
      <c r="V131" s="150">
        <v>0.0093</v>
      </c>
      <c r="W131" s="126" t="s">
        <v>1334</v>
      </c>
      <c r="X131" s="151">
        <v>102309.0</v>
      </c>
      <c r="Y131" s="115"/>
      <c r="Z131" s="115"/>
    </row>
    <row r="132">
      <c r="A132" s="126" t="s">
        <v>1335</v>
      </c>
      <c r="B132" s="126" t="s">
        <v>318</v>
      </c>
      <c r="C132" s="126" t="s">
        <v>1336</v>
      </c>
      <c r="D132" s="126" t="s">
        <v>1337</v>
      </c>
      <c r="E132" s="126" t="s">
        <v>528</v>
      </c>
      <c r="F132" s="126" t="s">
        <v>318</v>
      </c>
      <c r="G132" s="126" t="s">
        <v>276</v>
      </c>
      <c r="H132" s="126" t="s">
        <v>276</v>
      </c>
      <c r="I132" s="126" t="s">
        <v>276</v>
      </c>
      <c r="J132" s="126" t="s">
        <v>276</v>
      </c>
      <c r="K132" s="126"/>
      <c r="L132" s="126"/>
      <c r="M132" s="126" t="s">
        <v>285</v>
      </c>
      <c r="N132" s="149"/>
      <c r="O132" s="150"/>
      <c r="P132" s="150"/>
      <c r="Q132" s="126" t="s">
        <v>276</v>
      </c>
      <c r="R132" s="126" t="s">
        <v>318</v>
      </c>
      <c r="S132" s="126" t="s">
        <v>276</v>
      </c>
      <c r="T132" s="126" t="s">
        <v>276</v>
      </c>
      <c r="U132" s="126" t="s">
        <v>276</v>
      </c>
      <c r="V132" s="150">
        <v>0.0</v>
      </c>
      <c r="W132" s="126"/>
      <c r="X132" s="151"/>
      <c r="Y132" s="115"/>
      <c r="Z132" s="115"/>
    </row>
    <row r="133">
      <c r="A133" s="126" t="s">
        <v>194</v>
      </c>
      <c r="B133" s="126" t="s">
        <v>1338</v>
      </c>
      <c r="C133" s="126" t="s">
        <v>1339</v>
      </c>
      <c r="D133" s="126" t="s">
        <v>835</v>
      </c>
      <c r="E133" s="126" t="s">
        <v>267</v>
      </c>
      <c r="F133" s="126" t="s">
        <v>1340</v>
      </c>
      <c r="G133" s="126" t="s">
        <v>1341</v>
      </c>
      <c r="H133" s="126">
        <v>0.36</v>
      </c>
      <c r="I133" s="126" t="s">
        <v>1342</v>
      </c>
      <c r="J133" s="126" t="s">
        <v>1343</v>
      </c>
      <c r="K133" s="126" t="s">
        <v>318</v>
      </c>
      <c r="L133" s="126" t="s">
        <v>318</v>
      </c>
      <c r="M133" s="126" t="s">
        <v>1344</v>
      </c>
      <c r="N133" s="153">
        <v>44957.0</v>
      </c>
      <c r="O133" s="150">
        <v>0.0</v>
      </c>
      <c r="P133" s="150"/>
      <c r="Q133" s="149">
        <v>43587.0</v>
      </c>
      <c r="R133" s="126" t="s">
        <v>296</v>
      </c>
      <c r="S133" s="150">
        <v>0.018</v>
      </c>
      <c r="T133" s="150">
        <v>0.102</v>
      </c>
      <c r="U133" s="126" t="s">
        <v>276</v>
      </c>
      <c r="V133" s="150">
        <v>0.0</v>
      </c>
      <c r="W133" s="126" t="s">
        <v>1345</v>
      </c>
      <c r="X133" s="151">
        <v>7183.0</v>
      </c>
      <c r="Y133" s="115"/>
      <c r="Z133" s="115"/>
    </row>
    <row r="134">
      <c r="A134" s="126" t="s">
        <v>1346</v>
      </c>
      <c r="B134" s="126" t="s">
        <v>1347</v>
      </c>
      <c r="C134" s="126" t="s">
        <v>1348</v>
      </c>
      <c r="D134" s="126" t="s">
        <v>1349</v>
      </c>
      <c r="E134" s="126" t="s">
        <v>528</v>
      </c>
      <c r="F134" s="126" t="s">
        <v>1350</v>
      </c>
      <c r="G134" s="126" t="s">
        <v>1351</v>
      </c>
      <c r="H134" s="126">
        <v>1.04</v>
      </c>
      <c r="I134" s="126" t="s">
        <v>1352</v>
      </c>
      <c r="J134" s="126" t="s">
        <v>1353</v>
      </c>
      <c r="K134" s="126" t="s">
        <v>998</v>
      </c>
      <c r="L134" s="126" t="s">
        <v>1354</v>
      </c>
      <c r="M134" s="126" t="s">
        <v>1355</v>
      </c>
      <c r="N134" s="149">
        <v>44971.0</v>
      </c>
      <c r="O134" s="150">
        <v>0.0896</v>
      </c>
      <c r="P134" s="150">
        <v>0.0861</v>
      </c>
      <c r="Q134" s="149">
        <v>44508.0</v>
      </c>
      <c r="R134" s="126" t="s">
        <v>286</v>
      </c>
      <c r="S134" s="150">
        <v>-0.0241</v>
      </c>
      <c r="T134" s="150">
        <v>0.04</v>
      </c>
      <c r="U134" s="126" t="s">
        <v>276</v>
      </c>
      <c r="V134" s="150">
        <v>0.0</v>
      </c>
      <c r="W134" s="126" t="s">
        <v>1356</v>
      </c>
      <c r="X134" s="151">
        <v>136.0</v>
      </c>
      <c r="Y134" s="115"/>
      <c r="Z134" s="115"/>
    </row>
    <row r="135">
      <c r="A135" s="126" t="s">
        <v>102</v>
      </c>
      <c r="B135" s="126" t="s">
        <v>1357</v>
      </c>
      <c r="C135" s="126" t="s">
        <v>1358</v>
      </c>
      <c r="D135" s="126" t="s">
        <v>461</v>
      </c>
      <c r="E135" s="126" t="s">
        <v>301</v>
      </c>
      <c r="F135" s="126" t="s">
        <v>1359</v>
      </c>
      <c r="G135" s="126" t="s">
        <v>1360</v>
      </c>
      <c r="H135" s="126">
        <v>0.78</v>
      </c>
      <c r="I135" s="126" t="s">
        <v>1361</v>
      </c>
      <c r="J135" s="126" t="s">
        <v>1362</v>
      </c>
      <c r="K135" s="126" t="s">
        <v>533</v>
      </c>
      <c r="L135" s="126" t="s">
        <v>1363</v>
      </c>
      <c r="M135" s="126" t="s">
        <v>1364</v>
      </c>
      <c r="N135" s="149">
        <v>44971.0</v>
      </c>
      <c r="O135" s="150">
        <v>0.1359</v>
      </c>
      <c r="P135" s="150">
        <v>0.1214</v>
      </c>
      <c r="Q135" s="149">
        <v>43635.0</v>
      </c>
      <c r="R135" s="126" t="s">
        <v>286</v>
      </c>
      <c r="S135" s="150">
        <v>-0.0692</v>
      </c>
      <c r="T135" s="150">
        <v>0.0</v>
      </c>
      <c r="U135" s="153">
        <v>44957.0</v>
      </c>
      <c r="V135" s="150">
        <v>0.0087</v>
      </c>
      <c r="W135" s="126" t="s">
        <v>1365</v>
      </c>
      <c r="X135" s="151">
        <v>26661.0</v>
      </c>
      <c r="Y135" s="115"/>
      <c r="Z135" s="115"/>
    </row>
    <row r="136">
      <c r="A136" s="126" t="s">
        <v>126</v>
      </c>
      <c r="B136" s="126" t="s">
        <v>1366</v>
      </c>
      <c r="C136" s="126" t="s">
        <v>1367</v>
      </c>
      <c r="D136" s="126" t="s">
        <v>399</v>
      </c>
      <c r="E136" s="126" t="s">
        <v>301</v>
      </c>
      <c r="F136" s="126" t="s">
        <v>1368</v>
      </c>
      <c r="G136" s="126" t="s">
        <v>1369</v>
      </c>
      <c r="H136" s="126">
        <v>0.87</v>
      </c>
      <c r="I136" s="126" t="s">
        <v>1370</v>
      </c>
      <c r="J136" s="126" t="s">
        <v>1371</v>
      </c>
      <c r="K136" s="126" t="s">
        <v>632</v>
      </c>
      <c r="L136" s="126" t="s">
        <v>1372</v>
      </c>
      <c r="M136" s="126" t="s">
        <v>1373</v>
      </c>
      <c r="N136" s="149">
        <v>44971.0</v>
      </c>
      <c r="O136" s="150">
        <v>0.0753</v>
      </c>
      <c r="P136" s="150">
        <v>0.0845</v>
      </c>
      <c r="Q136" s="149">
        <v>44193.0</v>
      </c>
      <c r="R136" s="126" t="s">
        <v>286</v>
      </c>
      <c r="S136" s="150">
        <v>-0.0321</v>
      </c>
      <c r="T136" s="150">
        <v>0.17</v>
      </c>
      <c r="U136" s="149">
        <v>44408.0</v>
      </c>
      <c r="V136" s="150">
        <v>0.0</v>
      </c>
      <c r="W136" s="126" t="s">
        <v>1374</v>
      </c>
      <c r="X136" s="151">
        <v>185.0</v>
      </c>
      <c r="Y136" s="115"/>
      <c r="Z136" s="115"/>
    </row>
    <row r="137">
      <c r="A137" s="126" t="s">
        <v>47</v>
      </c>
      <c r="B137" s="126" t="s">
        <v>864</v>
      </c>
      <c r="C137" s="126" t="s">
        <v>1375</v>
      </c>
      <c r="D137" s="126" t="s">
        <v>1376</v>
      </c>
      <c r="E137" s="126" t="s">
        <v>281</v>
      </c>
      <c r="F137" s="126" t="s">
        <v>1377</v>
      </c>
      <c r="G137" s="126" t="s">
        <v>1378</v>
      </c>
      <c r="H137" s="126">
        <v>0.88</v>
      </c>
      <c r="I137" s="126" t="s">
        <v>276</v>
      </c>
      <c r="J137" s="126" t="s">
        <v>276</v>
      </c>
      <c r="K137" s="126" t="s">
        <v>1379</v>
      </c>
      <c r="L137" s="126"/>
      <c r="M137" s="126" t="s">
        <v>285</v>
      </c>
      <c r="N137" s="149">
        <v>44967.0</v>
      </c>
      <c r="O137" s="150">
        <v>0.1731</v>
      </c>
      <c r="P137" s="150">
        <v>0.1583</v>
      </c>
      <c r="Q137" s="149">
        <v>43675.0</v>
      </c>
      <c r="R137" s="126" t="s">
        <v>286</v>
      </c>
      <c r="S137" s="150">
        <v>-0.0205</v>
      </c>
      <c r="T137" s="126" t="s">
        <v>276</v>
      </c>
      <c r="U137" s="126" t="s">
        <v>276</v>
      </c>
      <c r="V137" s="150">
        <v>0.0066</v>
      </c>
      <c r="W137" s="126" t="s">
        <v>1380</v>
      </c>
      <c r="X137" s="151">
        <v>68688.0</v>
      </c>
      <c r="Y137" s="115"/>
      <c r="Z137" s="115"/>
    </row>
    <row r="138">
      <c r="A138" s="126" t="s">
        <v>1381</v>
      </c>
      <c r="B138" s="126" t="s">
        <v>1382</v>
      </c>
      <c r="C138" s="126" t="s">
        <v>1383</v>
      </c>
      <c r="D138" s="126"/>
      <c r="E138" s="126" t="s">
        <v>301</v>
      </c>
      <c r="F138" s="126" t="s">
        <v>1384</v>
      </c>
      <c r="G138" s="126" t="s">
        <v>1385</v>
      </c>
      <c r="H138" s="126">
        <v>1.12</v>
      </c>
      <c r="I138" s="126" t="s">
        <v>1386</v>
      </c>
      <c r="J138" s="126" t="s">
        <v>1387</v>
      </c>
      <c r="K138" s="126" t="s">
        <v>272</v>
      </c>
      <c r="L138" s="126" t="s">
        <v>1388</v>
      </c>
      <c r="M138" s="126" t="s">
        <v>1389</v>
      </c>
      <c r="N138" s="149">
        <v>44971.0</v>
      </c>
      <c r="O138" s="150">
        <v>0.0542</v>
      </c>
      <c r="P138" s="150">
        <v>0.0729</v>
      </c>
      <c r="Q138" s="149">
        <v>44805.0</v>
      </c>
      <c r="R138" s="126" t="s">
        <v>286</v>
      </c>
      <c r="S138" s="150">
        <v>-0.0053</v>
      </c>
      <c r="T138" s="150">
        <v>0.052</v>
      </c>
      <c r="U138" s="126" t="s">
        <v>276</v>
      </c>
      <c r="V138" s="150">
        <v>0.0</v>
      </c>
      <c r="W138" s="126" t="s">
        <v>1390</v>
      </c>
      <c r="X138" s="151">
        <v>40.0</v>
      </c>
      <c r="Y138" s="115"/>
      <c r="Z138" s="115"/>
    </row>
    <row r="139">
      <c r="A139" s="126" t="s">
        <v>98</v>
      </c>
      <c r="B139" s="126" t="s">
        <v>1312</v>
      </c>
      <c r="C139" s="126" t="s">
        <v>1391</v>
      </c>
      <c r="D139" s="126" t="s">
        <v>1092</v>
      </c>
      <c r="E139" s="126" t="s">
        <v>301</v>
      </c>
      <c r="F139" s="126" t="s">
        <v>1392</v>
      </c>
      <c r="G139" s="126" t="s">
        <v>1393</v>
      </c>
      <c r="H139" s="126">
        <v>0.8</v>
      </c>
      <c r="I139" s="126" t="s">
        <v>1394</v>
      </c>
      <c r="J139" s="126" t="s">
        <v>1395</v>
      </c>
      <c r="K139" s="126" t="s">
        <v>1396</v>
      </c>
      <c r="L139" s="126" t="s">
        <v>1397</v>
      </c>
      <c r="M139" s="126" t="s">
        <v>1398</v>
      </c>
      <c r="N139" s="149">
        <v>44971.0</v>
      </c>
      <c r="O139" s="150">
        <v>0.0862</v>
      </c>
      <c r="P139" s="150">
        <v>0.0885</v>
      </c>
      <c r="Q139" s="149">
        <v>43969.0</v>
      </c>
      <c r="R139" s="126" t="s">
        <v>286</v>
      </c>
      <c r="S139" s="150">
        <v>0.0583</v>
      </c>
      <c r="T139" s="150">
        <v>0.0283</v>
      </c>
      <c r="U139" s="126" t="s">
        <v>276</v>
      </c>
      <c r="V139" s="150">
        <v>0.0</v>
      </c>
      <c r="W139" s="126" t="s">
        <v>1399</v>
      </c>
      <c r="X139" s="151">
        <v>1265.0</v>
      </c>
      <c r="Y139" s="115"/>
      <c r="Z139" s="115"/>
    </row>
    <row r="140">
      <c r="A140" s="126" t="s">
        <v>1400</v>
      </c>
      <c r="B140" s="126" t="s">
        <v>1401</v>
      </c>
      <c r="C140" s="126" t="s">
        <v>1402</v>
      </c>
      <c r="D140" s="126" t="s">
        <v>1403</v>
      </c>
      <c r="E140" s="126" t="s">
        <v>281</v>
      </c>
      <c r="F140" s="126" t="s">
        <v>1404</v>
      </c>
      <c r="G140" s="126" t="s">
        <v>1405</v>
      </c>
      <c r="H140" s="126">
        <v>0.81</v>
      </c>
      <c r="I140" s="126" t="s">
        <v>276</v>
      </c>
      <c r="J140" s="126" t="s">
        <v>276</v>
      </c>
      <c r="K140" s="126" t="s">
        <v>488</v>
      </c>
      <c r="L140" s="126"/>
      <c r="M140" s="126" t="s">
        <v>285</v>
      </c>
      <c r="N140" s="149">
        <v>44971.0</v>
      </c>
      <c r="O140" s="150">
        <v>0.1567</v>
      </c>
      <c r="P140" s="150">
        <v>0.1361</v>
      </c>
      <c r="Q140" s="149">
        <v>44389.0</v>
      </c>
      <c r="R140" s="126" t="s">
        <v>286</v>
      </c>
      <c r="S140" s="150">
        <v>-0.0439</v>
      </c>
      <c r="T140" s="126" t="s">
        <v>276</v>
      </c>
      <c r="U140" s="126" t="s">
        <v>276</v>
      </c>
      <c r="V140" s="150">
        <v>0.0</v>
      </c>
      <c r="W140" s="126" t="s">
        <v>1406</v>
      </c>
      <c r="X140" s="151">
        <v>647.0</v>
      </c>
      <c r="Y140" s="115"/>
      <c r="Z140" s="115"/>
    </row>
    <row r="141">
      <c r="A141" s="126" t="s">
        <v>106</v>
      </c>
      <c r="B141" s="126" t="s">
        <v>1407</v>
      </c>
      <c r="C141" s="126" t="s">
        <v>1408</v>
      </c>
      <c r="D141" s="126" t="s">
        <v>313</v>
      </c>
      <c r="E141" s="126" t="s">
        <v>1409</v>
      </c>
      <c r="F141" s="126" t="s">
        <v>1410</v>
      </c>
      <c r="G141" s="126" t="s">
        <v>1411</v>
      </c>
      <c r="H141" s="126">
        <v>0.76</v>
      </c>
      <c r="I141" s="126" t="s">
        <v>1412</v>
      </c>
      <c r="J141" s="126" t="s">
        <v>1413</v>
      </c>
      <c r="K141" s="126" t="s">
        <v>1414</v>
      </c>
      <c r="L141" s="126" t="s">
        <v>586</v>
      </c>
      <c r="M141" s="126" t="s">
        <v>1415</v>
      </c>
      <c r="N141" s="149">
        <v>44974.0</v>
      </c>
      <c r="O141" s="150">
        <v>0.1361</v>
      </c>
      <c r="P141" s="150">
        <v>0.0849</v>
      </c>
      <c r="Q141" s="149">
        <v>38504.0</v>
      </c>
      <c r="R141" s="126" t="s">
        <v>286</v>
      </c>
      <c r="S141" s="150">
        <v>0.0335</v>
      </c>
      <c r="T141" s="150">
        <v>0.0</v>
      </c>
      <c r="U141" s="126" t="s">
        <v>276</v>
      </c>
      <c r="V141" s="150">
        <v>0.0</v>
      </c>
      <c r="W141" s="126" t="s">
        <v>1416</v>
      </c>
      <c r="X141" s="151">
        <v>3083.0</v>
      </c>
      <c r="Y141" s="115"/>
      <c r="Z141" s="115"/>
    </row>
    <row r="142">
      <c r="A142" s="126" t="s">
        <v>36</v>
      </c>
      <c r="B142" s="126" t="s">
        <v>1417</v>
      </c>
      <c r="C142" s="126" t="s">
        <v>1418</v>
      </c>
      <c r="D142" s="126" t="s">
        <v>1403</v>
      </c>
      <c r="E142" s="126" t="s">
        <v>281</v>
      </c>
      <c r="F142" s="126" t="s">
        <v>1419</v>
      </c>
      <c r="G142" s="126" t="s">
        <v>1420</v>
      </c>
      <c r="H142" s="126">
        <v>0.75</v>
      </c>
      <c r="I142" s="126" t="s">
        <v>276</v>
      </c>
      <c r="J142" s="126" t="s">
        <v>276</v>
      </c>
      <c r="K142" s="126" t="s">
        <v>488</v>
      </c>
      <c r="L142" s="126"/>
      <c r="M142" s="126" t="s">
        <v>285</v>
      </c>
      <c r="N142" s="149">
        <v>44971.0</v>
      </c>
      <c r="O142" s="150">
        <v>0.142</v>
      </c>
      <c r="P142" s="150">
        <v>0.1732</v>
      </c>
      <c r="Q142" s="149">
        <v>43657.0</v>
      </c>
      <c r="R142" s="126" t="s">
        <v>286</v>
      </c>
      <c r="S142" s="150">
        <v>-0.1033</v>
      </c>
      <c r="T142" s="126" t="s">
        <v>276</v>
      </c>
      <c r="U142" s="126" t="s">
        <v>276</v>
      </c>
      <c r="V142" s="150">
        <v>0.0203</v>
      </c>
      <c r="W142" s="126" t="s">
        <v>1421</v>
      </c>
      <c r="X142" s="151">
        <v>211847.0</v>
      </c>
      <c r="Y142" s="115"/>
      <c r="Z142" s="115"/>
    </row>
    <row r="143">
      <c r="A143" s="126" t="s">
        <v>1422</v>
      </c>
      <c r="B143" s="126" t="s">
        <v>1423</v>
      </c>
      <c r="C143" s="126" t="s">
        <v>1424</v>
      </c>
      <c r="D143" s="126" t="s">
        <v>399</v>
      </c>
      <c r="E143" s="126" t="s">
        <v>301</v>
      </c>
      <c r="F143" s="126" t="s">
        <v>1425</v>
      </c>
      <c r="G143" s="126" t="s">
        <v>1426</v>
      </c>
      <c r="H143" s="126">
        <v>1.33</v>
      </c>
      <c r="I143" s="126" t="s">
        <v>276</v>
      </c>
      <c r="J143" s="126" t="s">
        <v>276</v>
      </c>
      <c r="K143" s="126" t="s">
        <v>318</v>
      </c>
      <c r="L143" s="126"/>
      <c r="M143" s="126" t="s">
        <v>285</v>
      </c>
      <c r="N143" s="149">
        <v>44957.0</v>
      </c>
      <c r="O143" s="150">
        <v>0.0</v>
      </c>
      <c r="P143" s="150"/>
      <c r="Q143" s="126" t="s">
        <v>276</v>
      </c>
      <c r="R143" s="126" t="s">
        <v>286</v>
      </c>
      <c r="S143" s="150">
        <v>0.1818</v>
      </c>
      <c r="T143" s="126" t="s">
        <v>276</v>
      </c>
      <c r="U143" s="126" t="s">
        <v>276</v>
      </c>
      <c r="V143" s="150">
        <v>0.0</v>
      </c>
      <c r="W143" s="126" t="s">
        <v>1427</v>
      </c>
      <c r="X143" s="151">
        <v>109.0</v>
      </c>
      <c r="Y143" s="115"/>
      <c r="Z143" s="115"/>
    </row>
    <row r="144">
      <c r="A144" s="126" t="s">
        <v>138</v>
      </c>
      <c r="B144" s="126" t="s">
        <v>1428</v>
      </c>
      <c r="C144" s="126" t="s">
        <v>1429</v>
      </c>
      <c r="D144" s="126" t="s">
        <v>399</v>
      </c>
      <c r="E144" s="126" t="s">
        <v>328</v>
      </c>
      <c r="F144" s="126" t="s">
        <v>1430</v>
      </c>
      <c r="G144" s="126" t="s">
        <v>1431</v>
      </c>
      <c r="H144" s="126">
        <v>0.81</v>
      </c>
      <c r="I144" s="126" t="s">
        <v>276</v>
      </c>
      <c r="J144" s="126" t="s">
        <v>276</v>
      </c>
      <c r="K144" s="126" t="s">
        <v>1396</v>
      </c>
      <c r="L144" s="126"/>
      <c r="M144" s="126" t="s">
        <v>285</v>
      </c>
      <c r="N144" s="149">
        <v>44971.0</v>
      </c>
      <c r="O144" s="150">
        <v>0.1238</v>
      </c>
      <c r="P144" s="150">
        <v>0.114</v>
      </c>
      <c r="Q144" s="149">
        <v>43159.0</v>
      </c>
      <c r="R144" s="126" t="s">
        <v>286</v>
      </c>
      <c r="S144" s="150">
        <v>-0.0752</v>
      </c>
      <c r="T144" s="126" t="s">
        <v>276</v>
      </c>
      <c r="U144" s="126" t="s">
        <v>276</v>
      </c>
      <c r="V144" s="150">
        <v>0.0146</v>
      </c>
      <c r="W144" s="126" t="s">
        <v>1432</v>
      </c>
      <c r="X144" s="151">
        <v>69826.0</v>
      </c>
      <c r="Y144" s="115"/>
      <c r="Z144" s="115"/>
    </row>
    <row r="145">
      <c r="A145" s="126" t="s">
        <v>1433</v>
      </c>
      <c r="B145" s="126" t="s">
        <v>1434</v>
      </c>
      <c r="C145" s="126" t="s">
        <v>1435</v>
      </c>
      <c r="D145" s="126" t="s">
        <v>1436</v>
      </c>
      <c r="E145" s="126" t="s">
        <v>292</v>
      </c>
      <c r="F145" s="126" t="s">
        <v>1437</v>
      </c>
      <c r="G145" s="126" t="s">
        <v>1438</v>
      </c>
      <c r="H145" s="126">
        <v>1.14</v>
      </c>
      <c r="I145" s="126" t="s">
        <v>276</v>
      </c>
      <c r="J145" s="126" t="s">
        <v>276</v>
      </c>
      <c r="K145" s="126" t="s">
        <v>1439</v>
      </c>
      <c r="L145" s="126"/>
      <c r="M145" s="126" t="s">
        <v>285</v>
      </c>
      <c r="N145" s="149">
        <v>44964.0</v>
      </c>
      <c r="O145" s="150">
        <v>0.2127</v>
      </c>
      <c r="P145" s="150">
        <v>0.1807</v>
      </c>
      <c r="Q145" s="149">
        <v>44781.0</v>
      </c>
      <c r="R145" s="126" t="s">
        <v>286</v>
      </c>
      <c r="S145" s="150">
        <v>-0.735</v>
      </c>
      <c r="T145" s="126" t="s">
        <v>276</v>
      </c>
      <c r="U145" s="126" t="s">
        <v>276</v>
      </c>
      <c r="V145" s="150">
        <v>0.0</v>
      </c>
      <c r="W145" s="126" t="s">
        <v>1440</v>
      </c>
      <c r="X145" s="151">
        <v>308.0</v>
      </c>
      <c r="Y145" s="115"/>
      <c r="Z145" s="115"/>
    </row>
    <row r="146">
      <c r="A146" s="126" t="s">
        <v>172</v>
      </c>
      <c r="B146" s="126" t="s">
        <v>1441</v>
      </c>
      <c r="C146" s="126" t="s">
        <v>1442</v>
      </c>
      <c r="D146" s="126" t="s">
        <v>399</v>
      </c>
      <c r="E146" s="126" t="s">
        <v>267</v>
      </c>
      <c r="F146" s="126" t="s">
        <v>1443</v>
      </c>
      <c r="G146" s="126" t="s">
        <v>1444</v>
      </c>
      <c r="H146" s="126">
        <v>0.81</v>
      </c>
      <c r="I146" s="126" t="s">
        <v>1445</v>
      </c>
      <c r="J146" s="126" t="s">
        <v>1446</v>
      </c>
      <c r="K146" s="126" t="s">
        <v>750</v>
      </c>
      <c r="L146" s="126" t="s">
        <v>1447</v>
      </c>
      <c r="M146" s="126" t="s">
        <v>1448</v>
      </c>
      <c r="N146" s="149">
        <v>44971.0</v>
      </c>
      <c r="O146" s="150">
        <v>0.0974</v>
      </c>
      <c r="P146" s="150">
        <v>0.0869</v>
      </c>
      <c r="Q146" s="149">
        <v>39427.0</v>
      </c>
      <c r="R146" s="126" t="s">
        <v>286</v>
      </c>
      <c r="S146" s="150">
        <v>-0.0528</v>
      </c>
      <c r="T146" s="150">
        <v>0.062</v>
      </c>
      <c r="U146" s="126" t="s">
        <v>276</v>
      </c>
      <c r="V146" s="150">
        <v>0.0173</v>
      </c>
      <c r="W146" s="126" t="s">
        <v>1449</v>
      </c>
      <c r="X146" s="151">
        <v>91264.0</v>
      </c>
      <c r="Y146" s="115"/>
      <c r="Z146" s="115"/>
    </row>
    <row r="147">
      <c r="A147" s="126" t="s">
        <v>118</v>
      </c>
      <c r="B147" s="126" t="s">
        <v>1450</v>
      </c>
      <c r="C147" s="126" t="s">
        <v>1451</v>
      </c>
      <c r="D147" s="126" t="s">
        <v>763</v>
      </c>
      <c r="E147" s="126" t="s">
        <v>281</v>
      </c>
      <c r="F147" s="126" t="s">
        <v>1452</v>
      </c>
      <c r="G147" s="126" t="s">
        <v>1453</v>
      </c>
      <c r="H147" s="126">
        <v>1.0</v>
      </c>
      <c r="I147" s="126" t="s">
        <v>276</v>
      </c>
      <c r="J147" s="126" t="s">
        <v>276</v>
      </c>
      <c r="K147" s="126" t="s">
        <v>1454</v>
      </c>
      <c r="L147" s="126"/>
      <c r="M147" s="126" t="s">
        <v>285</v>
      </c>
      <c r="N147" s="149">
        <v>44971.0</v>
      </c>
      <c r="O147" s="150">
        <v>0.1528</v>
      </c>
      <c r="P147" s="150">
        <v>0.1386</v>
      </c>
      <c r="Q147" s="149">
        <v>40191.0</v>
      </c>
      <c r="R147" s="126" t="s">
        <v>286</v>
      </c>
      <c r="S147" s="150">
        <v>-0.0144</v>
      </c>
      <c r="T147" s="126" t="s">
        <v>276</v>
      </c>
      <c r="U147" s="126" t="s">
        <v>276</v>
      </c>
      <c r="V147" s="150">
        <v>0.0143</v>
      </c>
      <c r="W147" s="126" t="s">
        <v>1455</v>
      </c>
      <c r="X147" s="151">
        <v>84297.0</v>
      </c>
      <c r="Y147" s="115"/>
      <c r="Z147" s="115"/>
    </row>
    <row r="148">
      <c r="A148" s="126" t="s">
        <v>124</v>
      </c>
      <c r="B148" s="126" t="s">
        <v>1456</v>
      </c>
      <c r="C148" s="126" t="s">
        <v>1457</v>
      </c>
      <c r="D148" s="126" t="s">
        <v>763</v>
      </c>
      <c r="E148" s="126" t="s">
        <v>328</v>
      </c>
      <c r="F148" s="126" t="s">
        <v>1458</v>
      </c>
      <c r="G148" s="126" t="s">
        <v>1459</v>
      </c>
      <c r="H148" s="126">
        <v>0.81</v>
      </c>
      <c r="I148" s="126" t="s">
        <v>276</v>
      </c>
      <c r="J148" s="126" t="s">
        <v>276</v>
      </c>
      <c r="K148" s="126" t="s">
        <v>790</v>
      </c>
      <c r="L148" s="126"/>
      <c r="M148" s="126" t="s">
        <v>285</v>
      </c>
      <c r="N148" s="149">
        <v>44971.0</v>
      </c>
      <c r="O148" s="150">
        <v>0.1196</v>
      </c>
      <c r="P148" s="150">
        <v>0.1108</v>
      </c>
      <c r="Q148" s="149">
        <v>43703.0</v>
      </c>
      <c r="R148" s="126" t="s">
        <v>286</v>
      </c>
      <c r="S148" s="150">
        <v>-0.0434</v>
      </c>
      <c r="T148" s="126" t="s">
        <v>276</v>
      </c>
      <c r="U148" s="126" t="s">
        <v>276</v>
      </c>
      <c r="V148" s="150">
        <v>0.0019</v>
      </c>
      <c r="W148" s="126" t="s">
        <v>1460</v>
      </c>
      <c r="X148" s="151">
        <v>9698.0</v>
      </c>
      <c r="Y148" s="115"/>
      <c r="Z148" s="115"/>
    </row>
    <row r="149">
      <c r="A149" s="126" t="s">
        <v>1461</v>
      </c>
      <c r="B149" s="126" t="s">
        <v>1462</v>
      </c>
      <c r="C149" s="126" t="s">
        <v>1463</v>
      </c>
      <c r="D149" s="126" t="s">
        <v>717</v>
      </c>
      <c r="E149" s="126" t="s">
        <v>281</v>
      </c>
      <c r="F149" s="126" t="s">
        <v>1464</v>
      </c>
      <c r="G149" s="126" t="s">
        <v>1465</v>
      </c>
      <c r="H149" s="126">
        <v>0.84</v>
      </c>
      <c r="I149" s="126" t="s">
        <v>276</v>
      </c>
      <c r="J149" s="126" t="s">
        <v>276</v>
      </c>
      <c r="K149" s="126" t="s">
        <v>790</v>
      </c>
      <c r="L149" s="126"/>
      <c r="M149" s="126" t="s">
        <v>285</v>
      </c>
      <c r="N149" s="149">
        <v>44967.0</v>
      </c>
      <c r="O149" s="150">
        <v>0.0838</v>
      </c>
      <c r="P149" s="150">
        <v>0.1295</v>
      </c>
      <c r="Q149" s="149">
        <v>44298.0</v>
      </c>
      <c r="R149" s="126" t="s">
        <v>1466</v>
      </c>
      <c r="S149" s="150">
        <v>-0.0672</v>
      </c>
      <c r="T149" s="126" t="s">
        <v>276</v>
      </c>
      <c r="U149" s="126" t="s">
        <v>276</v>
      </c>
      <c r="V149" s="150">
        <v>0.0</v>
      </c>
      <c r="W149" s="126" t="s">
        <v>1467</v>
      </c>
      <c r="X149" s="151">
        <v>405.0</v>
      </c>
      <c r="Y149" s="115"/>
      <c r="Z149" s="115"/>
    </row>
    <row r="150">
      <c r="A150" s="126" t="s">
        <v>162</v>
      </c>
      <c r="B150" s="126" t="s">
        <v>1468</v>
      </c>
      <c r="C150" s="126" t="s">
        <v>1469</v>
      </c>
      <c r="D150" s="126" t="s">
        <v>763</v>
      </c>
      <c r="E150" s="126" t="s">
        <v>528</v>
      </c>
      <c r="F150" s="126" t="s">
        <v>1470</v>
      </c>
      <c r="G150" s="126" t="s">
        <v>1471</v>
      </c>
      <c r="H150" s="126">
        <v>1.06</v>
      </c>
      <c r="I150" s="126" t="s">
        <v>1472</v>
      </c>
      <c r="J150" s="126" t="s">
        <v>1473</v>
      </c>
      <c r="K150" s="126" t="s">
        <v>869</v>
      </c>
      <c r="L150" s="126" t="s">
        <v>1474</v>
      </c>
      <c r="M150" s="126" t="s">
        <v>1475</v>
      </c>
      <c r="N150" s="149">
        <v>44971.0</v>
      </c>
      <c r="O150" s="150">
        <v>0.0848</v>
      </c>
      <c r="P150" s="150">
        <v>0.1021</v>
      </c>
      <c r="Q150" s="153">
        <v>40354.0</v>
      </c>
      <c r="R150" s="126" t="s">
        <v>286</v>
      </c>
      <c r="S150" s="150">
        <v>-0.0173</v>
      </c>
      <c r="T150" s="150">
        <v>0.138</v>
      </c>
      <c r="U150" s="153">
        <v>44957.0</v>
      </c>
      <c r="V150" s="150">
        <v>0.035</v>
      </c>
      <c r="W150" s="126" t="s">
        <v>1476</v>
      </c>
      <c r="X150" s="151">
        <v>338853.0</v>
      </c>
      <c r="Y150" s="115"/>
      <c r="Z150" s="115"/>
    </row>
    <row r="151">
      <c r="A151" s="126" t="s">
        <v>161</v>
      </c>
      <c r="B151" s="126" t="s">
        <v>1477</v>
      </c>
      <c r="C151" s="126" t="s">
        <v>1478</v>
      </c>
      <c r="D151" s="126" t="s">
        <v>763</v>
      </c>
      <c r="E151" s="126" t="s">
        <v>301</v>
      </c>
      <c r="F151" s="126" t="s">
        <v>1479</v>
      </c>
      <c r="G151" s="126" t="s">
        <v>1480</v>
      </c>
      <c r="H151" s="126">
        <v>0.83</v>
      </c>
      <c r="I151" s="126" t="s">
        <v>1481</v>
      </c>
      <c r="J151" s="126" t="s">
        <v>1482</v>
      </c>
      <c r="K151" s="126" t="s">
        <v>1483</v>
      </c>
      <c r="L151" s="126" t="s">
        <v>1484</v>
      </c>
      <c r="M151" s="126" t="s">
        <v>1485</v>
      </c>
      <c r="N151" s="149">
        <v>44971.0</v>
      </c>
      <c r="O151" s="150">
        <v>0.0802</v>
      </c>
      <c r="P151" s="150">
        <v>0.072</v>
      </c>
      <c r="Q151" s="153">
        <v>40128.0</v>
      </c>
      <c r="R151" s="126" t="s">
        <v>286</v>
      </c>
      <c r="S151" s="150">
        <v>-0.0578</v>
      </c>
      <c r="T151" s="150">
        <v>0.0</v>
      </c>
      <c r="U151" s="149">
        <v>44957.0</v>
      </c>
      <c r="V151" s="150">
        <v>0.0</v>
      </c>
      <c r="W151" s="126" t="s">
        <v>1486</v>
      </c>
      <c r="X151" s="151">
        <v>9042.0</v>
      </c>
      <c r="Y151" s="115"/>
      <c r="Z151" s="115"/>
    </row>
    <row r="152">
      <c r="A152" s="126" t="s">
        <v>158</v>
      </c>
      <c r="B152" s="126" t="s">
        <v>1487</v>
      </c>
      <c r="C152" s="126" t="s">
        <v>1488</v>
      </c>
      <c r="D152" s="126" t="s">
        <v>763</v>
      </c>
      <c r="E152" s="126" t="s">
        <v>301</v>
      </c>
      <c r="F152" s="126" t="s">
        <v>1489</v>
      </c>
      <c r="G152" s="126" t="s">
        <v>1490</v>
      </c>
      <c r="H152" s="126">
        <v>0.73</v>
      </c>
      <c r="I152" s="126" t="s">
        <v>1491</v>
      </c>
      <c r="J152" s="126" t="s">
        <v>1492</v>
      </c>
      <c r="K152" s="126" t="s">
        <v>1493</v>
      </c>
      <c r="L152" s="126" t="s">
        <v>1494</v>
      </c>
      <c r="M152" s="126" t="s">
        <v>1495</v>
      </c>
      <c r="N152" s="149">
        <v>44971.0</v>
      </c>
      <c r="O152" s="150">
        <v>0.0853</v>
      </c>
      <c r="P152" s="150">
        <v>0.0834</v>
      </c>
      <c r="Q152" s="149">
        <v>39574.0</v>
      </c>
      <c r="R152" s="126" t="s">
        <v>286</v>
      </c>
      <c r="S152" s="150">
        <v>-0.0741</v>
      </c>
      <c r="T152" s="150">
        <v>0.218</v>
      </c>
      <c r="U152" s="149">
        <v>44957.0</v>
      </c>
      <c r="V152" s="150">
        <v>0.0132</v>
      </c>
      <c r="W152" s="126" t="s">
        <v>1496</v>
      </c>
      <c r="X152" s="151">
        <v>139177.0</v>
      </c>
      <c r="Y152" s="115"/>
      <c r="Z152" s="115"/>
    </row>
    <row r="153">
      <c r="A153" s="126" t="s">
        <v>139</v>
      </c>
      <c r="B153" s="126" t="s">
        <v>1497</v>
      </c>
      <c r="C153" s="126" t="s">
        <v>1498</v>
      </c>
      <c r="D153" s="126" t="s">
        <v>763</v>
      </c>
      <c r="E153" s="126" t="s">
        <v>335</v>
      </c>
      <c r="F153" s="126" t="s">
        <v>1499</v>
      </c>
      <c r="G153" s="126" t="s">
        <v>1500</v>
      </c>
      <c r="H153" s="126">
        <v>0.94</v>
      </c>
      <c r="I153" s="126" t="s">
        <v>1501</v>
      </c>
      <c r="J153" s="126" t="s">
        <v>1502</v>
      </c>
      <c r="K153" s="126" t="s">
        <v>1503</v>
      </c>
      <c r="L153" s="126" t="s">
        <v>1504</v>
      </c>
      <c r="M153" s="126" t="s">
        <v>1505</v>
      </c>
      <c r="N153" s="149">
        <v>44971.0</v>
      </c>
      <c r="O153" s="150">
        <v>0.0882</v>
      </c>
      <c r="P153" s="150">
        <v>0.0978</v>
      </c>
      <c r="Q153" s="149">
        <v>43308.0</v>
      </c>
      <c r="R153" s="126" t="s">
        <v>286</v>
      </c>
      <c r="S153" s="150">
        <v>-0.051</v>
      </c>
      <c r="T153" s="150">
        <v>0.011</v>
      </c>
      <c r="U153" s="149">
        <v>44957.0</v>
      </c>
      <c r="V153" s="150">
        <v>0.0203</v>
      </c>
      <c r="W153" s="126" t="s">
        <v>1506</v>
      </c>
      <c r="X153" s="151">
        <v>194069.0</v>
      </c>
      <c r="Y153" s="115"/>
      <c r="Z153" s="115"/>
    </row>
    <row r="154">
      <c r="A154" s="126" t="s">
        <v>135</v>
      </c>
      <c r="B154" s="126" t="s">
        <v>1507</v>
      </c>
      <c r="C154" s="126" t="s">
        <v>1508</v>
      </c>
      <c r="D154" s="126" t="s">
        <v>399</v>
      </c>
      <c r="E154" s="126" t="s">
        <v>528</v>
      </c>
      <c r="F154" s="126" t="s">
        <v>1509</v>
      </c>
      <c r="G154" s="126" t="s">
        <v>1510</v>
      </c>
      <c r="H154" s="126">
        <v>0.72</v>
      </c>
      <c r="I154" s="126" t="s">
        <v>1511</v>
      </c>
      <c r="J154" s="126" t="s">
        <v>1512</v>
      </c>
      <c r="K154" s="126" t="s">
        <v>790</v>
      </c>
      <c r="L154" s="126" t="s">
        <v>1513</v>
      </c>
      <c r="M154" s="126" t="s">
        <v>1514</v>
      </c>
      <c r="N154" s="149">
        <v>44971.0</v>
      </c>
      <c r="O154" s="150">
        <v>0.0969</v>
      </c>
      <c r="P154" s="150">
        <v>0.0929</v>
      </c>
      <c r="Q154" s="149">
        <v>43822.0</v>
      </c>
      <c r="R154" s="126" t="s">
        <v>286</v>
      </c>
      <c r="S154" s="150">
        <v>-0.0719</v>
      </c>
      <c r="T154" s="150">
        <v>0.02</v>
      </c>
      <c r="U154" s="149">
        <v>44925.0</v>
      </c>
      <c r="V154" s="150">
        <v>0.0</v>
      </c>
      <c r="W154" s="126" t="s">
        <v>1515</v>
      </c>
      <c r="X154" s="151">
        <v>4173.0</v>
      </c>
      <c r="Y154" s="115"/>
      <c r="Z154" s="115"/>
    </row>
    <row r="155">
      <c r="A155" s="126" t="s">
        <v>1516</v>
      </c>
      <c r="B155" s="126" t="s">
        <v>1517</v>
      </c>
      <c r="C155" s="126" t="s">
        <v>1518</v>
      </c>
      <c r="D155" s="126" t="s">
        <v>399</v>
      </c>
      <c r="E155" s="126" t="s">
        <v>301</v>
      </c>
      <c r="F155" s="126" t="s">
        <v>1519</v>
      </c>
      <c r="G155" s="126" t="s">
        <v>1520</v>
      </c>
      <c r="H155" s="126">
        <v>0.27</v>
      </c>
      <c r="I155" s="126" t="s">
        <v>1521</v>
      </c>
      <c r="J155" s="126" t="s">
        <v>1522</v>
      </c>
      <c r="K155" s="126" t="s">
        <v>687</v>
      </c>
      <c r="L155" s="126" t="s">
        <v>1523</v>
      </c>
      <c r="M155" s="126" t="s">
        <v>1524</v>
      </c>
      <c r="N155" s="149">
        <v>44971.0</v>
      </c>
      <c r="O155" s="150">
        <v>0.0552</v>
      </c>
      <c r="P155" s="150">
        <v>0.1196</v>
      </c>
      <c r="Q155" s="149">
        <v>43755.0</v>
      </c>
      <c r="R155" s="126" t="s">
        <v>286</v>
      </c>
      <c r="S155" s="150">
        <v>-0.1294</v>
      </c>
      <c r="T155" s="150">
        <v>0.41</v>
      </c>
      <c r="U155" s="149">
        <v>44771.0</v>
      </c>
      <c r="V155" s="150">
        <v>0.001</v>
      </c>
      <c r="W155" s="126" t="s">
        <v>1525</v>
      </c>
      <c r="X155" s="151">
        <v>8098.0</v>
      </c>
      <c r="Y155" s="115"/>
      <c r="Z155" s="115"/>
    </row>
    <row r="156">
      <c r="A156" s="126" t="s">
        <v>183</v>
      </c>
      <c r="B156" s="126" t="s">
        <v>1526</v>
      </c>
      <c r="C156" s="126" t="s">
        <v>1527</v>
      </c>
      <c r="D156" s="126" t="s">
        <v>399</v>
      </c>
      <c r="E156" s="126" t="s">
        <v>267</v>
      </c>
      <c r="F156" s="126" t="s">
        <v>1528</v>
      </c>
      <c r="G156" s="126" t="s">
        <v>1529</v>
      </c>
      <c r="H156" s="126">
        <v>0.82</v>
      </c>
      <c r="I156" s="126" t="s">
        <v>1530</v>
      </c>
      <c r="J156" s="126" t="s">
        <v>1531</v>
      </c>
      <c r="K156" s="126" t="s">
        <v>1439</v>
      </c>
      <c r="L156" s="126" t="s">
        <v>1532</v>
      </c>
      <c r="M156" s="126" t="s">
        <v>1533</v>
      </c>
      <c r="N156" s="149">
        <v>44971.0</v>
      </c>
      <c r="O156" s="150">
        <v>0.0764</v>
      </c>
      <c r="P156" s="150">
        <v>0.0748</v>
      </c>
      <c r="Q156" s="149">
        <v>43819.0</v>
      </c>
      <c r="R156" s="126" t="s">
        <v>286</v>
      </c>
      <c r="S156" s="150">
        <v>-0.0255</v>
      </c>
      <c r="T156" s="150">
        <v>0.009</v>
      </c>
      <c r="U156" s="126" t="s">
        <v>276</v>
      </c>
      <c r="V156" s="150">
        <v>0.0</v>
      </c>
      <c r="W156" s="126" t="s">
        <v>1534</v>
      </c>
      <c r="X156" s="151">
        <v>387.0</v>
      </c>
      <c r="Y156" s="115"/>
      <c r="Z156" s="115"/>
    </row>
    <row r="157">
      <c r="A157" s="126" t="s">
        <v>1535</v>
      </c>
      <c r="B157" s="126" t="s">
        <v>1536</v>
      </c>
      <c r="C157" s="126" t="s">
        <v>1537</v>
      </c>
      <c r="D157" s="126" t="s">
        <v>399</v>
      </c>
      <c r="E157" s="126" t="s">
        <v>367</v>
      </c>
      <c r="F157" s="126" t="s">
        <v>1538</v>
      </c>
      <c r="G157" s="126" t="s">
        <v>1539</v>
      </c>
      <c r="H157" s="126">
        <v>0.74</v>
      </c>
      <c r="I157" s="126" t="s">
        <v>276</v>
      </c>
      <c r="J157" s="126" t="s">
        <v>276</v>
      </c>
      <c r="K157" s="126" t="s">
        <v>318</v>
      </c>
      <c r="L157" s="126"/>
      <c r="M157" s="126" t="s">
        <v>285</v>
      </c>
      <c r="N157" s="149">
        <v>44957.0</v>
      </c>
      <c r="O157" s="150">
        <v>0.0</v>
      </c>
      <c r="P157" s="150"/>
      <c r="Q157" s="149">
        <v>43742.0</v>
      </c>
      <c r="R157" s="126" t="s">
        <v>1540</v>
      </c>
      <c r="S157" s="150">
        <v>-0.0319</v>
      </c>
      <c r="T157" s="126" t="s">
        <v>276</v>
      </c>
      <c r="U157" s="126" t="s">
        <v>276</v>
      </c>
      <c r="V157" s="150">
        <v>0.0</v>
      </c>
      <c r="W157" s="126" t="s">
        <v>1541</v>
      </c>
      <c r="X157" s="151">
        <v>1260.0</v>
      </c>
      <c r="Y157" s="115"/>
      <c r="Z157" s="115"/>
    </row>
    <row r="158">
      <c r="A158" s="126" t="s">
        <v>78</v>
      </c>
      <c r="B158" s="126" t="s">
        <v>1542</v>
      </c>
      <c r="C158" s="126" t="s">
        <v>1543</v>
      </c>
      <c r="D158" s="126" t="s">
        <v>399</v>
      </c>
      <c r="E158" s="126" t="s">
        <v>281</v>
      </c>
      <c r="F158" s="126" t="s">
        <v>1544</v>
      </c>
      <c r="G158" s="126" t="s">
        <v>1545</v>
      </c>
      <c r="H158" s="126">
        <v>0.85</v>
      </c>
      <c r="I158" s="126" t="s">
        <v>276</v>
      </c>
      <c r="J158" s="126" t="s">
        <v>276</v>
      </c>
      <c r="K158" s="126" t="s">
        <v>418</v>
      </c>
      <c r="L158" s="126"/>
      <c r="M158" s="126" t="s">
        <v>285</v>
      </c>
      <c r="N158" s="149">
        <v>44971.0</v>
      </c>
      <c r="O158" s="150">
        <v>0.1539</v>
      </c>
      <c r="P158" s="150">
        <v>0.1593</v>
      </c>
      <c r="Q158" s="149">
        <v>44193.0</v>
      </c>
      <c r="R158" s="126" t="s">
        <v>286</v>
      </c>
      <c r="S158" s="150">
        <v>-0.0798</v>
      </c>
      <c r="T158" s="126" t="s">
        <v>276</v>
      </c>
      <c r="U158" s="126" t="s">
        <v>276</v>
      </c>
      <c r="V158" s="150">
        <v>0.0</v>
      </c>
      <c r="W158" s="126" t="s">
        <v>1546</v>
      </c>
      <c r="X158" s="151">
        <v>1010.0</v>
      </c>
      <c r="Y158" s="115"/>
      <c r="Z158" s="115"/>
    </row>
    <row r="159">
      <c r="A159" s="126" t="s">
        <v>58</v>
      </c>
      <c r="B159" s="126" t="s">
        <v>1547</v>
      </c>
      <c r="C159" s="126" t="s">
        <v>1548</v>
      </c>
      <c r="D159" s="126" t="s">
        <v>1549</v>
      </c>
      <c r="E159" s="126" t="s">
        <v>281</v>
      </c>
      <c r="F159" s="126" t="s">
        <v>1550</v>
      </c>
      <c r="G159" s="126" t="s">
        <v>1551</v>
      </c>
      <c r="H159" s="126">
        <v>0.84</v>
      </c>
      <c r="I159" s="126" t="s">
        <v>276</v>
      </c>
      <c r="J159" s="126" t="s">
        <v>276</v>
      </c>
      <c r="K159" s="126" t="s">
        <v>418</v>
      </c>
      <c r="L159" s="126"/>
      <c r="M159" s="126" t="s">
        <v>285</v>
      </c>
      <c r="N159" s="149">
        <v>44964.0</v>
      </c>
      <c r="O159" s="150">
        <v>0.1502</v>
      </c>
      <c r="P159" s="150">
        <v>0.1596</v>
      </c>
      <c r="Q159" s="149">
        <v>44092.0</v>
      </c>
      <c r="R159" s="126" t="s">
        <v>286</v>
      </c>
      <c r="S159" s="150">
        <v>-0.0274</v>
      </c>
      <c r="T159" s="126" t="s">
        <v>276</v>
      </c>
      <c r="U159" s="126" t="s">
        <v>276</v>
      </c>
      <c r="V159" s="150">
        <v>0.0018</v>
      </c>
      <c r="W159" s="126" t="s">
        <v>1552</v>
      </c>
      <c r="X159" s="151">
        <v>8233.0</v>
      </c>
      <c r="Y159" s="115"/>
      <c r="Z159" s="115"/>
    </row>
    <row r="160">
      <c r="A160" s="126" t="s">
        <v>144</v>
      </c>
      <c r="B160" s="126" t="s">
        <v>841</v>
      </c>
      <c r="C160" s="126" t="s">
        <v>1553</v>
      </c>
      <c r="D160" s="126" t="s">
        <v>1554</v>
      </c>
      <c r="E160" s="126" t="s">
        <v>528</v>
      </c>
      <c r="F160" s="126" t="s">
        <v>1555</v>
      </c>
      <c r="G160" s="126" t="s">
        <v>1556</v>
      </c>
      <c r="H160" s="126">
        <v>0.74</v>
      </c>
      <c r="I160" s="126" t="s">
        <v>1557</v>
      </c>
      <c r="J160" s="126" t="s">
        <v>1558</v>
      </c>
      <c r="K160" s="126" t="s">
        <v>998</v>
      </c>
      <c r="L160" s="126" t="s">
        <v>1559</v>
      </c>
      <c r="M160" s="126" t="s">
        <v>1560</v>
      </c>
      <c r="N160" s="149">
        <v>44971.0</v>
      </c>
      <c r="O160" s="150">
        <v>0.1145</v>
      </c>
      <c r="P160" s="150">
        <v>0.1045</v>
      </c>
      <c r="Q160" s="149">
        <v>44180.0</v>
      </c>
      <c r="R160" s="126" t="s">
        <v>286</v>
      </c>
      <c r="S160" s="150">
        <v>-0.1322</v>
      </c>
      <c r="T160" s="150">
        <v>0.0</v>
      </c>
      <c r="U160" s="126" t="s">
        <v>276</v>
      </c>
      <c r="V160" s="150">
        <v>0.0103</v>
      </c>
      <c r="W160" s="126" t="s">
        <v>1561</v>
      </c>
      <c r="X160" s="151">
        <v>24279.0</v>
      </c>
      <c r="Y160" s="115"/>
      <c r="Z160" s="115"/>
    </row>
    <row r="161">
      <c r="A161" s="126" t="s">
        <v>141</v>
      </c>
      <c r="B161" s="126" t="s">
        <v>1562</v>
      </c>
      <c r="C161" s="126" t="s">
        <v>1563</v>
      </c>
      <c r="D161" s="126" t="s">
        <v>1554</v>
      </c>
      <c r="E161" s="126" t="s">
        <v>267</v>
      </c>
      <c r="F161" s="126" t="s">
        <v>1564</v>
      </c>
      <c r="G161" s="126" t="s">
        <v>1565</v>
      </c>
      <c r="H161" s="126">
        <v>0.82</v>
      </c>
      <c r="I161" s="126" t="s">
        <v>1566</v>
      </c>
      <c r="J161" s="126" t="s">
        <v>1567</v>
      </c>
      <c r="K161" s="126" t="s">
        <v>998</v>
      </c>
      <c r="L161" s="126" t="s">
        <v>1568</v>
      </c>
      <c r="M161" s="126" t="s">
        <v>1569</v>
      </c>
      <c r="N161" s="149">
        <v>44964.0</v>
      </c>
      <c r="O161" s="150">
        <v>0.1114</v>
      </c>
      <c r="P161" s="150">
        <v>0.0989</v>
      </c>
      <c r="Q161" s="149">
        <v>43693.0</v>
      </c>
      <c r="R161" s="126" t="s">
        <v>286</v>
      </c>
      <c r="S161" s="150">
        <v>-0.0327</v>
      </c>
      <c r="T161" s="150">
        <v>0.042</v>
      </c>
      <c r="U161" s="126" t="s">
        <v>276</v>
      </c>
      <c r="V161" s="150">
        <v>0.0118</v>
      </c>
      <c r="W161" s="126" t="s">
        <v>1570</v>
      </c>
      <c r="X161" s="151">
        <v>149241.0</v>
      </c>
      <c r="Y161" s="115"/>
      <c r="Z161" s="115"/>
    </row>
    <row r="162">
      <c r="A162" s="126" t="s">
        <v>1571</v>
      </c>
      <c r="B162" s="126" t="s">
        <v>636</v>
      </c>
      <c r="C162" s="126" t="s">
        <v>1572</v>
      </c>
      <c r="D162" s="126" t="s">
        <v>1554</v>
      </c>
      <c r="E162" s="126" t="s">
        <v>335</v>
      </c>
      <c r="F162" s="126" t="s">
        <v>1573</v>
      </c>
      <c r="G162" s="126" t="s">
        <v>1574</v>
      </c>
      <c r="H162" s="126">
        <v>1.07</v>
      </c>
      <c r="I162" s="126" t="s">
        <v>1575</v>
      </c>
      <c r="J162" s="126" t="s">
        <v>1576</v>
      </c>
      <c r="K162" s="126" t="s">
        <v>1396</v>
      </c>
      <c r="L162" s="126" t="s">
        <v>1577</v>
      </c>
      <c r="M162" s="126" t="s">
        <v>1578</v>
      </c>
      <c r="N162" s="149">
        <v>44971.0</v>
      </c>
      <c r="O162" s="150">
        <v>0.0759</v>
      </c>
      <c r="P162" s="150">
        <v>0.07</v>
      </c>
      <c r="Q162" s="153">
        <v>38876.0</v>
      </c>
      <c r="R162" s="126" t="s">
        <v>286</v>
      </c>
      <c r="S162" s="150">
        <v>0.0049</v>
      </c>
      <c r="T162" s="150">
        <v>0.03</v>
      </c>
      <c r="U162" s="126" t="s">
        <v>276</v>
      </c>
      <c r="V162" s="150">
        <v>0.0</v>
      </c>
      <c r="W162" s="126" t="s">
        <v>1579</v>
      </c>
      <c r="X162" s="151">
        <v>186.0</v>
      </c>
      <c r="Y162" s="115"/>
      <c r="Z162" s="115"/>
    </row>
    <row r="163">
      <c r="A163" s="126" t="s">
        <v>195</v>
      </c>
      <c r="B163" s="126" t="s">
        <v>1580</v>
      </c>
      <c r="C163" s="126" t="s">
        <v>1581</v>
      </c>
      <c r="D163" s="126" t="s">
        <v>1582</v>
      </c>
      <c r="E163" s="126" t="s">
        <v>391</v>
      </c>
      <c r="F163" s="126" t="s">
        <v>1583</v>
      </c>
      <c r="G163" s="126" t="s">
        <v>1584</v>
      </c>
      <c r="H163" s="126">
        <v>0.78</v>
      </c>
      <c r="I163" s="126" t="s">
        <v>1585</v>
      </c>
      <c r="J163" s="126" t="s">
        <v>1586</v>
      </c>
      <c r="K163" s="126" t="s">
        <v>696</v>
      </c>
      <c r="L163" s="126" t="s">
        <v>1587</v>
      </c>
      <c r="M163" s="126" t="s">
        <v>1588</v>
      </c>
      <c r="N163" s="149">
        <v>44964.0</v>
      </c>
      <c r="O163" s="150">
        <v>0.0853</v>
      </c>
      <c r="P163" s="150">
        <v>0.0471</v>
      </c>
      <c r="Q163" s="149">
        <v>39276.0</v>
      </c>
      <c r="R163" s="126" t="s">
        <v>286</v>
      </c>
      <c r="S163" s="150">
        <v>-0.0318</v>
      </c>
      <c r="T163" s="150">
        <v>0.27</v>
      </c>
      <c r="U163" s="126" t="s">
        <v>276</v>
      </c>
      <c r="V163" s="150">
        <v>0.0</v>
      </c>
      <c r="W163" s="126" t="s">
        <v>1589</v>
      </c>
      <c r="X163" s="151">
        <v>26023.0</v>
      </c>
      <c r="Y163" s="115"/>
      <c r="Z163" s="115"/>
    </row>
    <row r="164">
      <c r="A164" s="126" t="s">
        <v>1590</v>
      </c>
      <c r="B164" s="126" t="s">
        <v>1591</v>
      </c>
      <c r="C164" s="126" t="s">
        <v>1592</v>
      </c>
      <c r="D164" s="126" t="s">
        <v>1593</v>
      </c>
      <c r="E164" s="126" t="s">
        <v>1409</v>
      </c>
      <c r="F164" s="126" t="s">
        <v>1594</v>
      </c>
      <c r="G164" s="126" t="s">
        <v>1595</v>
      </c>
      <c r="H164" s="126">
        <v>0.73</v>
      </c>
      <c r="I164" s="126" t="s">
        <v>276</v>
      </c>
      <c r="J164" s="126" t="s">
        <v>276</v>
      </c>
      <c r="K164" s="126" t="s">
        <v>722</v>
      </c>
      <c r="L164" s="126"/>
      <c r="M164" s="126" t="s">
        <v>285</v>
      </c>
      <c r="N164" s="149">
        <v>44971.0</v>
      </c>
      <c r="O164" s="150">
        <v>0.06</v>
      </c>
      <c r="P164" s="150">
        <v>0.0826</v>
      </c>
      <c r="Q164" s="149">
        <v>44699.0</v>
      </c>
      <c r="R164" s="126" t="s">
        <v>286</v>
      </c>
      <c r="S164" s="150">
        <v>-0.119</v>
      </c>
      <c r="T164" s="126" t="s">
        <v>276</v>
      </c>
      <c r="U164" s="126" t="s">
        <v>276</v>
      </c>
      <c r="V164" s="150">
        <v>0.0</v>
      </c>
      <c r="W164" s="126" t="s">
        <v>1596</v>
      </c>
      <c r="X164" s="151">
        <v>212.0</v>
      </c>
      <c r="Y164" s="115"/>
      <c r="Z164" s="115"/>
    </row>
    <row r="165">
      <c r="A165" s="126" t="s">
        <v>153</v>
      </c>
      <c r="B165" s="126" t="s">
        <v>1597</v>
      </c>
      <c r="C165" s="126" t="s">
        <v>1598</v>
      </c>
      <c r="D165" s="126" t="s">
        <v>266</v>
      </c>
      <c r="E165" s="126" t="s">
        <v>1409</v>
      </c>
      <c r="F165" s="126" t="s">
        <v>1599</v>
      </c>
      <c r="G165" s="126" t="s">
        <v>1600</v>
      </c>
      <c r="H165" s="126">
        <v>0.71</v>
      </c>
      <c r="I165" s="126" t="s">
        <v>1601</v>
      </c>
      <c r="J165" s="126" t="s">
        <v>1602</v>
      </c>
      <c r="K165" s="126" t="s">
        <v>331</v>
      </c>
      <c r="L165" s="126" t="s">
        <v>1603</v>
      </c>
      <c r="M165" s="126" t="s">
        <v>1604</v>
      </c>
      <c r="N165" s="149">
        <v>44972.0</v>
      </c>
      <c r="O165" s="150">
        <v>0.1051</v>
      </c>
      <c r="P165" s="150">
        <v>0.0988</v>
      </c>
      <c r="Q165" s="149">
        <v>43220.0</v>
      </c>
      <c r="R165" s="126" t="s">
        <v>286</v>
      </c>
      <c r="S165" s="150">
        <v>-0.009</v>
      </c>
      <c r="T165" s="126" t="s">
        <v>276</v>
      </c>
      <c r="U165" s="126" t="s">
        <v>276</v>
      </c>
      <c r="V165" s="150">
        <v>0.0</v>
      </c>
      <c r="W165" s="126" t="s">
        <v>1605</v>
      </c>
      <c r="X165" s="151">
        <v>758.0</v>
      </c>
      <c r="Y165" s="115"/>
      <c r="Z165" s="115"/>
    </row>
    <row r="166">
      <c r="A166" s="126" t="s">
        <v>1606</v>
      </c>
      <c r="B166" s="126" t="s">
        <v>1607</v>
      </c>
      <c r="C166" s="126" t="s">
        <v>1608</v>
      </c>
      <c r="D166" s="126" t="s">
        <v>953</v>
      </c>
      <c r="E166" s="126" t="s">
        <v>1409</v>
      </c>
      <c r="F166" s="126" t="s">
        <v>1609</v>
      </c>
      <c r="G166" s="126" t="s">
        <v>1610</v>
      </c>
      <c r="H166" s="126">
        <v>1.14</v>
      </c>
      <c r="I166" s="126" t="s">
        <v>1611</v>
      </c>
      <c r="J166" s="126" t="s">
        <v>1612</v>
      </c>
      <c r="K166" s="126" t="s">
        <v>1613</v>
      </c>
      <c r="L166" s="126" t="s">
        <v>1614</v>
      </c>
      <c r="M166" s="126" t="s">
        <v>1615</v>
      </c>
      <c r="N166" s="149">
        <v>44971.0</v>
      </c>
      <c r="O166" s="150">
        <v>0.0807</v>
      </c>
      <c r="P166" s="150">
        <v>0.0478</v>
      </c>
      <c r="Q166" s="149">
        <v>43894.0</v>
      </c>
      <c r="R166" s="126" t="s">
        <v>320</v>
      </c>
      <c r="S166" s="150">
        <v>-0.0035</v>
      </c>
      <c r="T166" s="126" t="s">
        <v>276</v>
      </c>
      <c r="U166" s="126" t="s">
        <v>276</v>
      </c>
      <c r="V166" s="150">
        <v>0.0</v>
      </c>
      <c r="W166" s="126" t="s">
        <v>1616</v>
      </c>
      <c r="X166" s="151">
        <v>85.0</v>
      </c>
      <c r="Y166" s="115"/>
      <c r="Z166" s="115"/>
    </row>
    <row r="167">
      <c r="A167" s="126" t="s">
        <v>1617</v>
      </c>
      <c r="B167" s="126" t="s">
        <v>1618</v>
      </c>
      <c r="C167" s="126" t="s">
        <v>1619</v>
      </c>
      <c r="D167" s="126" t="s">
        <v>1620</v>
      </c>
      <c r="E167" s="126" t="s">
        <v>292</v>
      </c>
      <c r="F167" s="126" t="s">
        <v>1621</v>
      </c>
      <c r="G167" s="126" t="s">
        <v>1622</v>
      </c>
      <c r="H167" s="126">
        <v>0.96</v>
      </c>
      <c r="I167" s="126" t="s">
        <v>276</v>
      </c>
      <c r="J167" s="126" t="s">
        <v>276</v>
      </c>
      <c r="K167" s="126"/>
      <c r="L167" s="126"/>
      <c r="M167" s="126" t="s">
        <v>285</v>
      </c>
      <c r="N167" s="149"/>
      <c r="O167" s="150"/>
      <c r="P167" s="150"/>
      <c r="Q167" s="149">
        <v>44967.0</v>
      </c>
      <c r="R167" s="126" t="s">
        <v>286</v>
      </c>
      <c r="S167" s="126" t="s">
        <v>276</v>
      </c>
      <c r="T167" s="126" t="s">
        <v>276</v>
      </c>
      <c r="U167" s="126" t="s">
        <v>276</v>
      </c>
      <c r="V167" s="150">
        <v>0.0</v>
      </c>
      <c r="W167" s="126"/>
      <c r="X167" s="151">
        <v>191.0</v>
      </c>
      <c r="Y167" s="115"/>
      <c r="Z167" s="115"/>
    </row>
    <row r="168">
      <c r="A168" s="126" t="s">
        <v>1623</v>
      </c>
      <c r="B168" s="126" t="s">
        <v>1624</v>
      </c>
      <c r="C168" s="126" t="s">
        <v>1625</v>
      </c>
      <c r="D168" s="126" t="s">
        <v>1626</v>
      </c>
      <c r="E168" s="126" t="s">
        <v>281</v>
      </c>
      <c r="F168" s="126" t="s">
        <v>1627</v>
      </c>
      <c r="G168" s="126" t="s">
        <v>1628</v>
      </c>
      <c r="H168" s="126">
        <v>0.81</v>
      </c>
      <c r="I168" s="126" t="s">
        <v>276</v>
      </c>
      <c r="J168" s="126" t="s">
        <v>276</v>
      </c>
      <c r="K168" s="126" t="s">
        <v>418</v>
      </c>
      <c r="L168" s="126"/>
      <c r="M168" s="126" t="s">
        <v>285</v>
      </c>
      <c r="N168" s="149">
        <v>44973.0</v>
      </c>
      <c r="O168" s="150">
        <v>0.1523</v>
      </c>
      <c r="P168" s="150">
        <v>0.1802</v>
      </c>
      <c r="Q168" s="149">
        <v>44419.0</v>
      </c>
      <c r="R168" s="126" t="s">
        <v>286</v>
      </c>
      <c r="S168" s="150">
        <v>-0.114</v>
      </c>
      <c r="T168" s="126" t="s">
        <v>276</v>
      </c>
      <c r="U168" s="126" t="s">
        <v>276</v>
      </c>
      <c r="V168" s="150">
        <v>8.0E-4</v>
      </c>
      <c r="W168" s="126" t="s">
        <v>1629</v>
      </c>
      <c r="X168" s="151">
        <v>3970.0</v>
      </c>
      <c r="Y168" s="115"/>
      <c r="Z168" s="115"/>
    </row>
    <row r="169">
      <c r="A169" s="126" t="s">
        <v>1630</v>
      </c>
      <c r="B169" s="126" t="s">
        <v>1631</v>
      </c>
      <c r="C169" s="126" t="s">
        <v>1632</v>
      </c>
      <c r="D169" s="126" t="s">
        <v>1633</v>
      </c>
      <c r="E169" s="126" t="s">
        <v>335</v>
      </c>
      <c r="F169" s="126" t="s">
        <v>1634</v>
      </c>
      <c r="G169" s="126" t="s">
        <v>1635</v>
      </c>
      <c r="H169" s="126">
        <v>0.99</v>
      </c>
      <c r="I169" s="126" t="s">
        <v>276</v>
      </c>
      <c r="J169" s="126" t="s">
        <v>276</v>
      </c>
      <c r="K169" s="126" t="s">
        <v>687</v>
      </c>
      <c r="L169" s="126"/>
      <c r="M169" s="126" t="s">
        <v>285</v>
      </c>
      <c r="N169" s="149">
        <v>44964.0</v>
      </c>
      <c r="O169" s="150">
        <v>0.0252</v>
      </c>
      <c r="P169" s="150">
        <v>0.1756</v>
      </c>
      <c r="Q169" s="149">
        <v>44403.0</v>
      </c>
      <c r="R169" s="126" t="s">
        <v>286</v>
      </c>
      <c r="S169" s="150">
        <v>-0.0174</v>
      </c>
      <c r="T169" s="126" t="s">
        <v>276</v>
      </c>
      <c r="U169" s="126" t="s">
        <v>276</v>
      </c>
      <c r="V169" s="150">
        <v>0.0</v>
      </c>
      <c r="W169" s="126" t="s">
        <v>1636</v>
      </c>
      <c r="X169" s="151">
        <v>231.0</v>
      </c>
      <c r="Y169" s="115"/>
      <c r="Z169" s="115"/>
    </row>
    <row r="170">
      <c r="A170" s="126" t="s">
        <v>1637</v>
      </c>
      <c r="B170" s="126" t="s">
        <v>777</v>
      </c>
      <c r="C170" s="126" t="s">
        <v>1638</v>
      </c>
      <c r="D170" s="126" t="s">
        <v>1633</v>
      </c>
      <c r="E170" s="126" t="s">
        <v>335</v>
      </c>
      <c r="F170" s="126" t="s">
        <v>1639</v>
      </c>
      <c r="G170" s="126" t="s">
        <v>1640</v>
      </c>
      <c r="H170" s="126">
        <v>1.6</v>
      </c>
      <c r="I170" s="126" t="s">
        <v>276</v>
      </c>
      <c r="J170" s="126" t="s">
        <v>276</v>
      </c>
      <c r="K170" s="126" t="s">
        <v>384</v>
      </c>
      <c r="L170" s="126"/>
      <c r="M170" s="126" t="s">
        <v>285</v>
      </c>
      <c r="N170" s="149">
        <v>44964.0</v>
      </c>
      <c r="O170" s="150">
        <v>0.12</v>
      </c>
      <c r="P170" s="150">
        <v>0.1257</v>
      </c>
      <c r="Q170" s="126" t="s">
        <v>276</v>
      </c>
      <c r="R170" s="126" t="s">
        <v>318</v>
      </c>
      <c r="S170" s="150">
        <v>-0.0122</v>
      </c>
      <c r="T170" s="126" t="s">
        <v>276</v>
      </c>
      <c r="U170" s="126" t="s">
        <v>276</v>
      </c>
      <c r="V170" s="150">
        <v>0.0</v>
      </c>
      <c r="W170" s="126" t="s">
        <v>1641</v>
      </c>
      <c r="X170" s="151">
        <v>5.0</v>
      </c>
      <c r="Y170" s="115"/>
      <c r="Z170" s="115"/>
    </row>
    <row r="171">
      <c r="A171" s="126" t="s">
        <v>54</v>
      </c>
      <c r="B171" s="126" t="s">
        <v>1642</v>
      </c>
      <c r="C171" s="126" t="s">
        <v>1643</v>
      </c>
      <c r="D171" s="126" t="s">
        <v>1644</v>
      </c>
      <c r="E171" s="126" t="s">
        <v>281</v>
      </c>
      <c r="F171" s="126" t="s">
        <v>1645</v>
      </c>
      <c r="G171" s="126" t="s">
        <v>1646</v>
      </c>
      <c r="H171" s="126">
        <v>0.97</v>
      </c>
      <c r="I171" s="126" t="s">
        <v>276</v>
      </c>
      <c r="J171" s="126" t="s">
        <v>276</v>
      </c>
      <c r="K171" s="126" t="s">
        <v>704</v>
      </c>
      <c r="L171" s="126"/>
      <c r="M171" s="126" t="s">
        <v>285</v>
      </c>
      <c r="N171" s="149">
        <v>44973.0</v>
      </c>
      <c r="O171" s="150">
        <v>0.1349</v>
      </c>
      <c r="P171" s="150">
        <v>0.1462</v>
      </c>
      <c r="Q171" s="149">
        <v>43167.0</v>
      </c>
      <c r="R171" s="126" t="s">
        <v>286</v>
      </c>
      <c r="S171" s="150">
        <v>-0.0315</v>
      </c>
      <c r="T171" s="126" t="s">
        <v>276</v>
      </c>
      <c r="U171" s="126" t="s">
        <v>276</v>
      </c>
      <c r="V171" s="150">
        <v>0.0309</v>
      </c>
      <c r="W171" s="126" t="s">
        <v>1647</v>
      </c>
      <c r="X171" s="151">
        <v>279684.0</v>
      </c>
      <c r="Y171" s="115"/>
      <c r="Z171" s="115"/>
    </row>
    <row r="172">
      <c r="A172" s="126" t="s">
        <v>1648</v>
      </c>
      <c r="B172" s="126" t="s">
        <v>1649</v>
      </c>
      <c r="C172" s="126" t="s">
        <v>1650</v>
      </c>
      <c r="D172" s="126" t="s">
        <v>1644</v>
      </c>
      <c r="E172" s="126" t="s">
        <v>281</v>
      </c>
      <c r="F172" s="126" t="s">
        <v>1651</v>
      </c>
      <c r="G172" s="126" t="s">
        <v>1652</v>
      </c>
      <c r="H172" s="126">
        <v>0.92</v>
      </c>
      <c r="I172" s="126" t="s">
        <v>276</v>
      </c>
      <c r="J172" s="126" t="s">
        <v>276</v>
      </c>
      <c r="K172" s="126" t="s">
        <v>1653</v>
      </c>
      <c r="L172" s="126"/>
      <c r="M172" s="126" t="s">
        <v>285</v>
      </c>
      <c r="N172" s="149">
        <v>44973.0</v>
      </c>
      <c r="O172" s="150">
        <v>0.1441</v>
      </c>
      <c r="P172" s="150">
        <v>0.1655</v>
      </c>
      <c r="Q172" s="149">
        <v>44469.0</v>
      </c>
      <c r="R172" s="126" t="s">
        <v>286</v>
      </c>
      <c r="S172" s="150">
        <v>-0.0278</v>
      </c>
      <c r="T172" s="126" t="s">
        <v>276</v>
      </c>
      <c r="U172" s="126" t="s">
        <v>276</v>
      </c>
      <c r="V172" s="150">
        <v>0.0</v>
      </c>
      <c r="W172" s="126" t="s">
        <v>1654</v>
      </c>
      <c r="X172" s="151">
        <v>2921.0</v>
      </c>
      <c r="Y172" s="115"/>
      <c r="Z172" s="115"/>
    </row>
    <row r="173">
      <c r="A173" s="126" t="s">
        <v>1655</v>
      </c>
      <c r="B173" s="126" t="s">
        <v>1656</v>
      </c>
      <c r="C173" s="126" t="s">
        <v>1657</v>
      </c>
      <c r="D173" s="126" t="s">
        <v>500</v>
      </c>
      <c r="E173" s="126" t="s">
        <v>328</v>
      </c>
      <c r="F173" s="126" t="s">
        <v>1658</v>
      </c>
      <c r="G173" s="126" t="s">
        <v>1659</v>
      </c>
      <c r="H173" s="126">
        <v>0.97</v>
      </c>
      <c r="I173" s="126" t="s">
        <v>276</v>
      </c>
      <c r="J173" s="126" t="s">
        <v>276</v>
      </c>
      <c r="K173" s="126" t="s">
        <v>1660</v>
      </c>
      <c r="L173" s="126"/>
      <c r="M173" s="126" t="s">
        <v>285</v>
      </c>
      <c r="N173" s="149">
        <v>44971.0</v>
      </c>
      <c r="O173" s="150">
        <v>0.1404</v>
      </c>
      <c r="P173" s="150">
        <v>0.1405</v>
      </c>
      <c r="Q173" s="149">
        <v>44251.0</v>
      </c>
      <c r="R173" s="126" t="s">
        <v>286</v>
      </c>
      <c r="S173" s="150">
        <v>-0.0346</v>
      </c>
      <c r="T173" s="126" t="s">
        <v>276</v>
      </c>
      <c r="U173" s="126" t="s">
        <v>276</v>
      </c>
      <c r="V173" s="150">
        <v>0.0</v>
      </c>
      <c r="W173" s="126" t="s">
        <v>1661</v>
      </c>
      <c r="X173" s="151">
        <v>2534.0</v>
      </c>
      <c r="Y173" s="115"/>
      <c r="Z173" s="115"/>
    </row>
    <row r="174">
      <c r="A174" s="126" t="s">
        <v>1662</v>
      </c>
      <c r="B174" s="126" t="s">
        <v>1663</v>
      </c>
      <c r="C174" s="126" t="s">
        <v>1664</v>
      </c>
      <c r="D174" s="126" t="s">
        <v>500</v>
      </c>
      <c r="E174" s="126" t="s">
        <v>328</v>
      </c>
      <c r="F174" s="126" t="s">
        <v>1665</v>
      </c>
      <c r="G174" s="126" t="s">
        <v>1666</v>
      </c>
      <c r="H174" s="126">
        <v>0.99</v>
      </c>
      <c r="I174" s="126" t="s">
        <v>276</v>
      </c>
      <c r="J174" s="126" t="s">
        <v>276</v>
      </c>
      <c r="K174" s="126" t="s">
        <v>573</v>
      </c>
      <c r="L174" s="126"/>
      <c r="M174" s="126" t="s">
        <v>285</v>
      </c>
      <c r="N174" s="149">
        <v>44971.0</v>
      </c>
      <c r="O174" s="150">
        <v>0.1102</v>
      </c>
      <c r="P174" s="150">
        <v>0.091</v>
      </c>
      <c r="Q174" s="149">
        <v>44078.0</v>
      </c>
      <c r="R174" s="126" t="s">
        <v>286</v>
      </c>
      <c r="S174" s="150">
        <v>-0.0568</v>
      </c>
      <c r="T174" s="126" t="s">
        <v>276</v>
      </c>
      <c r="U174" s="126" t="s">
        <v>276</v>
      </c>
      <c r="V174" s="150">
        <v>0.0</v>
      </c>
      <c r="W174" s="126" t="s">
        <v>1667</v>
      </c>
      <c r="X174" s="151">
        <v>9134.0</v>
      </c>
      <c r="Y174" s="115"/>
      <c r="Z174" s="115"/>
    </row>
    <row r="175">
      <c r="A175" s="126" t="s">
        <v>1668</v>
      </c>
      <c r="B175" s="126" t="s">
        <v>1669</v>
      </c>
      <c r="C175" s="126" t="s">
        <v>1670</v>
      </c>
      <c r="D175" s="126" t="s">
        <v>1671</v>
      </c>
      <c r="E175" s="126" t="s">
        <v>755</v>
      </c>
      <c r="F175" s="126" t="s">
        <v>1672</v>
      </c>
      <c r="G175" s="126" t="s">
        <v>1673</v>
      </c>
      <c r="H175" s="126">
        <v>0.86</v>
      </c>
      <c r="I175" s="126" t="s">
        <v>1674</v>
      </c>
      <c r="J175" s="126" t="s">
        <v>1675</v>
      </c>
      <c r="K175" s="126" t="s">
        <v>889</v>
      </c>
      <c r="L175" s="126" t="s">
        <v>1676</v>
      </c>
      <c r="M175" s="126" t="s">
        <v>1677</v>
      </c>
      <c r="N175" s="149">
        <v>44971.0</v>
      </c>
      <c r="O175" s="150">
        <v>0.0498</v>
      </c>
      <c r="P175" s="150">
        <v>0.0179</v>
      </c>
      <c r="Q175" s="149">
        <v>44410.0</v>
      </c>
      <c r="R175" s="126" t="s">
        <v>286</v>
      </c>
      <c r="S175" s="150">
        <v>0.01</v>
      </c>
      <c r="T175" s="150">
        <v>0.059</v>
      </c>
      <c r="U175" s="126" t="s">
        <v>276</v>
      </c>
      <c r="V175" s="150">
        <v>0.0</v>
      </c>
      <c r="W175" s="126"/>
      <c r="X175" s="151">
        <v>69.0</v>
      </c>
      <c r="Y175" s="115"/>
      <c r="Z175" s="115"/>
    </row>
    <row r="176">
      <c r="A176" s="126" t="s">
        <v>1678</v>
      </c>
      <c r="B176" s="126" t="s">
        <v>1679</v>
      </c>
      <c r="C176" s="126" t="s">
        <v>1680</v>
      </c>
      <c r="D176" s="126" t="s">
        <v>1681</v>
      </c>
      <c r="E176" s="126" t="s">
        <v>328</v>
      </c>
      <c r="F176" s="126" t="s">
        <v>1682</v>
      </c>
      <c r="G176" s="126" t="s">
        <v>1683</v>
      </c>
      <c r="H176" s="126">
        <v>1.14</v>
      </c>
      <c r="I176" s="126" t="s">
        <v>276</v>
      </c>
      <c r="J176" s="126" t="s">
        <v>276</v>
      </c>
      <c r="K176" s="126" t="s">
        <v>1684</v>
      </c>
      <c r="L176" s="126"/>
      <c r="M176" s="126" t="s">
        <v>285</v>
      </c>
      <c r="N176" s="149">
        <v>44971.0</v>
      </c>
      <c r="O176" s="150">
        <v>0.0811</v>
      </c>
      <c r="P176" s="150">
        <v>0.0771</v>
      </c>
      <c r="Q176" s="126" t="s">
        <v>276</v>
      </c>
      <c r="R176" s="126" t="s">
        <v>286</v>
      </c>
      <c r="S176" s="150">
        <v>0.0</v>
      </c>
      <c r="T176" s="126" t="s">
        <v>276</v>
      </c>
      <c r="U176" s="126" t="s">
        <v>276</v>
      </c>
      <c r="V176" s="150">
        <v>0.0</v>
      </c>
      <c r="W176" s="126"/>
      <c r="X176" s="151">
        <v>363.0</v>
      </c>
      <c r="Y176" s="115"/>
      <c r="Z176" s="115"/>
    </row>
    <row r="177">
      <c r="A177" s="126" t="s">
        <v>1685</v>
      </c>
      <c r="B177" s="126" t="s">
        <v>1686</v>
      </c>
      <c r="C177" s="126" t="s">
        <v>1687</v>
      </c>
      <c r="D177" s="126" t="s">
        <v>1688</v>
      </c>
      <c r="E177" s="126" t="s">
        <v>292</v>
      </c>
      <c r="F177" s="126" t="s">
        <v>1689</v>
      </c>
      <c r="G177" s="126" t="s">
        <v>1690</v>
      </c>
      <c r="H177" s="126">
        <v>1.0</v>
      </c>
      <c r="I177" s="126" t="s">
        <v>276</v>
      </c>
      <c r="J177" s="126" t="s">
        <v>276</v>
      </c>
      <c r="K177" s="126" t="s">
        <v>1691</v>
      </c>
      <c r="L177" s="126"/>
      <c r="M177" s="126" t="s">
        <v>285</v>
      </c>
      <c r="N177" s="149">
        <v>44973.0</v>
      </c>
      <c r="O177" s="150">
        <v>0.1765</v>
      </c>
      <c r="P177" s="150">
        <v>0.1465</v>
      </c>
      <c r="Q177" s="153">
        <v>44529.0</v>
      </c>
      <c r="R177" s="126" t="s">
        <v>286</v>
      </c>
      <c r="S177" s="150">
        <v>-0.0018</v>
      </c>
      <c r="T177" s="126" t="s">
        <v>276</v>
      </c>
      <c r="U177" s="126" t="s">
        <v>276</v>
      </c>
      <c r="V177" s="150">
        <v>0.0</v>
      </c>
      <c r="W177" s="126" t="s">
        <v>1692</v>
      </c>
      <c r="X177" s="151">
        <v>3571.0</v>
      </c>
      <c r="Y177" s="115"/>
      <c r="Z177" s="115"/>
    </row>
    <row r="178">
      <c r="A178" s="126" t="s">
        <v>66</v>
      </c>
      <c r="B178" s="126" t="s">
        <v>1693</v>
      </c>
      <c r="C178" s="126" t="s">
        <v>1694</v>
      </c>
      <c r="D178" s="126" t="s">
        <v>1695</v>
      </c>
      <c r="E178" s="126" t="s">
        <v>281</v>
      </c>
      <c r="F178" s="126" t="s">
        <v>1696</v>
      </c>
      <c r="G178" s="126" t="s">
        <v>1697</v>
      </c>
      <c r="H178" s="126">
        <v>1.04</v>
      </c>
      <c r="I178" s="126" t="s">
        <v>276</v>
      </c>
      <c r="J178" s="126" t="s">
        <v>276</v>
      </c>
      <c r="K178" s="126" t="s">
        <v>750</v>
      </c>
      <c r="L178" s="126"/>
      <c r="M178" s="126" t="s">
        <v>285</v>
      </c>
      <c r="N178" s="149">
        <v>44971.0</v>
      </c>
      <c r="O178" s="150">
        <v>0.178</v>
      </c>
      <c r="P178" s="150">
        <v>0.1921</v>
      </c>
      <c r="Q178" s="149">
        <v>43791.0</v>
      </c>
      <c r="R178" s="126" t="s">
        <v>286</v>
      </c>
      <c r="S178" s="150">
        <v>-0.0374</v>
      </c>
      <c r="T178" s="126" t="s">
        <v>276</v>
      </c>
      <c r="U178" s="126" t="s">
        <v>276</v>
      </c>
      <c r="V178" s="150">
        <v>0.0</v>
      </c>
      <c r="W178" s="126" t="s">
        <v>1698</v>
      </c>
      <c r="X178" s="151">
        <v>7680.0</v>
      </c>
      <c r="Y178" s="115"/>
      <c r="Z178" s="115"/>
    </row>
    <row r="179">
      <c r="A179" s="126" t="s">
        <v>196</v>
      </c>
      <c r="B179" s="126" t="s">
        <v>1423</v>
      </c>
      <c r="C179" s="126" t="s">
        <v>1699</v>
      </c>
      <c r="D179" s="126" t="s">
        <v>1695</v>
      </c>
      <c r="E179" s="126" t="s">
        <v>367</v>
      </c>
      <c r="F179" s="126" t="s">
        <v>1700</v>
      </c>
      <c r="G179" s="126" t="s">
        <v>1701</v>
      </c>
      <c r="H179" s="126">
        <v>0.36</v>
      </c>
      <c r="I179" s="126" t="s">
        <v>1702</v>
      </c>
      <c r="J179" s="126" t="s">
        <v>1703</v>
      </c>
      <c r="K179" s="126" t="s">
        <v>318</v>
      </c>
      <c r="L179" s="126" t="s">
        <v>318</v>
      </c>
      <c r="M179" s="126" t="s">
        <v>1704</v>
      </c>
      <c r="N179" s="149">
        <v>44957.0</v>
      </c>
      <c r="O179" s="150">
        <v>0.0</v>
      </c>
      <c r="P179" s="150">
        <v>0.0552</v>
      </c>
      <c r="Q179" s="149">
        <v>41418.0</v>
      </c>
      <c r="R179" s="126" t="s">
        <v>320</v>
      </c>
      <c r="S179" s="150">
        <v>-0.1097</v>
      </c>
      <c r="T179" s="126" t="s">
        <v>276</v>
      </c>
      <c r="U179" s="126" t="s">
        <v>276</v>
      </c>
      <c r="V179" s="150">
        <v>0.0</v>
      </c>
      <c r="W179" s="126" t="s">
        <v>1705</v>
      </c>
      <c r="X179" s="151">
        <v>90.0</v>
      </c>
      <c r="Y179" s="115"/>
      <c r="Z179" s="115"/>
    </row>
    <row r="180">
      <c r="A180" s="126" t="s">
        <v>177</v>
      </c>
      <c r="B180" s="126" t="s">
        <v>1706</v>
      </c>
      <c r="C180" s="126" t="s">
        <v>1707</v>
      </c>
      <c r="D180" s="126" t="s">
        <v>313</v>
      </c>
      <c r="E180" s="126" t="s">
        <v>267</v>
      </c>
      <c r="F180" s="126" t="s">
        <v>1708</v>
      </c>
      <c r="G180" s="126" t="s">
        <v>1709</v>
      </c>
      <c r="H180" s="126">
        <v>0.89</v>
      </c>
      <c r="I180" s="126" t="s">
        <v>1710</v>
      </c>
      <c r="J180" s="126" t="s">
        <v>1711</v>
      </c>
      <c r="K180" s="126" t="s">
        <v>1712</v>
      </c>
      <c r="L180" s="126" t="s">
        <v>1713</v>
      </c>
      <c r="M180" s="126" t="s">
        <v>1714</v>
      </c>
      <c r="N180" s="149">
        <v>44957.0</v>
      </c>
      <c r="O180" s="150">
        <v>0.0808</v>
      </c>
      <c r="P180" s="150">
        <v>0.0808</v>
      </c>
      <c r="Q180" s="149">
        <v>41163.0</v>
      </c>
      <c r="R180" s="126" t="s">
        <v>286</v>
      </c>
      <c r="S180" s="150">
        <v>-0.0095</v>
      </c>
      <c r="T180" s="150">
        <v>0.012</v>
      </c>
      <c r="U180" s="126" t="s">
        <v>276</v>
      </c>
      <c r="V180" s="150">
        <v>0.0</v>
      </c>
      <c r="W180" s="126" t="s">
        <v>1715</v>
      </c>
      <c r="X180" s="151">
        <v>4272.0</v>
      </c>
      <c r="Y180" s="115"/>
      <c r="Z180" s="115"/>
    </row>
    <row r="181">
      <c r="A181" s="126" t="s">
        <v>1716</v>
      </c>
      <c r="B181" s="126" t="s">
        <v>1717</v>
      </c>
      <c r="C181" s="126" t="s">
        <v>1718</v>
      </c>
      <c r="D181" s="126" t="s">
        <v>1719</v>
      </c>
      <c r="E181" s="126" t="s">
        <v>328</v>
      </c>
      <c r="F181" s="126" t="s">
        <v>1720</v>
      </c>
      <c r="G181" s="126" t="s">
        <v>1721</v>
      </c>
      <c r="H181" s="126">
        <v>0.88</v>
      </c>
      <c r="I181" s="126" t="s">
        <v>276</v>
      </c>
      <c r="J181" s="126" t="s">
        <v>276</v>
      </c>
      <c r="K181" s="126" t="s">
        <v>1098</v>
      </c>
      <c r="L181" s="126"/>
      <c r="M181" s="126" t="s">
        <v>285</v>
      </c>
      <c r="N181" s="149">
        <v>44971.0</v>
      </c>
      <c r="O181" s="150">
        <v>0.1465</v>
      </c>
      <c r="P181" s="150">
        <v>0.1372</v>
      </c>
      <c r="Q181" s="149">
        <v>44525.0</v>
      </c>
      <c r="R181" s="126" t="s">
        <v>286</v>
      </c>
      <c r="S181" s="150">
        <v>-0.0394</v>
      </c>
      <c r="T181" s="126" t="s">
        <v>276</v>
      </c>
      <c r="U181" s="126" t="s">
        <v>276</v>
      </c>
      <c r="V181" s="150">
        <v>0.0</v>
      </c>
      <c r="W181" s="126" t="s">
        <v>1722</v>
      </c>
      <c r="X181" s="151">
        <v>3675.0</v>
      </c>
      <c r="Y181" s="115"/>
      <c r="Z181" s="115"/>
    </row>
    <row r="182">
      <c r="A182" s="126" t="s">
        <v>133</v>
      </c>
      <c r="B182" s="126" t="s">
        <v>1723</v>
      </c>
      <c r="C182" s="126" t="s">
        <v>1724</v>
      </c>
      <c r="D182" s="126" t="s">
        <v>1719</v>
      </c>
      <c r="E182" s="126" t="s">
        <v>301</v>
      </c>
      <c r="F182" s="126" t="s">
        <v>1725</v>
      </c>
      <c r="G182" s="126" t="s">
        <v>1726</v>
      </c>
      <c r="H182" s="126">
        <v>0.56</v>
      </c>
      <c r="I182" s="126" t="s">
        <v>1727</v>
      </c>
      <c r="J182" s="126" t="s">
        <v>1728</v>
      </c>
      <c r="K182" s="126" t="s">
        <v>1729</v>
      </c>
      <c r="L182" s="126" t="s">
        <v>1730</v>
      </c>
      <c r="M182" s="126" t="s">
        <v>1731</v>
      </c>
      <c r="N182" s="149">
        <v>44971.0</v>
      </c>
      <c r="O182" s="150">
        <v>0.0975</v>
      </c>
      <c r="P182" s="150">
        <v>0.094</v>
      </c>
      <c r="Q182" s="149">
        <v>40704.0</v>
      </c>
      <c r="R182" s="126" t="s">
        <v>286</v>
      </c>
      <c r="S182" s="150">
        <v>-0.1377</v>
      </c>
      <c r="T182" s="150">
        <v>0.086</v>
      </c>
      <c r="U182" s="153">
        <v>44957.0</v>
      </c>
      <c r="V182" s="150">
        <v>0.0138</v>
      </c>
      <c r="W182" s="126" t="s">
        <v>1732</v>
      </c>
      <c r="X182" s="151">
        <v>87407.0</v>
      </c>
      <c r="Y182" s="115"/>
      <c r="Z182" s="115"/>
    </row>
    <row r="183">
      <c r="A183" s="126" t="s">
        <v>1733</v>
      </c>
      <c r="B183" s="126" t="s">
        <v>318</v>
      </c>
      <c r="C183" s="126" t="s">
        <v>1734</v>
      </c>
      <c r="D183" s="126" t="s">
        <v>1735</v>
      </c>
      <c r="E183" s="126" t="s">
        <v>655</v>
      </c>
      <c r="F183" s="126" t="s">
        <v>318</v>
      </c>
      <c r="G183" s="126" t="s">
        <v>1736</v>
      </c>
      <c r="H183" s="126">
        <v>0.0</v>
      </c>
      <c r="I183" s="126" t="s">
        <v>276</v>
      </c>
      <c r="J183" s="126" t="s">
        <v>276</v>
      </c>
      <c r="K183" s="126" t="s">
        <v>318</v>
      </c>
      <c r="L183" s="126"/>
      <c r="M183" s="126" t="s">
        <v>285</v>
      </c>
      <c r="N183" s="149">
        <v>44957.0</v>
      </c>
      <c r="O183" s="150"/>
      <c r="P183" s="150"/>
      <c r="Q183" s="153">
        <v>43046.0</v>
      </c>
      <c r="R183" s="126" t="s">
        <v>286</v>
      </c>
      <c r="S183" s="126" t="s">
        <v>276</v>
      </c>
      <c r="T183" s="126" t="s">
        <v>276</v>
      </c>
      <c r="U183" s="126" t="s">
        <v>276</v>
      </c>
      <c r="V183" s="150">
        <v>0.0</v>
      </c>
      <c r="W183" s="126"/>
      <c r="X183" s="151">
        <v>8.0</v>
      </c>
      <c r="Y183" s="115"/>
      <c r="Z183" s="115"/>
    </row>
    <row r="184">
      <c r="A184" s="126" t="s">
        <v>1737</v>
      </c>
      <c r="B184" s="126" t="s">
        <v>1738</v>
      </c>
      <c r="C184" s="126" t="s">
        <v>1739</v>
      </c>
      <c r="D184" s="126" t="s">
        <v>1740</v>
      </c>
      <c r="E184" s="126" t="s">
        <v>281</v>
      </c>
      <c r="F184" s="126" t="s">
        <v>1741</v>
      </c>
      <c r="G184" s="126" t="s">
        <v>1742</v>
      </c>
      <c r="H184" s="126">
        <v>0.93</v>
      </c>
      <c r="I184" s="126" t="s">
        <v>276</v>
      </c>
      <c r="J184" s="126" t="s">
        <v>276</v>
      </c>
      <c r="K184" s="126" t="s">
        <v>1743</v>
      </c>
      <c r="L184" s="126"/>
      <c r="M184" s="126" t="s">
        <v>285</v>
      </c>
      <c r="N184" s="149">
        <v>44970.0</v>
      </c>
      <c r="O184" s="150">
        <v>0.152</v>
      </c>
      <c r="P184" s="150">
        <v>0.0741</v>
      </c>
      <c r="Q184" s="153">
        <v>44734.0</v>
      </c>
      <c r="R184" s="126" t="s">
        <v>286</v>
      </c>
      <c r="S184" s="150">
        <v>0.0301</v>
      </c>
      <c r="T184" s="126" t="s">
        <v>276</v>
      </c>
      <c r="U184" s="126" t="s">
        <v>276</v>
      </c>
      <c r="V184" s="150">
        <v>0.0</v>
      </c>
      <c r="W184" s="126" t="s">
        <v>1744</v>
      </c>
      <c r="X184" s="151">
        <v>4543.0</v>
      </c>
      <c r="Y184" s="115"/>
      <c r="Z184" s="115"/>
    </row>
    <row r="185">
      <c r="A185" s="126" t="s">
        <v>1745</v>
      </c>
      <c r="B185" s="126" t="s">
        <v>1746</v>
      </c>
      <c r="C185" s="126" t="s">
        <v>1747</v>
      </c>
      <c r="D185" s="126" t="s">
        <v>1740</v>
      </c>
      <c r="E185" s="126" t="s">
        <v>655</v>
      </c>
      <c r="F185" s="126" t="s">
        <v>1748</v>
      </c>
      <c r="G185" s="126" t="s">
        <v>1749</v>
      </c>
      <c r="H185" s="126">
        <v>1.04</v>
      </c>
      <c r="I185" s="126" t="s">
        <v>276</v>
      </c>
      <c r="J185" s="126" t="s">
        <v>276</v>
      </c>
      <c r="K185" s="126" t="s">
        <v>1750</v>
      </c>
      <c r="L185" s="126"/>
      <c r="M185" s="126" t="s">
        <v>285</v>
      </c>
      <c r="N185" s="149">
        <v>44971.0</v>
      </c>
      <c r="O185" s="150">
        <v>0.0386</v>
      </c>
      <c r="P185" s="150">
        <v>0.0037</v>
      </c>
      <c r="Q185" s="153">
        <v>44124.0</v>
      </c>
      <c r="R185" s="126" t="s">
        <v>320</v>
      </c>
      <c r="S185" s="150">
        <v>-0.0538</v>
      </c>
      <c r="T185" s="126" t="s">
        <v>276</v>
      </c>
      <c r="U185" s="126" t="s">
        <v>276</v>
      </c>
      <c r="V185" s="150">
        <v>0.0</v>
      </c>
      <c r="W185" s="126" t="s">
        <v>1751</v>
      </c>
      <c r="X185" s="151">
        <v>434.0</v>
      </c>
      <c r="Y185" s="115"/>
      <c r="Z185" s="115"/>
    </row>
    <row r="186">
      <c r="A186" s="126" t="s">
        <v>151</v>
      </c>
      <c r="B186" s="126" t="s">
        <v>1752</v>
      </c>
      <c r="C186" s="126" t="s">
        <v>1753</v>
      </c>
      <c r="D186" s="126" t="s">
        <v>1740</v>
      </c>
      <c r="E186" s="126" t="s">
        <v>328</v>
      </c>
      <c r="F186" s="126" t="s">
        <v>1754</v>
      </c>
      <c r="G186" s="126" t="s">
        <v>1755</v>
      </c>
      <c r="H186" s="126">
        <v>0.86</v>
      </c>
      <c r="I186" s="126" t="s">
        <v>276</v>
      </c>
      <c r="J186" s="126" t="s">
        <v>276</v>
      </c>
      <c r="K186" s="126" t="s">
        <v>1756</v>
      </c>
      <c r="L186" s="126"/>
      <c r="M186" s="126" t="s">
        <v>285</v>
      </c>
      <c r="N186" s="149">
        <v>44971.0</v>
      </c>
      <c r="O186" s="150">
        <v>0.1195</v>
      </c>
      <c r="P186" s="150">
        <v>0.1101</v>
      </c>
      <c r="Q186" s="153">
        <v>43487.0</v>
      </c>
      <c r="R186" s="126" t="s">
        <v>286</v>
      </c>
      <c r="S186" s="150">
        <v>-0.0287</v>
      </c>
      <c r="T186" s="126" t="s">
        <v>276</v>
      </c>
      <c r="U186" s="126" t="s">
        <v>276</v>
      </c>
      <c r="V186" s="150">
        <v>0.0032</v>
      </c>
      <c r="W186" s="126" t="s">
        <v>1757</v>
      </c>
      <c r="X186" s="151">
        <v>12384.0</v>
      </c>
      <c r="Y186" s="115"/>
      <c r="Z186" s="115"/>
    </row>
    <row r="187">
      <c r="A187" s="126" t="s">
        <v>1758</v>
      </c>
      <c r="B187" s="126" t="s">
        <v>1759</v>
      </c>
      <c r="C187" s="126" t="s">
        <v>1760</v>
      </c>
      <c r="D187" s="126" t="s">
        <v>1740</v>
      </c>
      <c r="E187" s="126" t="s">
        <v>655</v>
      </c>
      <c r="F187" s="126" t="s">
        <v>1761</v>
      </c>
      <c r="G187" s="126" t="s">
        <v>1762</v>
      </c>
      <c r="H187" s="126">
        <v>2.22</v>
      </c>
      <c r="I187" s="126" t="s">
        <v>276</v>
      </c>
      <c r="J187" s="126" t="s">
        <v>276</v>
      </c>
      <c r="K187" s="126" t="s">
        <v>1763</v>
      </c>
      <c r="L187" s="126"/>
      <c r="M187" s="126" t="s">
        <v>285</v>
      </c>
      <c r="N187" s="149">
        <v>44971.0</v>
      </c>
      <c r="O187" s="150">
        <v>0.4498</v>
      </c>
      <c r="P187" s="150">
        <v>0.32</v>
      </c>
      <c r="Q187" s="149">
        <v>42992.0</v>
      </c>
      <c r="R187" s="126" t="s">
        <v>296</v>
      </c>
      <c r="S187" s="150">
        <v>0.0988</v>
      </c>
      <c r="T187" s="126" t="s">
        <v>276</v>
      </c>
      <c r="U187" s="126" t="s">
        <v>276</v>
      </c>
      <c r="V187" s="150">
        <v>0.0</v>
      </c>
      <c r="W187" s="126" t="s">
        <v>1764</v>
      </c>
      <c r="X187" s="151">
        <v>1889.0</v>
      </c>
      <c r="Y187" s="115"/>
      <c r="Z187" s="115"/>
    </row>
    <row r="188">
      <c r="A188" s="126" t="s">
        <v>217</v>
      </c>
      <c r="B188" s="126" t="s">
        <v>1765</v>
      </c>
      <c r="C188" s="126" t="s">
        <v>1766</v>
      </c>
      <c r="D188" s="126" t="s">
        <v>1767</v>
      </c>
      <c r="E188" s="126" t="s">
        <v>328</v>
      </c>
      <c r="F188" s="126" t="s">
        <v>1768</v>
      </c>
      <c r="G188" s="126" t="s">
        <v>1769</v>
      </c>
      <c r="H188" s="126">
        <v>0.94</v>
      </c>
      <c r="I188" s="126" t="s">
        <v>276</v>
      </c>
      <c r="J188" s="126" t="s">
        <v>276</v>
      </c>
      <c r="K188" s="126" t="s">
        <v>510</v>
      </c>
      <c r="L188" s="126"/>
      <c r="M188" s="126" t="s">
        <v>285</v>
      </c>
      <c r="N188" s="149">
        <v>44971.0</v>
      </c>
      <c r="O188" s="150">
        <v>0.1191</v>
      </c>
      <c r="P188" s="150">
        <v>0.1131</v>
      </c>
      <c r="Q188" s="153">
        <v>44112.0</v>
      </c>
      <c r="R188" s="126" t="s">
        <v>296</v>
      </c>
      <c r="S188" s="150">
        <v>-0.0173</v>
      </c>
      <c r="T188" s="126" t="s">
        <v>276</v>
      </c>
      <c r="U188" s="126" t="s">
        <v>276</v>
      </c>
      <c r="V188" s="150">
        <v>0.0033</v>
      </c>
      <c r="W188" s="126" t="s">
        <v>1770</v>
      </c>
      <c r="X188" s="151">
        <v>118229.0</v>
      </c>
      <c r="Y188" s="115"/>
      <c r="Z188" s="115"/>
    </row>
    <row r="189">
      <c r="A189" s="126" t="s">
        <v>1771</v>
      </c>
      <c r="B189" s="126" t="s">
        <v>1772</v>
      </c>
      <c r="C189" s="126" t="s">
        <v>1773</v>
      </c>
      <c r="D189" s="126" t="s">
        <v>1767</v>
      </c>
      <c r="E189" s="126" t="s">
        <v>281</v>
      </c>
      <c r="F189" s="126" t="s">
        <v>1774</v>
      </c>
      <c r="G189" s="126" t="s">
        <v>1775</v>
      </c>
      <c r="H189" s="126">
        <v>0.92</v>
      </c>
      <c r="I189" s="126" t="s">
        <v>276</v>
      </c>
      <c r="J189" s="126" t="s">
        <v>276</v>
      </c>
      <c r="K189" s="126" t="s">
        <v>1776</v>
      </c>
      <c r="L189" s="126"/>
      <c r="M189" s="126" t="s">
        <v>285</v>
      </c>
      <c r="N189" s="149">
        <v>44971.0</v>
      </c>
      <c r="O189" s="150">
        <v>0.1833</v>
      </c>
      <c r="P189" s="150">
        <v>0.165</v>
      </c>
      <c r="Q189" s="153">
        <v>44634.0</v>
      </c>
      <c r="R189" s="126" t="s">
        <v>286</v>
      </c>
      <c r="S189" s="150">
        <v>-0.0895</v>
      </c>
      <c r="T189" s="126" t="s">
        <v>276</v>
      </c>
      <c r="U189" s="126" t="s">
        <v>276</v>
      </c>
      <c r="V189" s="150">
        <v>0.0</v>
      </c>
      <c r="W189" s="126" t="s">
        <v>1777</v>
      </c>
      <c r="X189" s="151">
        <v>1449.0</v>
      </c>
      <c r="Y189" s="115"/>
      <c r="Z189" s="115"/>
    </row>
    <row r="190">
      <c r="A190" s="126" t="s">
        <v>1778</v>
      </c>
      <c r="B190" s="126" t="s">
        <v>664</v>
      </c>
      <c r="C190" s="126" t="s">
        <v>1779</v>
      </c>
      <c r="D190" s="126" t="s">
        <v>1740</v>
      </c>
      <c r="E190" s="126" t="s">
        <v>292</v>
      </c>
      <c r="F190" s="126" t="s">
        <v>1780</v>
      </c>
      <c r="G190" s="126" t="s">
        <v>1781</v>
      </c>
      <c r="H190" s="126">
        <v>1.05</v>
      </c>
      <c r="I190" s="126" t="s">
        <v>276</v>
      </c>
      <c r="J190" s="126" t="s">
        <v>276</v>
      </c>
      <c r="K190" s="126" t="s">
        <v>1782</v>
      </c>
      <c r="L190" s="126"/>
      <c r="M190" s="126" t="s">
        <v>285</v>
      </c>
      <c r="N190" s="149">
        <v>44970.0</v>
      </c>
      <c r="O190" s="150">
        <v>0.1557</v>
      </c>
      <c r="P190" s="150">
        <v>0.1483</v>
      </c>
      <c r="Q190" s="149">
        <v>44579.0</v>
      </c>
      <c r="R190" s="126" t="s">
        <v>286</v>
      </c>
      <c r="S190" s="150">
        <v>-0.0016</v>
      </c>
      <c r="T190" s="126" t="s">
        <v>276</v>
      </c>
      <c r="U190" s="126" t="s">
        <v>276</v>
      </c>
      <c r="V190" s="150">
        <v>0.0</v>
      </c>
      <c r="W190" s="126" t="s">
        <v>1783</v>
      </c>
      <c r="X190" s="151">
        <v>17413.0</v>
      </c>
      <c r="Y190" s="115"/>
      <c r="Z190" s="115"/>
    </row>
    <row r="191">
      <c r="A191" s="126" t="s">
        <v>178</v>
      </c>
      <c r="B191" s="126" t="s">
        <v>1784</v>
      </c>
      <c r="C191" s="126" t="s">
        <v>1785</v>
      </c>
      <c r="D191" s="126" t="s">
        <v>1740</v>
      </c>
      <c r="E191" s="126" t="s">
        <v>281</v>
      </c>
      <c r="F191" s="126" t="s">
        <v>1786</v>
      </c>
      <c r="G191" s="126" t="s">
        <v>1787</v>
      </c>
      <c r="H191" s="126">
        <v>0.98</v>
      </c>
      <c r="I191" s="126" t="s">
        <v>276</v>
      </c>
      <c r="J191" s="126" t="s">
        <v>276</v>
      </c>
      <c r="K191" s="126" t="s">
        <v>1454</v>
      </c>
      <c r="L191" s="126"/>
      <c r="M191" s="126" t="s">
        <v>285</v>
      </c>
      <c r="N191" s="149">
        <v>44970.0</v>
      </c>
      <c r="O191" s="150">
        <v>0.1556</v>
      </c>
      <c r="P191" s="150">
        <v>0.1331</v>
      </c>
      <c r="Q191" s="153">
        <v>41215.0</v>
      </c>
      <c r="R191" s="126" t="s">
        <v>286</v>
      </c>
      <c r="S191" s="150">
        <v>0.0031</v>
      </c>
      <c r="T191" s="126" t="s">
        <v>276</v>
      </c>
      <c r="U191" s="126" t="s">
        <v>276</v>
      </c>
      <c r="V191" s="150">
        <v>0.0511</v>
      </c>
      <c r="W191" s="126" t="s">
        <v>1788</v>
      </c>
      <c r="X191" s="151">
        <v>199159.0</v>
      </c>
      <c r="Y191" s="115"/>
      <c r="Z191" s="115"/>
    </row>
    <row r="192">
      <c r="A192" s="126" t="s">
        <v>41</v>
      </c>
      <c r="B192" s="126" t="s">
        <v>1789</v>
      </c>
      <c r="C192" s="126" t="s">
        <v>1790</v>
      </c>
      <c r="D192" s="126" t="s">
        <v>1740</v>
      </c>
      <c r="E192" s="126" t="s">
        <v>281</v>
      </c>
      <c r="F192" s="126" t="s">
        <v>1791</v>
      </c>
      <c r="G192" s="126" t="s">
        <v>1792</v>
      </c>
      <c r="H192" s="126">
        <v>0.99</v>
      </c>
      <c r="I192" s="126" t="s">
        <v>276</v>
      </c>
      <c r="J192" s="126" t="s">
        <v>276</v>
      </c>
      <c r="K192" s="126" t="s">
        <v>1691</v>
      </c>
      <c r="L192" s="126"/>
      <c r="M192" s="126" t="s">
        <v>285</v>
      </c>
      <c r="N192" s="149">
        <v>44970.0</v>
      </c>
      <c r="O192" s="150">
        <v>0.1769</v>
      </c>
      <c r="P192" s="150">
        <v>0.1327</v>
      </c>
      <c r="Q192" s="153">
        <v>43320.0</v>
      </c>
      <c r="R192" s="126" t="s">
        <v>286</v>
      </c>
      <c r="S192" s="150">
        <v>-0.0125</v>
      </c>
      <c r="T192" s="126" t="s">
        <v>276</v>
      </c>
      <c r="U192" s="126" t="s">
        <v>276</v>
      </c>
      <c r="V192" s="150">
        <v>0.0165</v>
      </c>
      <c r="W192" s="126" t="s">
        <v>1793</v>
      </c>
      <c r="X192" s="151">
        <v>14423.0</v>
      </c>
      <c r="Y192" s="115"/>
      <c r="Z192" s="115"/>
    </row>
    <row r="193">
      <c r="A193" s="126" t="s">
        <v>44</v>
      </c>
      <c r="B193" s="126" t="s">
        <v>1794</v>
      </c>
      <c r="C193" s="126" t="s">
        <v>1795</v>
      </c>
      <c r="D193" s="126" t="s">
        <v>1740</v>
      </c>
      <c r="E193" s="126" t="s">
        <v>281</v>
      </c>
      <c r="F193" s="126" t="s">
        <v>1796</v>
      </c>
      <c r="G193" s="126" t="s">
        <v>1797</v>
      </c>
      <c r="H193" s="126">
        <v>0.96</v>
      </c>
      <c r="I193" s="126" t="s">
        <v>276</v>
      </c>
      <c r="J193" s="126" t="s">
        <v>276</v>
      </c>
      <c r="K193" s="126" t="s">
        <v>488</v>
      </c>
      <c r="L193" s="126"/>
      <c r="M193" s="126" t="s">
        <v>285</v>
      </c>
      <c r="N193" s="149">
        <v>44970.0</v>
      </c>
      <c r="O193" s="150">
        <v>0.1421</v>
      </c>
      <c r="P193" s="150">
        <v>0.134</v>
      </c>
      <c r="Q193" s="153">
        <v>42639.0</v>
      </c>
      <c r="R193" s="126" t="s">
        <v>286</v>
      </c>
      <c r="S193" s="150">
        <v>-0.0229</v>
      </c>
      <c r="T193" s="126" t="s">
        <v>276</v>
      </c>
      <c r="U193" s="126" t="s">
        <v>276</v>
      </c>
      <c r="V193" s="150">
        <v>0.0669</v>
      </c>
      <c r="W193" s="126" t="s">
        <v>1798</v>
      </c>
      <c r="X193" s="151">
        <v>68845.0</v>
      </c>
      <c r="Y193" s="115"/>
      <c r="Z193" s="115"/>
    </row>
    <row r="194">
      <c r="A194" s="126" t="s">
        <v>1799</v>
      </c>
      <c r="B194" s="126" t="s">
        <v>481</v>
      </c>
      <c r="C194" s="126" t="s">
        <v>1800</v>
      </c>
      <c r="D194" s="126" t="s">
        <v>1740</v>
      </c>
      <c r="E194" s="126" t="s">
        <v>655</v>
      </c>
      <c r="F194" s="126" t="s">
        <v>1801</v>
      </c>
      <c r="G194" s="126" t="s">
        <v>1802</v>
      </c>
      <c r="H194" s="126">
        <v>0.94</v>
      </c>
      <c r="I194" s="126" t="s">
        <v>276</v>
      </c>
      <c r="J194" s="126" t="s">
        <v>276</v>
      </c>
      <c r="K194" s="126" t="s">
        <v>1803</v>
      </c>
      <c r="L194" s="126"/>
      <c r="M194" s="126" t="s">
        <v>285</v>
      </c>
      <c r="N194" s="149">
        <v>44939.0</v>
      </c>
      <c r="O194" s="150">
        <v>0.8617</v>
      </c>
      <c r="P194" s="150">
        <v>0.4859</v>
      </c>
      <c r="Q194" s="153">
        <v>40819.0</v>
      </c>
      <c r="R194" s="126" t="s">
        <v>296</v>
      </c>
      <c r="S194" s="150">
        <v>0.2679</v>
      </c>
      <c r="T194" s="126" t="s">
        <v>276</v>
      </c>
      <c r="U194" s="126" t="s">
        <v>276</v>
      </c>
      <c r="V194" s="150">
        <v>0.0</v>
      </c>
      <c r="W194" s="126" t="s">
        <v>1804</v>
      </c>
      <c r="X194" s="151">
        <v>5821.0</v>
      </c>
      <c r="Y194" s="115"/>
      <c r="Z194" s="115"/>
    </row>
    <row r="195">
      <c r="A195" s="126" t="s">
        <v>163</v>
      </c>
      <c r="B195" s="126" t="s">
        <v>1805</v>
      </c>
      <c r="C195" s="126" t="s">
        <v>1806</v>
      </c>
      <c r="D195" s="126" t="s">
        <v>1740</v>
      </c>
      <c r="E195" s="126" t="s">
        <v>335</v>
      </c>
      <c r="F195" s="126" t="s">
        <v>1807</v>
      </c>
      <c r="G195" s="126" t="s">
        <v>1808</v>
      </c>
      <c r="H195" s="126">
        <v>0.86</v>
      </c>
      <c r="I195" s="126" t="s">
        <v>1809</v>
      </c>
      <c r="J195" s="126" t="s">
        <v>1810</v>
      </c>
      <c r="K195" s="126" t="s">
        <v>1536</v>
      </c>
      <c r="L195" s="126" t="s">
        <v>1811</v>
      </c>
      <c r="M195" s="126" t="s">
        <v>1812</v>
      </c>
      <c r="N195" s="153">
        <v>44971.0</v>
      </c>
      <c r="O195" s="150">
        <v>0.0822</v>
      </c>
      <c r="P195" s="150">
        <v>0.0769</v>
      </c>
      <c r="Q195" s="153">
        <v>40513.0</v>
      </c>
      <c r="R195" s="126" t="s">
        <v>286</v>
      </c>
      <c r="S195" s="150">
        <v>-0.0174</v>
      </c>
      <c r="T195" s="150">
        <v>0.0235</v>
      </c>
      <c r="U195" s="153">
        <v>44957.0</v>
      </c>
      <c r="V195" s="150">
        <v>0.0309</v>
      </c>
      <c r="W195" s="126" t="s">
        <v>1813</v>
      </c>
      <c r="X195" s="151">
        <v>244779.0</v>
      </c>
      <c r="Y195" s="115"/>
      <c r="Z195" s="115"/>
    </row>
    <row r="196">
      <c r="A196" s="126" t="s">
        <v>40</v>
      </c>
      <c r="B196" s="126" t="s">
        <v>1814</v>
      </c>
      <c r="C196" s="126" t="s">
        <v>1815</v>
      </c>
      <c r="D196" s="126" t="s">
        <v>1740</v>
      </c>
      <c r="E196" s="126" t="s">
        <v>281</v>
      </c>
      <c r="F196" s="126" t="s">
        <v>1816</v>
      </c>
      <c r="G196" s="126" t="s">
        <v>1817</v>
      </c>
      <c r="H196" s="126">
        <v>0.97</v>
      </c>
      <c r="I196" s="126" t="s">
        <v>276</v>
      </c>
      <c r="J196" s="126" t="s">
        <v>276</v>
      </c>
      <c r="K196" s="126" t="s">
        <v>1818</v>
      </c>
      <c r="L196" s="126"/>
      <c r="M196" s="126" t="s">
        <v>285</v>
      </c>
      <c r="N196" s="149">
        <v>44970.0</v>
      </c>
      <c r="O196" s="150">
        <v>0.1567</v>
      </c>
      <c r="P196" s="150">
        <v>0.1298</v>
      </c>
      <c r="Q196" s="149">
        <v>44132.0</v>
      </c>
      <c r="R196" s="126" t="s">
        <v>286</v>
      </c>
      <c r="S196" s="150">
        <v>-0.0139</v>
      </c>
      <c r="T196" s="126" t="s">
        <v>276</v>
      </c>
      <c r="U196" s="126" t="s">
        <v>276</v>
      </c>
      <c r="V196" s="150">
        <v>0.0104</v>
      </c>
      <c r="W196" s="126" t="s">
        <v>1819</v>
      </c>
      <c r="X196" s="151">
        <v>87493.0</v>
      </c>
      <c r="Y196" s="115"/>
      <c r="Z196" s="115"/>
    </row>
    <row r="197">
      <c r="A197" s="126" t="s">
        <v>134</v>
      </c>
      <c r="B197" s="126" t="s">
        <v>1820</v>
      </c>
      <c r="C197" s="126" t="s">
        <v>1821</v>
      </c>
      <c r="D197" s="126" t="s">
        <v>1822</v>
      </c>
      <c r="E197" s="126" t="s">
        <v>267</v>
      </c>
      <c r="F197" s="126" t="s">
        <v>1823</v>
      </c>
      <c r="G197" s="126" t="s">
        <v>1824</v>
      </c>
      <c r="H197" s="126">
        <v>0.94</v>
      </c>
      <c r="I197" s="126" t="s">
        <v>1825</v>
      </c>
      <c r="J197" s="126" t="s">
        <v>1826</v>
      </c>
      <c r="K197" s="126" t="s">
        <v>533</v>
      </c>
      <c r="L197" s="126" t="s">
        <v>1827</v>
      </c>
      <c r="M197" s="126" t="s">
        <v>1828</v>
      </c>
      <c r="N197" s="149">
        <v>44964.0</v>
      </c>
      <c r="O197" s="150">
        <v>0.0989</v>
      </c>
      <c r="P197" s="150">
        <v>0.0876</v>
      </c>
      <c r="Q197" s="153">
        <v>43708.0</v>
      </c>
      <c r="R197" s="126" t="s">
        <v>286</v>
      </c>
      <c r="S197" s="150">
        <v>-0.0041</v>
      </c>
      <c r="T197" s="150">
        <v>0.032</v>
      </c>
      <c r="U197" s="126" t="s">
        <v>276</v>
      </c>
      <c r="V197" s="150">
        <v>0.0</v>
      </c>
      <c r="W197" s="126" t="s">
        <v>1829</v>
      </c>
      <c r="X197" s="151">
        <v>353.0</v>
      </c>
      <c r="Y197" s="115"/>
      <c r="Z197" s="115"/>
    </row>
    <row r="198">
      <c r="A198" s="126" t="s">
        <v>1830</v>
      </c>
      <c r="B198" s="126" t="s">
        <v>296</v>
      </c>
      <c r="C198" s="126" t="s">
        <v>1831</v>
      </c>
      <c r="D198" s="126" t="s">
        <v>1832</v>
      </c>
      <c r="E198" s="126" t="s">
        <v>655</v>
      </c>
      <c r="F198" s="126" t="s">
        <v>1833</v>
      </c>
      <c r="G198" s="126" t="s">
        <v>1834</v>
      </c>
      <c r="H198" s="126">
        <v>0.93</v>
      </c>
      <c r="I198" s="126" t="s">
        <v>276</v>
      </c>
      <c r="J198" s="126" t="s">
        <v>276</v>
      </c>
      <c r="K198" s="126" t="s">
        <v>318</v>
      </c>
      <c r="L198" s="126"/>
      <c r="M198" s="126" t="s">
        <v>285</v>
      </c>
      <c r="N198" s="149">
        <v>44932.0</v>
      </c>
      <c r="O198" s="150">
        <v>0.0</v>
      </c>
      <c r="P198" s="150"/>
      <c r="Q198" s="153">
        <v>41394.0</v>
      </c>
      <c r="R198" s="126" t="s">
        <v>286</v>
      </c>
      <c r="S198" s="150">
        <v>0.0</v>
      </c>
      <c r="T198" s="126" t="s">
        <v>276</v>
      </c>
      <c r="U198" s="126" t="s">
        <v>276</v>
      </c>
      <c r="V198" s="150">
        <v>0.0</v>
      </c>
      <c r="W198" s="126"/>
      <c r="X198" s="151">
        <v>166.0</v>
      </c>
      <c r="Y198" s="115"/>
      <c r="Z198" s="115"/>
    </row>
    <row r="199">
      <c r="A199" s="126" t="s">
        <v>1835</v>
      </c>
      <c r="B199" s="126" t="s">
        <v>1836</v>
      </c>
      <c r="C199" s="126" t="s">
        <v>1837</v>
      </c>
      <c r="D199" s="126" t="s">
        <v>1838</v>
      </c>
      <c r="E199" s="126" t="s">
        <v>655</v>
      </c>
      <c r="F199" s="126" t="s">
        <v>1839</v>
      </c>
      <c r="G199" s="126" t="s">
        <v>1840</v>
      </c>
      <c r="H199" s="126">
        <v>1.92</v>
      </c>
      <c r="I199" s="126" t="s">
        <v>276</v>
      </c>
      <c r="J199" s="126" t="s">
        <v>276</v>
      </c>
      <c r="K199" s="126" t="s">
        <v>1841</v>
      </c>
      <c r="L199" s="126"/>
      <c r="M199" s="126" t="s">
        <v>285</v>
      </c>
      <c r="N199" s="149">
        <v>44965.0</v>
      </c>
      <c r="O199" s="150">
        <v>0.3845</v>
      </c>
      <c r="P199" s="150"/>
      <c r="Q199" s="153">
        <v>44039.0</v>
      </c>
      <c r="R199" s="126" t="s">
        <v>286</v>
      </c>
      <c r="S199" s="150">
        <v>-0.1228</v>
      </c>
      <c r="T199" s="126" t="s">
        <v>276</v>
      </c>
      <c r="U199" s="126" t="s">
        <v>276</v>
      </c>
      <c r="V199" s="150">
        <v>0.0</v>
      </c>
      <c r="W199" s="126" t="s">
        <v>1842</v>
      </c>
      <c r="X199" s="151">
        <v>379.0</v>
      </c>
      <c r="Y199" s="115"/>
      <c r="Z199" s="115"/>
    </row>
    <row r="200">
      <c r="A200" s="126" t="s">
        <v>146</v>
      </c>
      <c r="B200" s="126" t="s">
        <v>1843</v>
      </c>
      <c r="C200" s="126" t="s">
        <v>1844</v>
      </c>
      <c r="D200" s="126" t="s">
        <v>1845</v>
      </c>
      <c r="E200" s="126" t="s">
        <v>528</v>
      </c>
      <c r="F200" s="126" t="s">
        <v>1846</v>
      </c>
      <c r="G200" s="126" t="s">
        <v>1847</v>
      </c>
      <c r="H200" s="126">
        <v>0.74</v>
      </c>
      <c r="I200" s="126" t="s">
        <v>1848</v>
      </c>
      <c r="J200" s="126" t="s">
        <v>1849</v>
      </c>
      <c r="K200" s="126" t="s">
        <v>594</v>
      </c>
      <c r="L200" s="126" t="s">
        <v>1850</v>
      </c>
      <c r="M200" s="126" t="s">
        <v>1851</v>
      </c>
      <c r="N200" s="149">
        <v>44971.0</v>
      </c>
      <c r="O200" s="150">
        <v>0.1022</v>
      </c>
      <c r="P200" s="150">
        <v>0.0967</v>
      </c>
      <c r="Q200" s="153">
        <v>43822.0</v>
      </c>
      <c r="R200" s="126" t="s">
        <v>286</v>
      </c>
      <c r="S200" s="150">
        <v>-0.0783</v>
      </c>
      <c r="T200" s="150">
        <v>0.0</v>
      </c>
      <c r="U200" s="126" t="s">
        <v>276</v>
      </c>
      <c r="V200" s="150">
        <v>0.0021</v>
      </c>
      <c r="W200" s="126" t="s">
        <v>1852</v>
      </c>
      <c r="X200" s="151">
        <v>15435.0</v>
      </c>
      <c r="Y200" s="115"/>
      <c r="Z200" s="115"/>
    </row>
    <row r="201">
      <c r="A201" s="126" t="s">
        <v>1853</v>
      </c>
      <c r="B201" s="126" t="s">
        <v>1854</v>
      </c>
      <c r="C201" s="126" t="s">
        <v>1855</v>
      </c>
      <c r="D201" s="126" t="s">
        <v>1856</v>
      </c>
      <c r="E201" s="126" t="s">
        <v>755</v>
      </c>
      <c r="F201" s="126" t="s">
        <v>1857</v>
      </c>
      <c r="G201" s="126" t="s">
        <v>1858</v>
      </c>
      <c r="H201" s="126">
        <v>1.03</v>
      </c>
      <c r="I201" s="126" t="s">
        <v>276</v>
      </c>
      <c r="J201" s="126" t="s">
        <v>276</v>
      </c>
      <c r="K201" s="126" t="s">
        <v>374</v>
      </c>
      <c r="L201" s="126"/>
      <c r="M201" s="126" t="s">
        <v>285</v>
      </c>
      <c r="N201" s="149">
        <v>44964.0</v>
      </c>
      <c r="O201" s="150">
        <v>0.1601</v>
      </c>
      <c r="P201" s="150">
        <v>0.1346</v>
      </c>
      <c r="Q201" s="153">
        <v>44858.0</v>
      </c>
      <c r="R201" s="126" t="s">
        <v>296</v>
      </c>
      <c r="S201" s="150">
        <v>-0.0333</v>
      </c>
      <c r="T201" s="126" t="s">
        <v>276</v>
      </c>
      <c r="U201" s="126" t="s">
        <v>276</v>
      </c>
      <c r="V201" s="150">
        <v>0.0</v>
      </c>
      <c r="W201" s="126" t="s">
        <v>1859</v>
      </c>
      <c r="X201" s="151">
        <v>859.0</v>
      </c>
      <c r="Y201" s="115"/>
      <c r="Z201" s="115"/>
    </row>
    <row r="202">
      <c r="A202" s="126" t="s">
        <v>1860</v>
      </c>
      <c r="B202" s="126" t="s">
        <v>1861</v>
      </c>
      <c r="C202" s="126" t="s">
        <v>1862</v>
      </c>
      <c r="D202" s="126" t="s">
        <v>1863</v>
      </c>
      <c r="E202" s="126" t="s">
        <v>335</v>
      </c>
      <c r="F202" s="126" t="s">
        <v>1864</v>
      </c>
      <c r="G202" s="126" t="s">
        <v>1865</v>
      </c>
      <c r="H202" s="126">
        <v>0.97</v>
      </c>
      <c r="I202" s="126" t="s">
        <v>276</v>
      </c>
      <c r="J202" s="126" t="s">
        <v>276</v>
      </c>
      <c r="K202" s="126" t="s">
        <v>318</v>
      </c>
      <c r="L202" s="126"/>
      <c r="M202" s="126" t="s">
        <v>285</v>
      </c>
      <c r="N202" s="149">
        <v>44973.0</v>
      </c>
      <c r="O202" s="150">
        <v>0.0</v>
      </c>
      <c r="P202" s="150"/>
      <c r="Q202" s="126" t="s">
        <v>276</v>
      </c>
      <c r="R202" s="126" t="s">
        <v>318</v>
      </c>
      <c r="S202" s="150">
        <v>0.0</v>
      </c>
      <c r="T202" s="126" t="s">
        <v>276</v>
      </c>
      <c r="U202" s="126" t="s">
        <v>276</v>
      </c>
      <c r="V202" s="150">
        <v>0.0</v>
      </c>
      <c r="W202" s="126"/>
      <c r="X202" s="151">
        <v>68.0</v>
      </c>
      <c r="Y202" s="115"/>
      <c r="Z202" s="115"/>
    </row>
    <row r="203">
      <c r="A203" s="126" t="s">
        <v>1866</v>
      </c>
      <c r="B203" s="126" t="s">
        <v>318</v>
      </c>
      <c r="C203" s="126" t="s">
        <v>1867</v>
      </c>
      <c r="D203" s="126"/>
      <c r="E203" s="126" t="s">
        <v>267</v>
      </c>
      <c r="F203" s="126" t="s">
        <v>318</v>
      </c>
      <c r="G203" s="126" t="s">
        <v>276</v>
      </c>
      <c r="H203" s="126" t="s">
        <v>276</v>
      </c>
      <c r="I203" s="126" t="s">
        <v>276</v>
      </c>
      <c r="J203" s="126" t="s">
        <v>276</v>
      </c>
      <c r="K203" s="126"/>
      <c r="L203" s="126"/>
      <c r="M203" s="126" t="s">
        <v>285</v>
      </c>
      <c r="N203" s="149"/>
      <c r="O203" s="150"/>
      <c r="P203" s="150"/>
      <c r="Q203" s="126" t="s">
        <v>276</v>
      </c>
      <c r="R203" s="126" t="s">
        <v>286</v>
      </c>
      <c r="S203" s="126" t="s">
        <v>276</v>
      </c>
      <c r="T203" s="126" t="s">
        <v>276</v>
      </c>
      <c r="U203" s="126" t="s">
        <v>276</v>
      </c>
      <c r="V203" s="150">
        <v>0.0</v>
      </c>
      <c r="W203" s="126"/>
      <c r="X203" s="151"/>
      <c r="Y203" s="115"/>
      <c r="Z203" s="115"/>
    </row>
    <row r="204">
      <c r="A204" s="126" t="s">
        <v>1868</v>
      </c>
      <c r="B204" s="126" t="s">
        <v>318</v>
      </c>
      <c r="C204" s="126" t="s">
        <v>1869</v>
      </c>
      <c r="D204" s="126"/>
      <c r="E204" s="126" t="s">
        <v>335</v>
      </c>
      <c r="F204" s="126" t="s">
        <v>318</v>
      </c>
      <c r="G204" s="126" t="s">
        <v>1870</v>
      </c>
      <c r="H204" s="126">
        <v>0.0</v>
      </c>
      <c r="I204" s="126" t="s">
        <v>276</v>
      </c>
      <c r="J204" s="126" t="s">
        <v>276</v>
      </c>
      <c r="K204" s="126" t="s">
        <v>318</v>
      </c>
      <c r="L204" s="126"/>
      <c r="M204" s="126" t="s">
        <v>285</v>
      </c>
      <c r="N204" s="149">
        <v>44974.0</v>
      </c>
      <c r="O204" s="150"/>
      <c r="P204" s="150"/>
      <c r="Q204" s="126" t="s">
        <v>276</v>
      </c>
      <c r="R204" s="126" t="s">
        <v>318</v>
      </c>
      <c r="S204" s="126" t="s">
        <v>276</v>
      </c>
      <c r="T204" s="126" t="s">
        <v>276</v>
      </c>
      <c r="U204" s="126" t="s">
        <v>276</v>
      </c>
      <c r="V204" s="150">
        <v>0.0</v>
      </c>
      <c r="W204" s="126"/>
      <c r="X204" s="151">
        <v>18.0</v>
      </c>
      <c r="Y204" s="115"/>
      <c r="Z204" s="115"/>
    </row>
    <row r="205">
      <c r="A205" s="126" t="s">
        <v>1871</v>
      </c>
      <c r="B205" s="126" t="s">
        <v>1872</v>
      </c>
      <c r="C205" s="126" t="s">
        <v>1873</v>
      </c>
      <c r="D205" s="126" t="s">
        <v>1874</v>
      </c>
      <c r="E205" s="126" t="s">
        <v>292</v>
      </c>
      <c r="F205" s="126" t="s">
        <v>1875</v>
      </c>
      <c r="G205" s="126" t="s">
        <v>1876</v>
      </c>
      <c r="H205" s="126">
        <v>1.03</v>
      </c>
      <c r="I205" s="126" t="s">
        <v>276</v>
      </c>
      <c r="J205" s="126" t="s">
        <v>276</v>
      </c>
      <c r="K205" s="126" t="s">
        <v>1877</v>
      </c>
      <c r="L205" s="126"/>
      <c r="M205" s="126" t="s">
        <v>285</v>
      </c>
      <c r="N205" s="149">
        <v>44971.0</v>
      </c>
      <c r="O205" s="150">
        <v>0.1463</v>
      </c>
      <c r="P205" s="150">
        <v>0.1366</v>
      </c>
      <c r="Q205" s="149">
        <v>44652.0</v>
      </c>
      <c r="R205" s="126" t="s">
        <v>1878</v>
      </c>
      <c r="S205" s="150">
        <v>-0.0868</v>
      </c>
      <c r="T205" s="126" t="s">
        <v>276</v>
      </c>
      <c r="U205" s="126" t="s">
        <v>276</v>
      </c>
      <c r="V205" s="150">
        <v>0.0</v>
      </c>
      <c r="W205" s="126" t="s">
        <v>1879</v>
      </c>
      <c r="X205" s="151">
        <v>646.0</v>
      </c>
      <c r="Y205" s="115"/>
      <c r="Z205" s="115"/>
    </row>
    <row r="206">
      <c r="A206" s="126" t="s">
        <v>1880</v>
      </c>
      <c r="B206" s="126" t="s">
        <v>1881</v>
      </c>
      <c r="C206" s="126" t="s">
        <v>1882</v>
      </c>
      <c r="D206" s="126" t="s">
        <v>1874</v>
      </c>
      <c r="E206" s="126" t="s">
        <v>655</v>
      </c>
      <c r="F206" s="126" t="s">
        <v>1883</v>
      </c>
      <c r="G206" s="126" t="s">
        <v>1884</v>
      </c>
      <c r="H206" s="126">
        <v>0.94</v>
      </c>
      <c r="I206" s="126" t="s">
        <v>276</v>
      </c>
      <c r="J206" s="126" t="s">
        <v>276</v>
      </c>
      <c r="K206" s="126" t="s">
        <v>845</v>
      </c>
      <c r="L206" s="126"/>
      <c r="M206" s="126" t="s">
        <v>285</v>
      </c>
      <c r="N206" s="149">
        <v>44971.0</v>
      </c>
      <c r="O206" s="150">
        <v>0.0872</v>
      </c>
      <c r="P206" s="150">
        <v>0.0821</v>
      </c>
      <c r="Q206" s="149">
        <v>44694.0</v>
      </c>
      <c r="R206" s="126" t="s">
        <v>286</v>
      </c>
      <c r="S206" s="150">
        <v>0.0</v>
      </c>
      <c r="T206" s="126" t="s">
        <v>276</v>
      </c>
      <c r="U206" s="126" t="s">
        <v>276</v>
      </c>
      <c r="V206" s="150">
        <v>0.0</v>
      </c>
      <c r="W206" s="126"/>
      <c r="X206" s="151">
        <v>224.0</v>
      </c>
      <c r="Y206" s="115"/>
      <c r="Z206" s="115"/>
    </row>
    <row r="207">
      <c r="A207" s="126" t="s">
        <v>165</v>
      </c>
      <c r="B207" s="126" t="s">
        <v>1885</v>
      </c>
      <c r="C207" s="126" t="s">
        <v>1886</v>
      </c>
      <c r="D207" s="126" t="s">
        <v>866</v>
      </c>
      <c r="E207" s="126" t="s">
        <v>528</v>
      </c>
      <c r="F207" s="126" t="s">
        <v>1887</v>
      </c>
      <c r="G207" s="126" t="s">
        <v>1888</v>
      </c>
      <c r="H207" s="126">
        <v>0.8</v>
      </c>
      <c r="I207" s="126" t="s">
        <v>1889</v>
      </c>
      <c r="J207" s="126" t="s">
        <v>1890</v>
      </c>
      <c r="K207" s="126" t="s">
        <v>845</v>
      </c>
      <c r="L207" s="126" t="s">
        <v>1891</v>
      </c>
      <c r="M207" s="126" t="s">
        <v>1892</v>
      </c>
      <c r="N207" s="149">
        <v>44964.0</v>
      </c>
      <c r="O207" s="150">
        <v>0.102</v>
      </c>
      <c r="P207" s="150">
        <v>0.0963</v>
      </c>
      <c r="Q207" s="149">
        <v>43420.0</v>
      </c>
      <c r="R207" s="126" t="s">
        <v>286</v>
      </c>
      <c r="S207" s="150">
        <v>-0.104</v>
      </c>
      <c r="T207" s="150">
        <v>0.024</v>
      </c>
      <c r="U207" s="153">
        <v>44925.0</v>
      </c>
      <c r="V207" s="150">
        <v>0.0111</v>
      </c>
      <c r="W207" s="126" t="s">
        <v>1893</v>
      </c>
      <c r="X207" s="151">
        <v>67265.0</v>
      </c>
      <c r="Y207" s="115"/>
      <c r="Z207" s="115"/>
    </row>
    <row r="208">
      <c r="A208" s="126" t="s">
        <v>1894</v>
      </c>
      <c r="B208" s="126" t="s">
        <v>318</v>
      </c>
      <c r="C208" s="126" t="s">
        <v>1895</v>
      </c>
      <c r="D208" s="126" t="s">
        <v>1896</v>
      </c>
      <c r="E208" s="126" t="s">
        <v>367</v>
      </c>
      <c r="F208" s="126" t="s">
        <v>318</v>
      </c>
      <c r="G208" s="126" t="s">
        <v>276</v>
      </c>
      <c r="H208" s="126" t="s">
        <v>276</v>
      </c>
      <c r="I208" s="126" t="s">
        <v>276</v>
      </c>
      <c r="J208" s="126" t="s">
        <v>276</v>
      </c>
      <c r="K208" s="126"/>
      <c r="L208" s="126"/>
      <c r="M208" s="126" t="s">
        <v>285</v>
      </c>
      <c r="N208" s="153"/>
      <c r="O208" s="150"/>
      <c r="P208" s="150"/>
      <c r="Q208" s="126" t="s">
        <v>276</v>
      </c>
      <c r="R208" s="126" t="s">
        <v>286</v>
      </c>
      <c r="S208" s="126" t="s">
        <v>276</v>
      </c>
      <c r="T208" s="126" t="s">
        <v>276</v>
      </c>
      <c r="U208" s="126" t="s">
        <v>276</v>
      </c>
      <c r="V208" s="150">
        <v>0.0</v>
      </c>
      <c r="W208" s="126"/>
      <c r="X208" s="151"/>
      <c r="Y208" s="115"/>
      <c r="Z208" s="115"/>
    </row>
    <row r="209">
      <c r="A209" s="126" t="s">
        <v>121</v>
      </c>
      <c r="B209" s="126" t="s">
        <v>1897</v>
      </c>
      <c r="C209" s="126" t="s">
        <v>1898</v>
      </c>
      <c r="D209" s="126" t="s">
        <v>1899</v>
      </c>
      <c r="E209" s="126" t="s">
        <v>267</v>
      </c>
      <c r="F209" s="126" t="s">
        <v>1900</v>
      </c>
      <c r="G209" s="126" t="s">
        <v>1901</v>
      </c>
      <c r="H209" s="126">
        <v>0.83</v>
      </c>
      <c r="I209" s="126" t="s">
        <v>1902</v>
      </c>
      <c r="J209" s="126" t="s">
        <v>1903</v>
      </c>
      <c r="K209" s="126" t="s">
        <v>1493</v>
      </c>
      <c r="L209" s="126" t="s">
        <v>1904</v>
      </c>
      <c r="M209" s="126" t="s">
        <v>1905</v>
      </c>
      <c r="N209" s="149">
        <v>44971.0</v>
      </c>
      <c r="O209" s="150">
        <v>0.0973</v>
      </c>
      <c r="P209" s="150">
        <v>0.09</v>
      </c>
      <c r="Q209" s="153">
        <v>43087.0</v>
      </c>
      <c r="R209" s="126" t="s">
        <v>286</v>
      </c>
      <c r="S209" s="150">
        <v>-0.0297</v>
      </c>
      <c r="T209" s="150">
        <v>0.04</v>
      </c>
      <c r="U209" s="126" t="s">
        <v>276</v>
      </c>
      <c r="V209" s="150">
        <v>0.0086</v>
      </c>
      <c r="W209" s="126" t="s">
        <v>1906</v>
      </c>
      <c r="X209" s="151">
        <v>110986.0</v>
      </c>
      <c r="Y209" s="115"/>
      <c r="Z209" s="115"/>
    </row>
    <row r="210">
      <c r="A210" s="126" t="s">
        <v>1907</v>
      </c>
      <c r="B210" s="126" t="s">
        <v>1908</v>
      </c>
      <c r="C210" s="126" t="s">
        <v>1909</v>
      </c>
      <c r="D210" s="126" t="s">
        <v>1910</v>
      </c>
      <c r="E210" s="126" t="s">
        <v>281</v>
      </c>
      <c r="F210" s="126" t="s">
        <v>1911</v>
      </c>
      <c r="G210" s="126" t="s">
        <v>1912</v>
      </c>
      <c r="H210" s="126">
        <v>0.99</v>
      </c>
      <c r="I210" s="126" t="s">
        <v>276</v>
      </c>
      <c r="J210" s="126" t="s">
        <v>276</v>
      </c>
      <c r="K210" s="126" t="s">
        <v>687</v>
      </c>
      <c r="L210" s="126"/>
      <c r="M210" s="126" t="s">
        <v>285</v>
      </c>
      <c r="N210" s="149">
        <v>44980.0</v>
      </c>
      <c r="O210" s="150">
        <v>0.147</v>
      </c>
      <c r="P210" s="150">
        <v>0.047</v>
      </c>
      <c r="Q210" s="149">
        <v>44802.0</v>
      </c>
      <c r="R210" s="126" t="s">
        <v>296</v>
      </c>
      <c r="S210" s="150">
        <v>-0.0515</v>
      </c>
      <c r="T210" s="126" t="s">
        <v>276</v>
      </c>
      <c r="U210" s="126" t="s">
        <v>276</v>
      </c>
      <c r="V210" s="150">
        <v>0.0</v>
      </c>
      <c r="W210" s="126" t="s">
        <v>1913</v>
      </c>
      <c r="X210" s="151">
        <v>2263.0</v>
      </c>
      <c r="Y210" s="115"/>
      <c r="Z210" s="115"/>
    </row>
    <row r="211">
      <c r="A211" s="126" t="s">
        <v>1914</v>
      </c>
      <c r="B211" s="126" t="s">
        <v>1915</v>
      </c>
      <c r="C211" s="126" t="s">
        <v>1916</v>
      </c>
      <c r="D211" s="126" t="s">
        <v>1917</v>
      </c>
      <c r="E211" s="126" t="s">
        <v>281</v>
      </c>
      <c r="F211" s="126" t="s">
        <v>1918</v>
      </c>
      <c r="G211" s="126" t="s">
        <v>1919</v>
      </c>
      <c r="H211" s="126">
        <v>0.92</v>
      </c>
      <c r="I211" s="126" t="s">
        <v>276</v>
      </c>
      <c r="J211" s="126" t="s">
        <v>276</v>
      </c>
      <c r="K211" s="126" t="s">
        <v>488</v>
      </c>
      <c r="L211" s="126"/>
      <c r="M211" s="126" t="s">
        <v>285</v>
      </c>
      <c r="N211" s="149">
        <v>44981.0</v>
      </c>
      <c r="O211" s="150">
        <v>0.154</v>
      </c>
      <c r="P211" s="150">
        <v>0.1549</v>
      </c>
      <c r="Q211" s="149">
        <v>44369.0</v>
      </c>
      <c r="R211" s="126" t="s">
        <v>286</v>
      </c>
      <c r="S211" s="150">
        <v>-0.0593</v>
      </c>
      <c r="T211" s="126" t="s">
        <v>276</v>
      </c>
      <c r="U211" s="126" t="s">
        <v>276</v>
      </c>
      <c r="V211" s="150">
        <v>0.0</v>
      </c>
      <c r="W211" s="126" t="s">
        <v>1920</v>
      </c>
      <c r="X211" s="151">
        <v>300.0</v>
      </c>
      <c r="Y211" s="115"/>
      <c r="Z211" s="115"/>
    </row>
    <row r="212">
      <c r="A212" s="126" t="s">
        <v>107</v>
      </c>
      <c r="B212" s="126" t="s">
        <v>1921</v>
      </c>
      <c r="C212" s="126" t="s">
        <v>1922</v>
      </c>
      <c r="D212" s="126" t="s">
        <v>313</v>
      </c>
      <c r="E212" s="126" t="s">
        <v>267</v>
      </c>
      <c r="F212" s="126" t="s">
        <v>1923</v>
      </c>
      <c r="G212" s="126" t="s">
        <v>1924</v>
      </c>
      <c r="H212" s="126">
        <v>0.5</v>
      </c>
      <c r="I212" s="126" t="s">
        <v>1925</v>
      </c>
      <c r="J212" s="126" t="s">
        <v>1926</v>
      </c>
      <c r="K212" s="126" t="s">
        <v>1927</v>
      </c>
      <c r="L212" s="126" t="s">
        <v>1928</v>
      </c>
      <c r="M212" s="126" t="s">
        <v>1929</v>
      </c>
      <c r="N212" s="149">
        <v>44971.0</v>
      </c>
      <c r="O212" s="150">
        <v>0.0635</v>
      </c>
      <c r="P212" s="150">
        <v>0.1184</v>
      </c>
      <c r="Q212" s="149">
        <v>40112.0</v>
      </c>
      <c r="R212" s="126" t="s">
        <v>1930</v>
      </c>
      <c r="S212" s="150">
        <v>-0.1157</v>
      </c>
      <c r="T212" s="150">
        <v>0.028</v>
      </c>
      <c r="U212" s="126" t="s">
        <v>276</v>
      </c>
      <c r="V212" s="150">
        <v>0.0</v>
      </c>
      <c r="W212" s="126" t="s">
        <v>1931</v>
      </c>
      <c r="X212" s="151">
        <v>4195.0</v>
      </c>
      <c r="Y212" s="115"/>
      <c r="Z212" s="115"/>
    </row>
    <row r="213">
      <c r="A213" s="126" t="s">
        <v>88</v>
      </c>
      <c r="B213" s="126" t="s">
        <v>1932</v>
      </c>
      <c r="C213" s="126" t="s">
        <v>1933</v>
      </c>
      <c r="D213" s="126" t="s">
        <v>1896</v>
      </c>
      <c r="E213" s="126" t="s">
        <v>281</v>
      </c>
      <c r="F213" s="126" t="s">
        <v>1934</v>
      </c>
      <c r="G213" s="126" t="s">
        <v>1935</v>
      </c>
      <c r="H213" s="126">
        <v>0.92</v>
      </c>
      <c r="I213" s="126" t="s">
        <v>276</v>
      </c>
      <c r="J213" s="126" t="s">
        <v>276</v>
      </c>
      <c r="K213" s="126" t="s">
        <v>704</v>
      </c>
      <c r="L213" s="126"/>
      <c r="M213" s="126" t="s">
        <v>285</v>
      </c>
      <c r="N213" s="149">
        <v>44974.0</v>
      </c>
      <c r="O213" s="150">
        <v>0.1437</v>
      </c>
      <c r="P213" s="150">
        <v>0.1516</v>
      </c>
      <c r="Q213" s="153">
        <v>43809.0</v>
      </c>
      <c r="R213" s="126" t="s">
        <v>286</v>
      </c>
      <c r="S213" s="150">
        <v>-0.0396</v>
      </c>
      <c r="T213" s="126" t="s">
        <v>276</v>
      </c>
      <c r="U213" s="126" t="s">
        <v>276</v>
      </c>
      <c r="V213" s="150">
        <v>0.0137</v>
      </c>
      <c r="W213" s="126" t="s">
        <v>1936</v>
      </c>
      <c r="X213" s="151">
        <v>106391.0</v>
      </c>
      <c r="Y213" s="115"/>
      <c r="Z213" s="115"/>
    </row>
    <row r="214">
      <c r="A214" s="126" t="s">
        <v>218</v>
      </c>
      <c r="B214" s="126" t="s">
        <v>1937</v>
      </c>
      <c r="C214" s="126" t="s">
        <v>1938</v>
      </c>
      <c r="D214" s="126" t="s">
        <v>1896</v>
      </c>
      <c r="E214" s="126" t="s">
        <v>281</v>
      </c>
      <c r="F214" s="126" t="s">
        <v>1939</v>
      </c>
      <c r="G214" s="126" t="s">
        <v>1940</v>
      </c>
      <c r="H214" s="126">
        <v>0.95</v>
      </c>
      <c r="I214" s="126" t="s">
        <v>276</v>
      </c>
      <c r="J214" s="126" t="s">
        <v>276</v>
      </c>
      <c r="K214" s="126" t="s">
        <v>362</v>
      </c>
      <c r="L214" s="126"/>
      <c r="M214" s="126" t="s">
        <v>285</v>
      </c>
      <c r="N214" s="149">
        <v>44974.0</v>
      </c>
      <c r="O214" s="150">
        <v>0.1423</v>
      </c>
      <c r="P214" s="150">
        <v>0.1472</v>
      </c>
      <c r="Q214" s="149">
        <v>44384.0</v>
      </c>
      <c r="R214" s="126" t="s">
        <v>296</v>
      </c>
      <c r="S214" s="150">
        <v>-0.0239</v>
      </c>
      <c r="T214" s="126" t="s">
        <v>276</v>
      </c>
      <c r="U214" s="126" t="s">
        <v>276</v>
      </c>
      <c r="V214" s="150">
        <v>0.0027</v>
      </c>
      <c r="W214" s="126" t="s">
        <v>1941</v>
      </c>
      <c r="X214" s="151">
        <v>38439.0</v>
      </c>
      <c r="Y214" s="115"/>
      <c r="Z214" s="115"/>
    </row>
    <row r="215">
      <c r="A215" s="126" t="s">
        <v>1942</v>
      </c>
      <c r="B215" s="126" t="s">
        <v>1943</v>
      </c>
      <c r="C215" s="126" t="s">
        <v>1944</v>
      </c>
      <c r="D215" s="126" t="s">
        <v>1896</v>
      </c>
      <c r="E215" s="126" t="s">
        <v>281</v>
      </c>
      <c r="F215" s="126" t="s">
        <v>1945</v>
      </c>
      <c r="G215" s="126" t="s">
        <v>1946</v>
      </c>
      <c r="H215" s="126">
        <v>1.1</v>
      </c>
      <c r="I215" s="126" t="s">
        <v>276</v>
      </c>
      <c r="J215" s="126" t="s">
        <v>276</v>
      </c>
      <c r="K215" s="126" t="s">
        <v>750</v>
      </c>
      <c r="L215" s="126"/>
      <c r="M215" s="126" t="s">
        <v>285</v>
      </c>
      <c r="N215" s="149">
        <v>44981.0</v>
      </c>
      <c r="O215" s="150">
        <v>0.1639</v>
      </c>
      <c r="P215" s="150">
        <v>0.17</v>
      </c>
      <c r="Q215" s="149">
        <v>44405.0</v>
      </c>
      <c r="R215" s="126" t="s">
        <v>1947</v>
      </c>
      <c r="S215" s="150">
        <v>-0.018</v>
      </c>
      <c r="T215" s="126" t="s">
        <v>276</v>
      </c>
      <c r="U215" s="126" t="s">
        <v>276</v>
      </c>
      <c r="V215" s="150">
        <v>0.0</v>
      </c>
      <c r="W215" s="126" t="s">
        <v>1948</v>
      </c>
      <c r="X215" s="151">
        <v>581.0</v>
      </c>
      <c r="Y215" s="115"/>
      <c r="Z215" s="115"/>
    </row>
    <row r="216">
      <c r="A216" s="126" t="s">
        <v>97</v>
      </c>
      <c r="B216" s="126" t="s">
        <v>1213</v>
      </c>
      <c r="C216" s="126" t="s">
        <v>1949</v>
      </c>
      <c r="D216" s="126" t="s">
        <v>1950</v>
      </c>
      <c r="E216" s="126" t="s">
        <v>328</v>
      </c>
      <c r="F216" s="126" t="s">
        <v>1951</v>
      </c>
      <c r="G216" s="126" t="s">
        <v>1952</v>
      </c>
      <c r="H216" s="126">
        <v>0.83</v>
      </c>
      <c r="I216" s="126" t="s">
        <v>276</v>
      </c>
      <c r="J216" s="126" t="s">
        <v>276</v>
      </c>
      <c r="K216" s="126" t="s">
        <v>1953</v>
      </c>
      <c r="L216" s="126"/>
      <c r="M216" s="126" t="s">
        <v>285</v>
      </c>
      <c r="N216" s="149">
        <v>44971.0</v>
      </c>
      <c r="O216" s="150">
        <v>0.1288</v>
      </c>
      <c r="P216" s="150">
        <v>0.1389</v>
      </c>
      <c r="Q216" s="149">
        <v>44018.0</v>
      </c>
      <c r="R216" s="126" t="s">
        <v>286</v>
      </c>
      <c r="S216" s="150">
        <v>-0.0148</v>
      </c>
      <c r="T216" s="126" t="s">
        <v>276</v>
      </c>
      <c r="U216" s="126" t="s">
        <v>276</v>
      </c>
      <c r="V216" s="150">
        <v>0.0</v>
      </c>
      <c r="W216" s="126" t="s">
        <v>1954</v>
      </c>
      <c r="X216" s="151">
        <v>3518.0</v>
      </c>
      <c r="Y216" s="115"/>
      <c r="Z216" s="115"/>
    </row>
    <row r="217">
      <c r="A217" s="126" t="s">
        <v>1955</v>
      </c>
      <c r="B217" s="126" t="s">
        <v>1956</v>
      </c>
      <c r="C217" s="126" t="s">
        <v>1957</v>
      </c>
      <c r="D217" s="126" t="s">
        <v>1950</v>
      </c>
      <c r="E217" s="126" t="s">
        <v>281</v>
      </c>
      <c r="F217" s="126" t="s">
        <v>1958</v>
      </c>
      <c r="G217" s="126" t="s">
        <v>1959</v>
      </c>
      <c r="H217" s="126">
        <v>1.03</v>
      </c>
      <c r="I217" s="126" t="s">
        <v>276</v>
      </c>
      <c r="J217" s="126" t="s">
        <v>276</v>
      </c>
      <c r="K217" s="126" t="s">
        <v>869</v>
      </c>
      <c r="L217" s="126"/>
      <c r="M217" s="126" t="s">
        <v>285</v>
      </c>
      <c r="N217" s="149">
        <v>44971.0</v>
      </c>
      <c r="O217" s="150">
        <v>0.1347</v>
      </c>
      <c r="P217" s="150">
        <v>0.0537</v>
      </c>
      <c r="Q217" s="149">
        <v>44784.0</v>
      </c>
      <c r="R217" s="126" t="s">
        <v>286</v>
      </c>
      <c r="S217" s="150">
        <v>0.0039</v>
      </c>
      <c r="T217" s="126" t="s">
        <v>276</v>
      </c>
      <c r="U217" s="126" t="s">
        <v>276</v>
      </c>
      <c r="V217" s="150">
        <v>0.0</v>
      </c>
      <c r="W217" s="126" t="s">
        <v>1960</v>
      </c>
      <c r="X217" s="151">
        <v>96.0</v>
      </c>
      <c r="Y217" s="115"/>
      <c r="Z217" s="115"/>
    </row>
    <row r="218">
      <c r="A218" s="126" t="s">
        <v>219</v>
      </c>
      <c r="B218" s="126" t="s">
        <v>1961</v>
      </c>
      <c r="C218" s="126" t="s">
        <v>1962</v>
      </c>
      <c r="D218" s="126" t="s">
        <v>1950</v>
      </c>
      <c r="E218" s="126" t="s">
        <v>655</v>
      </c>
      <c r="F218" s="126" t="s">
        <v>1963</v>
      </c>
      <c r="G218" s="126" t="s">
        <v>1964</v>
      </c>
      <c r="H218" s="126">
        <v>0.91</v>
      </c>
      <c r="I218" s="126" t="s">
        <v>276</v>
      </c>
      <c r="J218" s="126" t="s">
        <v>276</v>
      </c>
      <c r="K218" s="126" t="s">
        <v>869</v>
      </c>
      <c r="L218" s="126"/>
      <c r="M218" s="126" t="s">
        <v>285</v>
      </c>
      <c r="N218" s="149">
        <v>44971.0</v>
      </c>
      <c r="O218" s="150">
        <v>0.1498</v>
      </c>
      <c r="P218" s="150">
        <v>0.1423</v>
      </c>
      <c r="Q218" s="149">
        <v>41487.0</v>
      </c>
      <c r="R218" s="126" t="s">
        <v>286</v>
      </c>
      <c r="S218" s="150">
        <v>0.0056</v>
      </c>
      <c r="T218" s="126" t="s">
        <v>276</v>
      </c>
      <c r="U218" s="126" t="s">
        <v>276</v>
      </c>
      <c r="V218" s="150">
        <v>0.0035</v>
      </c>
      <c r="W218" s="126" t="s">
        <v>1965</v>
      </c>
      <c r="X218" s="151">
        <v>28587.0</v>
      </c>
      <c r="Y218" s="115"/>
      <c r="Z218" s="115"/>
    </row>
    <row r="219">
      <c r="A219" s="126" t="s">
        <v>72</v>
      </c>
      <c r="B219" s="126" t="s">
        <v>1966</v>
      </c>
      <c r="C219" s="126" t="s">
        <v>1967</v>
      </c>
      <c r="D219" s="126" t="s">
        <v>1968</v>
      </c>
      <c r="E219" s="126" t="s">
        <v>281</v>
      </c>
      <c r="F219" s="126" t="s">
        <v>1969</v>
      </c>
      <c r="G219" s="126" t="s">
        <v>1970</v>
      </c>
      <c r="H219" s="126">
        <v>0.88</v>
      </c>
      <c r="I219" s="126" t="s">
        <v>276</v>
      </c>
      <c r="J219" s="126" t="s">
        <v>276</v>
      </c>
      <c r="K219" s="126" t="s">
        <v>710</v>
      </c>
      <c r="L219" s="126"/>
      <c r="M219" s="126" t="s">
        <v>285</v>
      </c>
      <c r="N219" s="149">
        <v>44979.0</v>
      </c>
      <c r="O219" s="150">
        <v>0.139</v>
      </c>
      <c r="P219" s="150">
        <v>0.1656</v>
      </c>
      <c r="Q219" s="149">
        <v>44110.0</v>
      </c>
      <c r="R219" s="126" t="s">
        <v>286</v>
      </c>
      <c r="S219" s="150">
        <v>0.0079</v>
      </c>
      <c r="T219" s="126" t="s">
        <v>276</v>
      </c>
      <c r="U219" s="126" t="s">
        <v>276</v>
      </c>
      <c r="V219" s="150">
        <v>0.0</v>
      </c>
      <c r="W219" s="126" t="s">
        <v>1971</v>
      </c>
      <c r="X219" s="151">
        <v>4127.0</v>
      </c>
      <c r="Y219" s="115"/>
      <c r="Z219" s="115"/>
    </row>
    <row r="220">
      <c r="A220" s="126" t="s">
        <v>71</v>
      </c>
      <c r="B220" s="126" t="s">
        <v>1972</v>
      </c>
      <c r="C220" s="126" t="s">
        <v>1973</v>
      </c>
      <c r="D220" s="126" t="s">
        <v>1968</v>
      </c>
      <c r="E220" s="126" t="s">
        <v>328</v>
      </c>
      <c r="F220" s="126" t="s">
        <v>1974</v>
      </c>
      <c r="G220" s="126" t="s">
        <v>1975</v>
      </c>
      <c r="H220" s="126">
        <v>0.77</v>
      </c>
      <c r="I220" s="126" t="s">
        <v>276</v>
      </c>
      <c r="J220" s="126" t="s">
        <v>276</v>
      </c>
      <c r="K220" s="126" t="s">
        <v>989</v>
      </c>
      <c r="L220" s="126"/>
      <c r="M220" s="126" t="s">
        <v>285</v>
      </c>
      <c r="N220" s="149">
        <v>44973.0</v>
      </c>
      <c r="O220" s="150">
        <v>0.1276</v>
      </c>
      <c r="P220" s="150">
        <v>0.1241</v>
      </c>
      <c r="Q220" s="149">
        <v>43193.0</v>
      </c>
      <c r="R220" s="126" t="s">
        <v>286</v>
      </c>
      <c r="S220" s="150">
        <v>-0.0888</v>
      </c>
      <c r="T220" s="126" t="s">
        <v>276</v>
      </c>
      <c r="U220" s="126" t="s">
        <v>276</v>
      </c>
      <c r="V220" s="150">
        <v>0.0049</v>
      </c>
      <c r="W220" s="126" t="s">
        <v>1976</v>
      </c>
      <c r="X220" s="151">
        <v>51350.0</v>
      </c>
      <c r="Y220" s="115"/>
      <c r="Z220" s="115"/>
    </row>
    <row r="221">
      <c r="A221" s="126" t="s">
        <v>101</v>
      </c>
      <c r="B221" s="126" t="s">
        <v>1977</v>
      </c>
      <c r="C221" s="126" t="s">
        <v>1978</v>
      </c>
      <c r="D221" s="126" t="s">
        <v>1968</v>
      </c>
      <c r="E221" s="126" t="s">
        <v>391</v>
      </c>
      <c r="F221" s="126" t="s">
        <v>1979</v>
      </c>
      <c r="G221" s="126" t="s">
        <v>1980</v>
      </c>
      <c r="H221" s="126">
        <v>0.7</v>
      </c>
      <c r="I221" s="126" t="s">
        <v>276</v>
      </c>
      <c r="J221" s="126" t="s">
        <v>276</v>
      </c>
      <c r="K221" s="126" t="s">
        <v>503</v>
      </c>
      <c r="L221" s="126"/>
      <c r="M221" s="126" t="s">
        <v>285</v>
      </c>
      <c r="N221" s="149">
        <v>44974.0</v>
      </c>
      <c r="O221" s="150">
        <v>0.1751</v>
      </c>
      <c r="P221" s="150">
        <v>0.1523</v>
      </c>
      <c r="Q221" s="149">
        <v>43937.0</v>
      </c>
      <c r="R221" s="126" t="s">
        <v>286</v>
      </c>
      <c r="S221" s="150">
        <v>0.1151</v>
      </c>
      <c r="T221" s="126" t="s">
        <v>276</v>
      </c>
      <c r="U221" s="126" t="s">
        <v>276</v>
      </c>
      <c r="V221" s="150">
        <v>0.0</v>
      </c>
      <c r="W221" s="126" t="s">
        <v>1981</v>
      </c>
      <c r="X221" s="151">
        <v>2752.0</v>
      </c>
      <c r="Y221" s="115"/>
      <c r="Z221" s="115"/>
    </row>
    <row r="222">
      <c r="A222" s="126" t="s">
        <v>1982</v>
      </c>
      <c r="B222" s="126" t="s">
        <v>318</v>
      </c>
      <c r="C222" s="126" t="s">
        <v>1983</v>
      </c>
      <c r="D222" s="126" t="s">
        <v>1968</v>
      </c>
      <c r="E222" s="126" t="s">
        <v>335</v>
      </c>
      <c r="F222" s="126" t="s">
        <v>318</v>
      </c>
      <c r="G222" s="126" t="s">
        <v>1984</v>
      </c>
      <c r="H222" s="126">
        <v>0.0</v>
      </c>
      <c r="I222" s="126" t="s">
        <v>318</v>
      </c>
      <c r="J222" s="126" t="s">
        <v>1985</v>
      </c>
      <c r="K222" s="126" t="s">
        <v>1483</v>
      </c>
      <c r="L222" s="126" t="s">
        <v>1986</v>
      </c>
      <c r="M222" s="126" t="s">
        <v>1987</v>
      </c>
      <c r="N222" s="149">
        <v>44971.0</v>
      </c>
      <c r="O222" s="150"/>
      <c r="P222" s="150"/>
      <c r="Q222" s="149">
        <v>44641.0</v>
      </c>
      <c r="R222" s="126" t="s">
        <v>286</v>
      </c>
      <c r="S222" s="126" t="s">
        <v>276</v>
      </c>
      <c r="T222" s="150">
        <v>0.0</v>
      </c>
      <c r="U222" s="126" t="s">
        <v>276</v>
      </c>
      <c r="V222" s="150">
        <v>0.0</v>
      </c>
      <c r="W222" s="126"/>
      <c r="X222" s="151">
        <v>1.0</v>
      </c>
      <c r="Y222" s="115"/>
      <c r="Z222" s="115"/>
    </row>
    <row r="223">
      <c r="A223" s="126" t="s">
        <v>1988</v>
      </c>
      <c r="B223" s="126" t="s">
        <v>1989</v>
      </c>
      <c r="C223" s="126" t="s">
        <v>1990</v>
      </c>
      <c r="D223" s="126" t="s">
        <v>1991</v>
      </c>
      <c r="E223" s="126" t="s">
        <v>1102</v>
      </c>
      <c r="F223" s="126" t="s">
        <v>1992</v>
      </c>
      <c r="G223" s="126" t="s">
        <v>1993</v>
      </c>
      <c r="H223" s="126">
        <v>0.74</v>
      </c>
      <c r="I223" s="126" t="s">
        <v>1994</v>
      </c>
      <c r="J223" s="126" t="s">
        <v>1995</v>
      </c>
      <c r="K223" s="126" t="s">
        <v>318</v>
      </c>
      <c r="L223" s="126" t="s">
        <v>318</v>
      </c>
      <c r="M223" s="126" t="s">
        <v>1996</v>
      </c>
      <c r="N223" s="149">
        <v>44957.0</v>
      </c>
      <c r="O223" s="150">
        <v>0.0</v>
      </c>
      <c r="P223" s="150"/>
      <c r="Q223" s="126" t="s">
        <v>276</v>
      </c>
      <c r="R223" s="126" t="s">
        <v>286</v>
      </c>
      <c r="S223" s="150">
        <v>0.0</v>
      </c>
      <c r="T223" s="150">
        <v>0.0</v>
      </c>
      <c r="U223" s="153">
        <v>44925.0</v>
      </c>
      <c r="V223" s="150">
        <v>0.0</v>
      </c>
      <c r="W223" s="126"/>
      <c r="X223" s="151">
        <v>68.0</v>
      </c>
      <c r="Y223" s="115"/>
      <c r="Z223" s="115"/>
    </row>
    <row r="224">
      <c r="A224" s="126" t="s">
        <v>1997</v>
      </c>
      <c r="B224" s="126" t="s">
        <v>318</v>
      </c>
      <c r="C224" s="126" t="s">
        <v>1998</v>
      </c>
      <c r="D224" s="126" t="s">
        <v>1896</v>
      </c>
      <c r="E224" s="126" t="s">
        <v>755</v>
      </c>
      <c r="F224" s="126" t="s">
        <v>318</v>
      </c>
      <c r="G224" s="126" t="s">
        <v>1999</v>
      </c>
      <c r="H224" s="126">
        <v>0.0</v>
      </c>
      <c r="I224" s="126" t="s">
        <v>276</v>
      </c>
      <c r="J224" s="126" t="s">
        <v>276</v>
      </c>
      <c r="K224" s="126" t="s">
        <v>318</v>
      </c>
      <c r="L224" s="126"/>
      <c r="M224" s="126" t="s">
        <v>285</v>
      </c>
      <c r="N224" s="149">
        <v>44974.0</v>
      </c>
      <c r="O224" s="150"/>
      <c r="P224" s="150"/>
      <c r="Q224" s="126" t="s">
        <v>276</v>
      </c>
      <c r="R224" s="126" t="s">
        <v>318</v>
      </c>
      <c r="S224" s="126" t="s">
        <v>276</v>
      </c>
      <c r="T224" s="126" t="s">
        <v>276</v>
      </c>
      <c r="U224" s="126" t="s">
        <v>276</v>
      </c>
      <c r="V224" s="150">
        <v>0.0</v>
      </c>
      <c r="W224" s="126"/>
      <c r="X224" s="151">
        <v>48.0</v>
      </c>
      <c r="Y224" s="115"/>
      <c r="Z224" s="115"/>
    </row>
    <row r="225">
      <c r="A225" s="126" t="s">
        <v>2000</v>
      </c>
      <c r="B225" s="126" t="s">
        <v>1243</v>
      </c>
      <c r="C225" s="126" t="s">
        <v>2001</v>
      </c>
      <c r="D225" s="126"/>
      <c r="E225" s="126" t="s">
        <v>335</v>
      </c>
      <c r="F225" s="126" t="s">
        <v>2002</v>
      </c>
      <c r="G225" s="126" t="s">
        <v>2003</v>
      </c>
      <c r="H225" s="126">
        <v>1.03</v>
      </c>
      <c r="I225" s="126" t="s">
        <v>276</v>
      </c>
      <c r="J225" s="126" t="s">
        <v>276</v>
      </c>
      <c r="K225" s="126"/>
      <c r="L225" s="126"/>
      <c r="M225" s="126" t="s">
        <v>285</v>
      </c>
      <c r="N225" s="149"/>
      <c r="O225" s="150"/>
      <c r="P225" s="150"/>
      <c r="Q225" s="149">
        <v>44725.0</v>
      </c>
      <c r="R225" s="126" t="s">
        <v>286</v>
      </c>
      <c r="S225" s="150">
        <v>0.0</v>
      </c>
      <c r="T225" s="126" t="s">
        <v>276</v>
      </c>
      <c r="U225" s="126" t="s">
        <v>276</v>
      </c>
      <c r="V225" s="150">
        <v>0.0</v>
      </c>
      <c r="W225" s="126"/>
      <c r="X225" s="151">
        <v>13.0</v>
      </c>
      <c r="Y225" s="115"/>
      <c r="Z225" s="115"/>
    </row>
    <row r="226">
      <c r="A226" s="126" t="s">
        <v>2004</v>
      </c>
      <c r="B226" s="126" t="s">
        <v>318</v>
      </c>
      <c r="C226" s="126" t="s">
        <v>2005</v>
      </c>
      <c r="D226" s="126" t="s">
        <v>324</v>
      </c>
      <c r="E226" s="126" t="s">
        <v>301</v>
      </c>
      <c r="F226" s="126" t="s">
        <v>318</v>
      </c>
      <c r="G226" s="126" t="s">
        <v>2006</v>
      </c>
      <c r="H226" s="126">
        <v>0.0</v>
      </c>
      <c r="I226" s="126" t="s">
        <v>276</v>
      </c>
      <c r="J226" s="126" t="s">
        <v>276</v>
      </c>
      <c r="K226" s="126" t="s">
        <v>318</v>
      </c>
      <c r="L226" s="126"/>
      <c r="M226" s="126" t="s">
        <v>285</v>
      </c>
      <c r="N226" s="149">
        <v>44742.0</v>
      </c>
      <c r="O226" s="150"/>
      <c r="P226" s="150"/>
      <c r="Q226" s="126" t="s">
        <v>276</v>
      </c>
      <c r="R226" s="126" t="s">
        <v>318</v>
      </c>
      <c r="S226" s="126" t="s">
        <v>276</v>
      </c>
      <c r="T226" s="126" t="s">
        <v>276</v>
      </c>
      <c r="U226" s="126" t="s">
        <v>276</v>
      </c>
      <c r="V226" s="150">
        <v>0.0</v>
      </c>
      <c r="W226" s="126"/>
      <c r="X226" s="151">
        <v>3.0</v>
      </c>
      <c r="Y226" s="115"/>
      <c r="Z226" s="115"/>
    </row>
    <row r="227">
      <c r="A227" s="126" t="s">
        <v>2007</v>
      </c>
      <c r="B227" s="126" t="s">
        <v>2008</v>
      </c>
      <c r="C227" s="126" t="s">
        <v>2009</v>
      </c>
      <c r="D227" s="126" t="s">
        <v>1917</v>
      </c>
      <c r="E227" s="126" t="s">
        <v>281</v>
      </c>
      <c r="F227" s="126" t="s">
        <v>2010</v>
      </c>
      <c r="G227" s="126" t="s">
        <v>2011</v>
      </c>
      <c r="H227" s="126">
        <v>0.99</v>
      </c>
      <c r="I227" s="126" t="s">
        <v>276</v>
      </c>
      <c r="J227" s="126" t="s">
        <v>276</v>
      </c>
      <c r="K227" s="126" t="s">
        <v>2012</v>
      </c>
      <c r="L227" s="126"/>
      <c r="M227" s="126" t="s">
        <v>285</v>
      </c>
      <c r="N227" s="153">
        <v>44985.0</v>
      </c>
      <c r="O227" s="150">
        <v>0.1524</v>
      </c>
      <c r="P227" s="150">
        <v>0.1597</v>
      </c>
      <c r="Q227" s="153">
        <v>44524.0</v>
      </c>
      <c r="R227" s="126" t="s">
        <v>286</v>
      </c>
      <c r="S227" s="150">
        <v>0.0168</v>
      </c>
      <c r="T227" s="126" t="s">
        <v>276</v>
      </c>
      <c r="U227" s="126" t="s">
        <v>276</v>
      </c>
      <c r="V227" s="150">
        <v>0.0011</v>
      </c>
      <c r="W227" s="126" t="s">
        <v>2013</v>
      </c>
      <c r="X227" s="151">
        <v>4730.0</v>
      </c>
      <c r="Y227" s="115"/>
      <c r="Z227" s="115"/>
    </row>
    <row r="228">
      <c r="A228" s="126" t="s">
        <v>157</v>
      </c>
      <c r="B228" s="126" t="s">
        <v>2014</v>
      </c>
      <c r="C228" s="126" t="s">
        <v>2015</v>
      </c>
      <c r="D228" s="126" t="s">
        <v>1917</v>
      </c>
      <c r="E228" s="126" t="s">
        <v>328</v>
      </c>
      <c r="F228" s="126" t="s">
        <v>2016</v>
      </c>
      <c r="G228" s="126" t="s">
        <v>2017</v>
      </c>
      <c r="H228" s="126">
        <v>0.76</v>
      </c>
      <c r="I228" s="126" t="s">
        <v>276</v>
      </c>
      <c r="J228" s="126" t="s">
        <v>276</v>
      </c>
      <c r="K228" s="126" t="s">
        <v>573</v>
      </c>
      <c r="L228" s="126"/>
      <c r="M228" s="126" t="s">
        <v>285</v>
      </c>
      <c r="N228" s="149">
        <v>44979.0</v>
      </c>
      <c r="O228" s="150">
        <v>0.1357</v>
      </c>
      <c r="P228" s="150">
        <v>0.1285</v>
      </c>
      <c r="Q228" s="153">
        <v>43955.0</v>
      </c>
      <c r="R228" s="126" t="s">
        <v>286</v>
      </c>
      <c r="S228" s="150">
        <v>-0.0836</v>
      </c>
      <c r="T228" s="126" t="s">
        <v>276</v>
      </c>
      <c r="U228" s="126" t="s">
        <v>276</v>
      </c>
      <c r="V228" s="150">
        <v>0.0014</v>
      </c>
      <c r="W228" s="126" t="s">
        <v>2018</v>
      </c>
      <c r="X228" s="151">
        <v>17743.0</v>
      </c>
      <c r="Y228" s="115"/>
      <c r="Z228" s="115"/>
    </row>
    <row r="229">
      <c r="A229" s="126" t="s">
        <v>2019</v>
      </c>
      <c r="B229" s="126" t="s">
        <v>318</v>
      </c>
      <c r="C229" s="126" t="s">
        <v>2020</v>
      </c>
      <c r="D229" s="126" t="s">
        <v>324</v>
      </c>
      <c r="E229" s="126" t="s">
        <v>335</v>
      </c>
      <c r="F229" s="126" t="s">
        <v>2021</v>
      </c>
      <c r="G229" s="126" t="s">
        <v>2022</v>
      </c>
      <c r="H229" s="126">
        <v>1.21</v>
      </c>
      <c r="I229" s="126" t="s">
        <v>276</v>
      </c>
      <c r="J229" s="126" t="s">
        <v>276</v>
      </c>
      <c r="K229" s="126" t="s">
        <v>318</v>
      </c>
      <c r="L229" s="126"/>
      <c r="M229" s="126" t="s">
        <v>285</v>
      </c>
      <c r="N229" s="149">
        <v>44957.0</v>
      </c>
      <c r="O229" s="150">
        <v>0.0</v>
      </c>
      <c r="P229" s="150"/>
      <c r="Q229" s="126" t="s">
        <v>276</v>
      </c>
      <c r="R229" s="126" t="s">
        <v>320</v>
      </c>
      <c r="S229" s="150">
        <v>0.0</v>
      </c>
      <c r="T229" s="126" t="s">
        <v>276</v>
      </c>
      <c r="U229" s="126" t="s">
        <v>276</v>
      </c>
      <c r="V229" s="150">
        <v>0.0</v>
      </c>
      <c r="W229" s="126"/>
      <c r="X229" s="151">
        <v>2.0</v>
      </c>
      <c r="Y229" s="115"/>
      <c r="Z229" s="115"/>
    </row>
    <row r="230">
      <c r="A230" s="126" t="s">
        <v>2023</v>
      </c>
      <c r="B230" s="126" t="s">
        <v>318</v>
      </c>
      <c r="C230" s="126" t="s">
        <v>2024</v>
      </c>
      <c r="D230" s="126"/>
      <c r="E230" s="126" t="s">
        <v>755</v>
      </c>
      <c r="F230" s="126" t="s">
        <v>318</v>
      </c>
      <c r="G230" s="126" t="s">
        <v>276</v>
      </c>
      <c r="H230" s="126" t="s">
        <v>276</v>
      </c>
      <c r="I230" s="126" t="s">
        <v>276</v>
      </c>
      <c r="J230" s="126" t="s">
        <v>276</v>
      </c>
      <c r="K230" s="126"/>
      <c r="L230" s="126"/>
      <c r="M230" s="126" t="s">
        <v>285</v>
      </c>
      <c r="N230" s="149"/>
      <c r="O230" s="150"/>
      <c r="P230" s="150"/>
      <c r="Q230" s="126" t="s">
        <v>276</v>
      </c>
      <c r="R230" s="126" t="s">
        <v>318</v>
      </c>
      <c r="S230" s="126" t="s">
        <v>276</v>
      </c>
      <c r="T230" s="126" t="s">
        <v>276</v>
      </c>
      <c r="U230" s="126" t="s">
        <v>276</v>
      </c>
      <c r="V230" s="150">
        <v>0.0</v>
      </c>
      <c r="W230" s="126"/>
      <c r="X230" s="151"/>
      <c r="Y230" s="115"/>
      <c r="Z230" s="115"/>
    </row>
    <row r="231">
      <c r="A231" s="126" t="s">
        <v>2025</v>
      </c>
      <c r="B231" s="126" t="s">
        <v>318</v>
      </c>
      <c r="C231" s="126" t="s">
        <v>2026</v>
      </c>
      <c r="D231" s="126" t="s">
        <v>313</v>
      </c>
      <c r="E231" s="126" t="s">
        <v>301</v>
      </c>
      <c r="F231" s="126" t="s">
        <v>318</v>
      </c>
      <c r="G231" s="126" t="s">
        <v>2027</v>
      </c>
      <c r="H231" s="126">
        <v>0.0</v>
      </c>
      <c r="I231" s="126" t="s">
        <v>318</v>
      </c>
      <c r="J231" s="126" t="s">
        <v>2028</v>
      </c>
      <c r="K231" s="126"/>
      <c r="L231" s="126"/>
      <c r="M231" s="126" t="s">
        <v>2029</v>
      </c>
      <c r="N231" s="149"/>
      <c r="O231" s="150"/>
      <c r="P231" s="150"/>
      <c r="Q231" s="126" t="s">
        <v>276</v>
      </c>
      <c r="R231" s="126" t="s">
        <v>488</v>
      </c>
      <c r="S231" s="126" t="s">
        <v>276</v>
      </c>
      <c r="T231" s="126" t="s">
        <v>276</v>
      </c>
      <c r="U231" s="126" t="s">
        <v>276</v>
      </c>
      <c r="V231" s="150">
        <v>0.0</v>
      </c>
      <c r="W231" s="126"/>
      <c r="X231" s="151">
        <v>1.0</v>
      </c>
      <c r="Y231" s="115"/>
      <c r="Z231" s="115"/>
    </row>
    <row r="232">
      <c r="A232" s="126" t="s">
        <v>69</v>
      </c>
      <c r="B232" s="126" t="s">
        <v>2030</v>
      </c>
      <c r="C232" s="126" t="s">
        <v>2031</v>
      </c>
      <c r="D232" s="126" t="s">
        <v>2032</v>
      </c>
      <c r="E232" s="126" t="s">
        <v>281</v>
      </c>
      <c r="F232" s="126" t="s">
        <v>2033</v>
      </c>
      <c r="G232" s="126" t="s">
        <v>2034</v>
      </c>
      <c r="H232" s="126">
        <v>1.0</v>
      </c>
      <c r="I232" s="126" t="s">
        <v>276</v>
      </c>
      <c r="J232" s="126" t="s">
        <v>276</v>
      </c>
      <c r="K232" s="126" t="s">
        <v>687</v>
      </c>
      <c r="L232" s="126"/>
      <c r="M232" s="126" t="s">
        <v>285</v>
      </c>
      <c r="N232" s="149">
        <v>44971.0</v>
      </c>
      <c r="O232" s="150">
        <v>0.1379</v>
      </c>
      <c r="P232" s="150">
        <v>0.1102</v>
      </c>
      <c r="Q232" s="149">
        <v>40806.0</v>
      </c>
      <c r="R232" s="126" t="s">
        <v>296</v>
      </c>
      <c r="S232" s="150">
        <v>0.0069</v>
      </c>
      <c r="T232" s="126" t="s">
        <v>276</v>
      </c>
      <c r="U232" s="126" t="s">
        <v>276</v>
      </c>
      <c r="V232" s="150">
        <v>0.0207</v>
      </c>
      <c r="W232" s="126" t="s">
        <v>2035</v>
      </c>
      <c r="X232" s="151">
        <v>777034.0</v>
      </c>
      <c r="Y232" s="115"/>
      <c r="Z232" s="115"/>
    </row>
    <row r="233">
      <c r="A233" s="126" t="s">
        <v>2036</v>
      </c>
      <c r="B233" s="126" t="s">
        <v>2037</v>
      </c>
      <c r="C233" s="126" t="s">
        <v>2038</v>
      </c>
      <c r="D233" s="126" t="s">
        <v>359</v>
      </c>
      <c r="E233" s="126" t="s">
        <v>328</v>
      </c>
      <c r="F233" s="126" t="s">
        <v>2039</v>
      </c>
      <c r="G233" s="126" t="s">
        <v>2040</v>
      </c>
      <c r="H233" s="126">
        <v>0.81</v>
      </c>
      <c r="I233" s="126" t="s">
        <v>276</v>
      </c>
      <c r="J233" s="126" t="s">
        <v>276</v>
      </c>
      <c r="K233" s="126" t="s">
        <v>1660</v>
      </c>
      <c r="L233" s="126"/>
      <c r="M233" s="126" t="s">
        <v>285</v>
      </c>
      <c r="N233" s="149">
        <v>44979.0</v>
      </c>
      <c r="O233" s="150">
        <v>0.1536</v>
      </c>
      <c r="P233" s="150">
        <v>0.1426</v>
      </c>
      <c r="Q233" s="149">
        <v>44280.0</v>
      </c>
      <c r="R233" s="126" t="s">
        <v>286</v>
      </c>
      <c r="S233" s="150">
        <v>-0.054</v>
      </c>
      <c r="T233" s="126" t="s">
        <v>276</v>
      </c>
      <c r="U233" s="126" t="s">
        <v>276</v>
      </c>
      <c r="V233" s="150">
        <v>0.0</v>
      </c>
      <c r="W233" s="126" t="s">
        <v>2041</v>
      </c>
      <c r="X233" s="151">
        <v>1678.0</v>
      </c>
      <c r="Y233" s="115"/>
      <c r="Z233" s="115"/>
    </row>
    <row r="234">
      <c r="A234" s="126" t="s">
        <v>220</v>
      </c>
      <c r="B234" s="126" t="s">
        <v>2042</v>
      </c>
      <c r="C234" s="126" t="s">
        <v>2043</v>
      </c>
      <c r="D234" s="126" t="s">
        <v>2044</v>
      </c>
      <c r="E234" s="126" t="s">
        <v>281</v>
      </c>
      <c r="F234" s="126" t="s">
        <v>2045</v>
      </c>
      <c r="G234" s="126" t="s">
        <v>2046</v>
      </c>
      <c r="H234" s="126">
        <v>0.94</v>
      </c>
      <c r="I234" s="126" t="s">
        <v>276</v>
      </c>
      <c r="J234" s="126" t="s">
        <v>276</v>
      </c>
      <c r="K234" s="126" t="s">
        <v>488</v>
      </c>
      <c r="L234" s="126"/>
      <c r="M234" s="126" t="s">
        <v>285</v>
      </c>
      <c r="N234" s="149">
        <v>44971.0</v>
      </c>
      <c r="O234" s="150">
        <v>0.1521</v>
      </c>
      <c r="P234" s="150">
        <v>0.1836</v>
      </c>
      <c r="Q234" s="149">
        <v>41550.0</v>
      </c>
      <c r="R234" s="126" t="s">
        <v>320</v>
      </c>
      <c r="S234" s="150">
        <v>-0.0528</v>
      </c>
      <c r="T234" s="126" t="s">
        <v>276</v>
      </c>
      <c r="U234" s="126" t="s">
        <v>276</v>
      </c>
      <c r="V234" s="150">
        <v>0.0015</v>
      </c>
      <c r="W234" s="126" t="s">
        <v>2047</v>
      </c>
      <c r="X234" s="151">
        <v>12079.0</v>
      </c>
      <c r="Y234" s="115"/>
      <c r="Z234" s="115"/>
    </row>
    <row r="235">
      <c r="A235" s="126" t="s">
        <v>2048</v>
      </c>
      <c r="B235" s="126" t="s">
        <v>2049</v>
      </c>
      <c r="C235" s="126" t="s">
        <v>2050</v>
      </c>
      <c r="D235" s="126" t="s">
        <v>2044</v>
      </c>
      <c r="E235" s="126" t="s">
        <v>292</v>
      </c>
      <c r="F235" s="126" t="s">
        <v>2051</v>
      </c>
      <c r="G235" s="126" t="s">
        <v>2052</v>
      </c>
      <c r="H235" s="126">
        <v>0.96</v>
      </c>
      <c r="I235" s="126" t="s">
        <v>276</v>
      </c>
      <c r="J235" s="126" t="s">
        <v>276</v>
      </c>
      <c r="K235" s="126" t="s">
        <v>1782</v>
      </c>
      <c r="L235" s="126"/>
      <c r="M235" s="126" t="s">
        <v>285</v>
      </c>
      <c r="N235" s="149">
        <v>44984.0</v>
      </c>
      <c r="O235" s="150">
        <v>0.184</v>
      </c>
      <c r="P235" s="150">
        <v>0.1448</v>
      </c>
      <c r="Q235" s="149">
        <v>44551.0</v>
      </c>
      <c r="R235" s="126" t="s">
        <v>286</v>
      </c>
      <c r="S235" s="150">
        <v>0.0189</v>
      </c>
      <c r="T235" s="126" t="s">
        <v>276</v>
      </c>
      <c r="U235" s="126" t="s">
        <v>276</v>
      </c>
      <c r="V235" s="150">
        <v>0.0</v>
      </c>
      <c r="W235" s="126" t="s">
        <v>2053</v>
      </c>
      <c r="X235" s="151">
        <v>2172.0</v>
      </c>
      <c r="Y235" s="115"/>
      <c r="Z235" s="115"/>
    </row>
    <row r="236">
      <c r="A236" s="126" t="s">
        <v>55</v>
      </c>
      <c r="B236" s="126" t="s">
        <v>2054</v>
      </c>
      <c r="C236" s="126" t="s">
        <v>2055</v>
      </c>
      <c r="D236" s="126"/>
      <c r="E236" s="126" t="s">
        <v>528</v>
      </c>
      <c r="F236" s="126" t="s">
        <v>2056</v>
      </c>
      <c r="G236" s="126" t="s">
        <v>2057</v>
      </c>
      <c r="H236" s="126">
        <v>0.84</v>
      </c>
      <c r="I236" s="126" t="s">
        <v>2058</v>
      </c>
      <c r="J236" s="126" t="s">
        <v>2059</v>
      </c>
      <c r="K236" s="126" t="s">
        <v>1098</v>
      </c>
      <c r="L236" s="126" t="s">
        <v>738</v>
      </c>
      <c r="M236" s="126" t="s">
        <v>2060</v>
      </c>
      <c r="N236" s="149">
        <v>44971.0</v>
      </c>
      <c r="O236" s="150">
        <v>0.1157</v>
      </c>
      <c r="P236" s="150">
        <v>0.1146</v>
      </c>
      <c r="Q236" s="153">
        <v>43826.0</v>
      </c>
      <c r="R236" s="126" t="s">
        <v>286</v>
      </c>
      <c r="S236" s="150">
        <v>0.0404</v>
      </c>
      <c r="T236" s="150">
        <v>0.0</v>
      </c>
      <c r="U236" s="149">
        <v>44957.0</v>
      </c>
      <c r="V236" s="150">
        <v>0.0</v>
      </c>
      <c r="W236" s="126" t="s">
        <v>2061</v>
      </c>
      <c r="X236" s="151">
        <v>3732.0</v>
      </c>
      <c r="Y236" s="115"/>
      <c r="Z236" s="115"/>
    </row>
    <row r="237">
      <c r="A237" s="126" t="s">
        <v>197</v>
      </c>
      <c r="B237" s="126" t="s">
        <v>2062</v>
      </c>
      <c r="C237" s="126" t="s">
        <v>2063</v>
      </c>
      <c r="D237" s="126" t="s">
        <v>2064</v>
      </c>
      <c r="E237" s="126" t="s">
        <v>301</v>
      </c>
      <c r="F237" s="126" t="s">
        <v>2065</v>
      </c>
      <c r="G237" s="126" t="s">
        <v>2066</v>
      </c>
      <c r="H237" s="126">
        <v>0.77</v>
      </c>
      <c r="I237" s="126" t="s">
        <v>2067</v>
      </c>
      <c r="J237" s="126" t="s">
        <v>2068</v>
      </c>
      <c r="K237" s="126" t="s">
        <v>362</v>
      </c>
      <c r="L237" s="126" t="s">
        <v>2069</v>
      </c>
      <c r="M237" s="126" t="s">
        <v>2070</v>
      </c>
      <c r="N237" s="149">
        <v>44971.0</v>
      </c>
      <c r="O237" s="150">
        <v>0.0229</v>
      </c>
      <c r="P237" s="150">
        <v>0.0051</v>
      </c>
      <c r="Q237" s="149">
        <v>41012.0</v>
      </c>
      <c r="R237" s="126" t="s">
        <v>286</v>
      </c>
      <c r="S237" s="150">
        <v>0.2927</v>
      </c>
      <c r="T237" s="150">
        <v>0.47</v>
      </c>
      <c r="U237" s="153">
        <v>44957.0</v>
      </c>
      <c r="V237" s="150">
        <v>0.0</v>
      </c>
      <c r="W237" s="126" t="s">
        <v>2071</v>
      </c>
      <c r="X237" s="151">
        <v>1656.0</v>
      </c>
      <c r="Y237" s="115"/>
      <c r="Z237" s="115"/>
    </row>
    <row r="238">
      <c r="A238" s="126" t="s">
        <v>2072</v>
      </c>
      <c r="B238" s="126" t="s">
        <v>1222</v>
      </c>
      <c r="C238" s="126" t="s">
        <v>2073</v>
      </c>
      <c r="D238" s="126" t="s">
        <v>2074</v>
      </c>
      <c r="E238" s="126" t="s">
        <v>367</v>
      </c>
      <c r="F238" s="126" t="s">
        <v>2075</v>
      </c>
      <c r="G238" s="126" t="s">
        <v>2076</v>
      </c>
      <c r="H238" s="126">
        <v>0.91</v>
      </c>
      <c r="I238" s="126" t="s">
        <v>276</v>
      </c>
      <c r="J238" s="126" t="s">
        <v>276</v>
      </c>
      <c r="K238" s="126" t="s">
        <v>318</v>
      </c>
      <c r="L238" s="126"/>
      <c r="M238" s="126" t="s">
        <v>285</v>
      </c>
      <c r="N238" s="149">
        <v>44683.0</v>
      </c>
      <c r="O238" s="150">
        <v>0.0</v>
      </c>
      <c r="P238" s="150"/>
      <c r="Q238" s="149">
        <v>42513.0</v>
      </c>
      <c r="R238" s="126" t="s">
        <v>1138</v>
      </c>
      <c r="S238" s="150">
        <v>0.0</v>
      </c>
      <c r="T238" s="126" t="s">
        <v>276</v>
      </c>
      <c r="U238" s="126" t="s">
        <v>276</v>
      </c>
      <c r="V238" s="150">
        <v>0.0</v>
      </c>
      <c r="W238" s="126"/>
      <c r="X238" s="151">
        <v>772.0</v>
      </c>
      <c r="Y238" s="115"/>
      <c r="Z238" s="115"/>
    </row>
    <row r="239">
      <c r="A239" s="126" t="s">
        <v>117</v>
      </c>
      <c r="B239" s="126" t="s">
        <v>2077</v>
      </c>
      <c r="C239" s="126" t="s">
        <v>2078</v>
      </c>
      <c r="D239" s="126" t="s">
        <v>313</v>
      </c>
      <c r="E239" s="126" t="s">
        <v>1409</v>
      </c>
      <c r="F239" s="126" t="s">
        <v>2079</v>
      </c>
      <c r="G239" s="126" t="s">
        <v>2080</v>
      </c>
      <c r="H239" s="126">
        <v>0.82</v>
      </c>
      <c r="I239" s="126" t="s">
        <v>2081</v>
      </c>
      <c r="J239" s="126" t="s">
        <v>2082</v>
      </c>
      <c r="K239" s="126" t="s">
        <v>2083</v>
      </c>
      <c r="L239" s="126" t="s">
        <v>2084</v>
      </c>
      <c r="M239" s="126" t="s">
        <v>2085</v>
      </c>
      <c r="N239" s="149">
        <v>44964.0</v>
      </c>
      <c r="O239" s="150">
        <v>0.1206</v>
      </c>
      <c r="P239" s="150">
        <v>0.0656</v>
      </c>
      <c r="Q239" s="149">
        <v>39008.0</v>
      </c>
      <c r="R239" s="126" t="s">
        <v>286</v>
      </c>
      <c r="S239" s="150">
        <v>-0.0233</v>
      </c>
      <c r="T239" s="150">
        <v>0.0</v>
      </c>
      <c r="U239" s="126" t="s">
        <v>276</v>
      </c>
      <c r="V239" s="150">
        <v>0.002</v>
      </c>
      <c r="W239" s="126" t="s">
        <v>2086</v>
      </c>
      <c r="X239" s="151">
        <v>6635.0</v>
      </c>
      <c r="Y239" s="115"/>
      <c r="Z239" s="115"/>
    </row>
    <row r="240">
      <c r="A240" s="126" t="s">
        <v>2087</v>
      </c>
      <c r="B240" s="126" t="s">
        <v>2088</v>
      </c>
      <c r="C240" s="126" t="s">
        <v>2089</v>
      </c>
      <c r="D240" s="126" t="s">
        <v>591</v>
      </c>
      <c r="E240" s="126" t="s">
        <v>1409</v>
      </c>
      <c r="F240" s="126" t="s">
        <v>2090</v>
      </c>
      <c r="G240" s="126" t="s">
        <v>2091</v>
      </c>
      <c r="H240" s="126">
        <v>0.78</v>
      </c>
      <c r="I240" s="126" t="s">
        <v>2092</v>
      </c>
      <c r="J240" s="126" t="s">
        <v>2093</v>
      </c>
      <c r="K240" s="126" t="s">
        <v>510</v>
      </c>
      <c r="L240" s="126" t="s">
        <v>2094</v>
      </c>
      <c r="M240" s="126" t="s">
        <v>2095</v>
      </c>
      <c r="N240" s="149">
        <v>44965.0</v>
      </c>
      <c r="O240" s="150">
        <v>0.0959</v>
      </c>
      <c r="P240" s="150">
        <v>0.0874</v>
      </c>
      <c r="Q240" s="149">
        <v>41907.0</v>
      </c>
      <c r="R240" s="126" t="s">
        <v>296</v>
      </c>
      <c r="S240" s="150">
        <v>0.09</v>
      </c>
      <c r="T240" s="126" t="s">
        <v>276</v>
      </c>
      <c r="U240" s="126" t="s">
        <v>276</v>
      </c>
      <c r="V240" s="150">
        <v>0.0</v>
      </c>
      <c r="W240" s="126" t="s">
        <v>2096</v>
      </c>
      <c r="X240" s="151">
        <v>2243.0</v>
      </c>
      <c r="Y240" s="115"/>
      <c r="Z240" s="115"/>
    </row>
    <row r="241">
      <c r="A241" s="126" t="s">
        <v>245</v>
      </c>
      <c r="B241" s="126" t="s">
        <v>318</v>
      </c>
      <c r="C241" s="126" t="s">
        <v>2097</v>
      </c>
      <c r="D241" s="126" t="s">
        <v>866</v>
      </c>
      <c r="E241" s="126" t="s">
        <v>335</v>
      </c>
      <c r="F241" s="126" t="s">
        <v>2098</v>
      </c>
      <c r="G241" s="126" t="s">
        <v>2099</v>
      </c>
      <c r="H241" s="126">
        <v>0.08</v>
      </c>
      <c r="I241" s="126" t="s">
        <v>2100</v>
      </c>
      <c r="J241" s="126" t="s">
        <v>2101</v>
      </c>
      <c r="K241" s="126" t="s">
        <v>2102</v>
      </c>
      <c r="L241" s="126" t="s">
        <v>2103</v>
      </c>
      <c r="M241" s="126" t="s">
        <v>2104</v>
      </c>
      <c r="N241" s="149">
        <v>44971.0</v>
      </c>
      <c r="O241" s="150">
        <v>0.2437</v>
      </c>
      <c r="P241" s="150">
        <v>0.2201</v>
      </c>
      <c r="Q241" s="149">
        <v>42353.0</v>
      </c>
      <c r="R241" s="126" t="s">
        <v>2105</v>
      </c>
      <c r="S241" s="150">
        <v>-0.0989</v>
      </c>
      <c r="T241" s="126" t="s">
        <v>276</v>
      </c>
      <c r="U241" s="126" t="s">
        <v>276</v>
      </c>
      <c r="V241" s="150">
        <v>0.0</v>
      </c>
      <c r="W241" s="126"/>
      <c r="X241" s="151">
        <v>7.0</v>
      </c>
      <c r="Y241" s="115"/>
      <c r="Z241" s="115"/>
    </row>
    <row r="242">
      <c r="A242" s="126" t="s">
        <v>2106</v>
      </c>
      <c r="B242" s="126" t="s">
        <v>2107</v>
      </c>
      <c r="C242" s="126" t="s">
        <v>2108</v>
      </c>
      <c r="D242" s="126" t="s">
        <v>2109</v>
      </c>
      <c r="E242" s="126" t="s">
        <v>292</v>
      </c>
      <c r="F242" s="126" t="s">
        <v>2110</v>
      </c>
      <c r="G242" s="126" t="s">
        <v>2111</v>
      </c>
      <c r="H242" s="126">
        <v>1.05</v>
      </c>
      <c r="I242" s="126" t="s">
        <v>276</v>
      </c>
      <c r="J242" s="126" t="s">
        <v>276</v>
      </c>
      <c r="K242" s="126" t="s">
        <v>2112</v>
      </c>
      <c r="L242" s="126"/>
      <c r="M242" s="126" t="s">
        <v>285</v>
      </c>
      <c r="N242" s="149">
        <v>44971.0</v>
      </c>
      <c r="O242" s="150">
        <v>0.2159</v>
      </c>
      <c r="P242" s="150">
        <v>0.1055</v>
      </c>
      <c r="Q242" s="149">
        <v>44705.0</v>
      </c>
      <c r="R242" s="126" t="s">
        <v>296</v>
      </c>
      <c r="S242" s="150">
        <v>0.0049</v>
      </c>
      <c r="T242" s="126" t="s">
        <v>276</v>
      </c>
      <c r="U242" s="126" t="s">
        <v>276</v>
      </c>
      <c r="V242" s="150">
        <v>0.0</v>
      </c>
      <c r="W242" s="126" t="s">
        <v>2113</v>
      </c>
      <c r="X242" s="151">
        <v>2560.0</v>
      </c>
      <c r="Y242" s="115"/>
      <c r="Z242" s="115"/>
    </row>
    <row r="243">
      <c r="A243" s="126" t="s">
        <v>164</v>
      </c>
      <c r="B243" s="126" t="s">
        <v>2114</v>
      </c>
      <c r="C243" s="126" t="s">
        <v>2115</v>
      </c>
      <c r="D243" s="126" t="s">
        <v>266</v>
      </c>
      <c r="E243" s="126" t="s">
        <v>301</v>
      </c>
      <c r="F243" s="126" t="s">
        <v>2116</v>
      </c>
      <c r="G243" s="126" t="s">
        <v>2117</v>
      </c>
      <c r="H243" s="126">
        <v>0.87</v>
      </c>
      <c r="I243" s="126" t="s">
        <v>2118</v>
      </c>
      <c r="J243" s="126" t="s">
        <v>2119</v>
      </c>
      <c r="K243" s="126" t="s">
        <v>2120</v>
      </c>
      <c r="L243" s="126" t="s">
        <v>2121</v>
      </c>
      <c r="M243" s="126" t="s">
        <v>2122</v>
      </c>
      <c r="N243" s="149">
        <v>44972.0</v>
      </c>
      <c r="O243" s="150">
        <v>0.0695</v>
      </c>
      <c r="P243" s="150">
        <v>0.0637</v>
      </c>
      <c r="Q243" s="149">
        <v>40969.0</v>
      </c>
      <c r="R243" s="126" t="s">
        <v>286</v>
      </c>
      <c r="S243" s="150">
        <v>-0.0024</v>
      </c>
      <c r="T243" s="150">
        <v>0.0</v>
      </c>
      <c r="U243" s="149">
        <v>42855.0</v>
      </c>
      <c r="V243" s="150">
        <v>0.0</v>
      </c>
      <c r="W243" s="126" t="s">
        <v>2123</v>
      </c>
      <c r="X243" s="151">
        <v>3331.0</v>
      </c>
      <c r="Y243" s="115"/>
      <c r="Z243" s="115"/>
    </row>
    <row r="244">
      <c r="A244" s="126" t="s">
        <v>2124</v>
      </c>
      <c r="B244" s="126" t="s">
        <v>2125</v>
      </c>
      <c r="C244" s="126" t="s">
        <v>2126</v>
      </c>
      <c r="D244" s="126" t="s">
        <v>953</v>
      </c>
      <c r="E244" s="126" t="s">
        <v>281</v>
      </c>
      <c r="F244" s="126" t="s">
        <v>2127</v>
      </c>
      <c r="G244" s="126" t="s">
        <v>2128</v>
      </c>
      <c r="H244" s="126">
        <v>0.63</v>
      </c>
      <c r="I244" s="126" t="s">
        <v>276</v>
      </c>
      <c r="J244" s="126" t="s">
        <v>276</v>
      </c>
      <c r="K244" s="126" t="s">
        <v>318</v>
      </c>
      <c r="L244" s="126"/>
      <c r="M244" s="126" t="s">
        <v>285</v>
      </c>
      <c r="N244" s="149">
        <v>44957.0</v>
      </c>
      <c r="O244" s="150">
        <v>0.0</v>
      </c>
      <c r="P244" s="150"/>
      <c r="Q244" s="149">
        <v>42872.0</v>
      </c>
      <c r="R244" s="126" t="s">
        <v>286</v>
      </c>
      <c r="S244" s="150">
        <v>0.0</v>
      </c>
      <c r="T244" s="126" t="s">
        <v>276</v>
      </c>
      <c r="U244" s="126" t="s">
        <v>276</v>
      </c>
      <c r="V244" s="150">
        <v>0.0</v>
      </c>
      <c r="W244" s="126"/>
      <c r="X244" s="151">
        <v>6.0</v>
      </c>
      <c r="Y244" s="115"/>
      <c r="Z244" s="115"/>
    </row>
    <row r="245">
      <c r="A245" s="126" t="s">
        <v>86</v>
      </c>
      <c r="B245" s="126" t="s">
        <v>2129</v>
      </c>
      <c r="C245" s="126" t="s">
        <v>2130</v>
      </c>
      <c r="D245" s="126" t="s">
        <v>2109</v>
      </c>
      <c r="E245" s="126" t="s">
        <v>328</v>
      </c>
      <c r="F245" s="126" t="s">
        <v>2131</v>
      </c>
      <c r="G245" s="126" t="s">
        <v>2132</v>
      </c>
      <c r="H245" s="126">
        <v>0.83</v>
      </c>
      <c r="I245" s="126" t="s">
        <v>276</v>
      </c>
      <c r="J245" s="126" t="s">
        <v>276</v>
      </c>
      <c r="K245" s="126" t="s">
        <v>998</v>
      </c>
      <c r="L245" s="126"/>
      <c r="M245" s="126" t="s">
        <v>285</v>
      </c>
      <c r="N245" s="149">
        <v>44980.0</v>
      </c>
      <c r="O245" s="150">
        <v>0.146</v>
      </c>
      <c r="P245" s="150">
        <v>0.1412</v>
      </c>
      <c r="Q245" s="149">
        <v>43661.0</v>
      </c>
      <c r="R245" s="126" t="s">
        <v>286</v>
      </c>
      <c r="S245" s="150">
        <v>-0.0253</v>
      </c>
      <c r="T245" s="126" t="s">
        <v>276</v>
      </c>
      <c r="U245" s="126" t="s">
        <v>276</v>
      </c>
      <c r="V245" s="150">
        <v>0.0</v>
      </c>
      <c r="W245" s="126" t="s">
        <v>2133</v>
      </c>
      <c r="X245" s="151">
        <v>8337.0</v>
      </c>
      <c r="Y245" s="115"/>
      <c r="Z245" s="115"/>
    </row>
    <row r="246">
      <c r="A246" s="126" t="s">
        <v>90</v>
      </c>
      <c r="B246" s="126" t="s">
        <v>2134</v>
      </c>
      <c r="C246" s="126" t="s">
        <v>2135</v>
      </c>
      <c r="D246" s="126" t="s">
        <v>2136</v>
      </c>
      <c r="E246" s="126" t="s">
        <v>281</v>
      </c>
      <c r="F246" s="126" t="s">
        <v>2137</v>
      </c>
      <c r="G246" s="126" t="s">
        <v>2138</v>
      </c>
      <c r="H246" s="126">
        <v>0.97</v>
      </c>
      <c r="I246" s="126" t="s">
        <v>276</v>
      </c>
      <c r="J246" s="126" t="s">
        <v>276</v>
      </c>
      <c r="K246" s="126" t="s">
        <v>1776</v>
      </c>
      <c r="L246" s="126"/>
      <c r="M246" s="126" t="s">
        <v>285</v>
      </c>
      <c r="N246" s="149">
        <v>44971.0</v>
      </c>
      <c r="O246" s="150">
        <v>0.1657</v>
      </c>
      <c r="P246" s="150">
        <v>0.1584</v>
      </c>
      <c r="Q246" s="149">
        <v>42922.0</v>
      </c>
      <c r="R246" s="126" t="s">
        <v>286</v>
      </c>
      <c r="S246" s="150">
        <v>-0.0172</v>
      </c>
      <c r="T246" s="126" t="s">
        <v>276</v>
      </c>
      <c r="U246" s="126" t="s">
        <v>276</v>
      </c>
      <c r="V246" s="150">
        <v>0.0029</v>
      </c>
      <c r="W246" s="126" t="s">
        <v>2139</v>
      </c>
      <c r="X246" s="151">
        <v>27005.0</v>
      </c>
      <c r="Y246" s="115"/>
      <c r="Z246" s="115"/>
    </row>
    <row r="247">
      <c r="A247" s="126" t="s">
        <v>85</v>
      </c>
      <c r="B247" s="126" t="s">
        <v>2140</v>
      </c>
      <c r="C247" s="126" t="s">
        <v>2141</v>
      </c>
      <c r="D247" s="126" t="s">
        <v>2109</v>
      </c>
      <c r="E247" s="126" t="s">
        <v>528</v>
      </c>
      <c r="F247" s="126" t="s">
        <v>2142</v>
      </c>
      <c r="G247" s="126" t="s">
        <v>2143</v>
      </c>
      <c r="H247" s="126">
        <v>0.58</v>
      </c>
      <c r="I247" s="126" t="s">
        <v>2144</v>
      </c>
      <c r="J247" s="126" t="s">
        <v>2145</v>
      </c>
      <c r="K247" s="126" t="s">
        <v>889</v>
      </c>
      <c r="L247" s="126" t="s">
        <v>2146</v>
      </c>
      <c r="M247" s="126" t="s">
        <v>2147</v>
      </c>
      <c r="N247" s="149">
        <v>44980.0</v>
      </c>
      <c r="O247" s="150">
        <v>0.134</v>
      </c>
      <c r="P247" s="150">
        <v>0.0393</v>
      </c>
      <c r="Q247" s="149">
        <v>43417.0</v>
      </c>
      <c r="R247" s="126" t="s">
        <v>286</v>
      </c>
      <c r="S247" s="150">
        <v>-0.1009</v>
      </c>
      <c r="T247" s="150">
        <v>0.0</v>
      </c>
      <c r="U247" s="149">
        <v>44253.0</v>
      </c>
      <c r="V247" s="150">
        <v>0.0</v>
      </c>
      <c r="W247" s="126" t="s">
        <v>2148</v>
      </c>
      <c r="X247" s="151">
        <v>5225.0</v>
      </c>
      <c r="Y247" s="115"/>
      <c r="Z247" s="115"/>
    </row>
    <row r="248">
      <c r="A248" s="126" t="s">
        <v>89</v>
      </c>
      <c r="B248" s="126" t="s">
        <v>2149</v>
      </c>
      <c r="C248" s="126" t="s">
        <v>2150</v>
      </c>
      <c r="D248" s="126" t="s">
        <v>2109</v>
      </c>
      <c r="E248" s="126" t="s">
        <v>335</v>
      </c>
      <c r="F248" s="126" t="s">
        <v>2151</v>
      </c>
      <c r="G248" s="126" t="s">
        <v>2152</v>
      </c>
      <c r="H248" s="126">
        <v>0.8</v>
      </c>
      <c r="I248" s="126" t="s">
        <v>276</v>
      </c>
      <c r="J248" s="126" t="s">
        <v>276</v>
      </c>
      <c r="K248" s="126" t="s">
        <v>488</v>
      </c>
      <c r="L248" s="126"/>
      <c r="M248" s="126" t="s">
        <v>285</v>
      </c>
      <c r="N248" s="149">
        <v>44980.0</v>
      </c>
      <c r="O248" s="150">
        <v>0.1796</v>
      </c>
      <c r="P248" s="150">
        <v>0.1705</v>
      </c>
      <c r="Q248" s="149">
        <v>43228.0</v>
      </c>
      <c r="R248" s="126" t="s">
        <v>286</v>
      </c>
      <c r="S248" s="150">
        <v>-0.1035</v>
      </c>
      <c r="T248" s="126" t="s">
        <v>276</v>
      </c>
      <c r="U248" s="126" t="s">
        <v>276</v>
      </c>
      <c r="V248" s="150">
        <v>0.0</v>
      </c>
      <c r="W248" s="126" t="s">
        <v>2153</v>
      </c>
      <c r="X248" s="151">
        <v>5683.0</v>
      </c>
      <c r="Y248" s="115"/>
      <c r="Z248" s="115"/>
    </row>
    <row r="249">
      <c r="A249" s="126" t="s">
        <v>2154</v>
      </c>
      <c r="B249" s="126" t="s">
        <v>2155</v>
      </c>
      <c r="C249" s="126" t="s">
        <v>2156</v>
      </c>
      <c r="D249" s="126" t="s">
        <v>2157</v>
      </c>
      <c r="E249" s="126" t="s">
        <v>367</v>
      </c>
      <c r="F249" s="126" t="s">
        <v>2158</v>
      </c>
      <c r="G249" s="126" t="s">
        <v>2159</v>
      </c>
      <c r="H249" s="126">
        <v>-0.83</v>
      </c>
      <c r="I249" s="126" t="s">
        <v>276</v>
      </c>
      <c r="J249" s="126" t="s">
        <v>276</v>
      </c>
      <c r="K249" s="126" t="s">
        <v>318</v>
      </c>
      <c r="L249" s="126"/>
      <c r="M249" s="126" t="s">
        <v>285</v>
      </c>
      <c r="N249" s="149">
        <v>44742.0</v>
      </c>
      <c r="O249" s="150">
        <v>0.0</v>
      </c>
      <c r="P249" s="150"/>
      <c r="Q249" s="153">
        <v>34759.0</v>
      </c>
      <c r="R249" s="126" t="s">
        <v>286</v>
      </c>
      <c r="S249" s="150">
        <v>-0.2639</v>
      </c>
      <c r="T249" s="126" t="s">
        <v>276</v>
      </c>
      <c r="U249" s="126" t="s">
        <v>276</v>
      </c>
      <c r="V249" s="150">
        <v>0.0</v>
      </c>
      <c r="W249" s="126" t="s">
        <v>2160</v>
      </c>
      <c r="X249" s="151">
        <v>696.0</v>
      </c>
      <c r="Y249" s="115"/>
      <c r="Z249" s="115"/>
    </row>
    <row r="250">
      <c r="A250" s="126" t="s">
        <v>2161</v>
      </c>
      <c r="B250" s="126" t="s">
        <v>318</v>
      </c>
      <c r="C250" s="126" t="s">
        <v>2162</v>
      </c>
      <c r="D250" s="126" t="s">
        <v>313</v>
      </c>
      <c r="E250" s="126" t="s">
        <v>301</v>
      </c>
      <c r="F250" s="126" t="s">
        <v>318</v>
      </c>
      <c r="G250" s="126" t="s">
        <v>2163</v>
      </c>
      <c r="H250" s="126">
        <v>0.0</v>
      </c>
      <c r="I250" s="126" t="s">
        <v>318</v>
      </c>
      <c r="J250" s="126" t="s">
        <v>2164</v>
      </c>
      <c r="K250" s="126" t="s">
        <v>2165</v>
      </c>
      <c r="L250" s="126" t="s">
        <v>2166</v>
      </c>
      <c r="M250" s="126" t="s">
        <v>2167</v>
      </c>
      <c r="N250" s="149">
        <v>44834.0</v>
      </c>
      <c r="O250" s="150"/>
      <c r="P250" s="150"/>
      <c r="Q250" s="126" t="s">
        <v>276</v>
      </c>
      <c r="R250" s="126" t="s">
        <v>286</v>
      </c>
      <c r="S250" s="126" t="s">
        <v>276</v>
      </c>
      <c r="T250" s="126" t="s">
        <v>276</v>
      </c>
      <c r="U250" s="126" t="s">
        <v>276</v>
      </c>
      <c r="V250" s="150">
        <v>0.0</v>
      </c>
      <c r="W250" s="126"/>
      <c r="X250" s="151">
        <v>57.0</v>
      </c>
      <c r="Y250" s="115"/>
      <c r="Z250" s="115"/>
    </row>
    <row r="251">
      <c r="A251" s="126" t="s">
        <v>175</v>
      </c>
      <c r="B251" s="126" t="s">
        <v>2168</v>
      </c>
      <c r="C251" s="126" t="s">
        <v>2169</v>
      </c>
      <c r="D251" s="126" t="s">
        <v>866</v>
      </c>
      <c r="E251" s="126" t="s">
        <v>301</v>
      </c>
      <c r="F251" s="126" t="s">
        <v>2170</v>
      </c>
      <c r="G251" s="126" t="s">
        <v>2171</v>
      </c>
      <c r="H251" s="126">
        <v>0.88</v>
      </c>
      <c r="I251" s="126" t="s">
        <v>2172</v>
      </c>
      <c r="J251" s="126" t="s">
        <v>2173</v>
      </c>
      <c r="K251" s="126" t="s">
        <v>2174</v>
      </c>
      <c r="L251" s="126" t="s">
        <v>2175</v>
      </c>
      <c r="M251" s="126" t="s">
        <v>2176</v>
      </c>
      <c r="N251" s="149">
        <v>44965.0</v>
      </c>
      <c r="O251" s="150">
        <v>0.0401</v>
      </c>
      <c r="P251" s="150">
        <v>0.0669</v>
      </c>
      <c r="Q251" s="149">
        <v>43557.0</v>
      </c>
      <c r="R251" s="126" t="s">
        <v>286</v>
      </c>
      <c r="S251" s="150">
        <v>-0.0147</v>
      </c>
      <c r="T251" s="150">
        <v>0.176</v>
      </c>
      <c r="U251" s="149">
        <v>44712.0</v>
      </c>
      <c r="V251" s="150">
        <v>0.0</v>
      </c>
      <c r="W251" s="126" t="s">
        <v>2177</v>
      </c>
      <c r="X251" s="151">
        <v>8307.0</v>
      </c>
      <c r="Y251" s="115"/>
      <c r="Z251" s="115"/>
    </row>
    <row r="252">
      <c r="A252" s="126" t="s">
        <v>110</v>
      </c>
      <c r="B252" s="126" t="s">
        <v>2178</v>
      </c>
      <c r="C252" s="126" t="s">
        <v>2179</v>
      </c>
      <c r="D252" s="126" t="s">
        <v>866</v>
      </c>
      <c r="E252" s="126" t="s">
        <v>528</v>
      </c>
      <c r="F252" s="126" t="s">
        <v>2180</v>
      </c>
      <c r="G252" s="126" t="s">
        <v>2181</v>
      </c>
      <c r="H252" s="126">
        <v>0.64</v>
      </c>
      <c r="I252" s="126" t="s">
        <v>2182</v>
      </c>
      <c r="J252" s="126" t="s">
        <v>2183</v>
      </c>
      <c r="K252" s="126" t="s">
        <v>1953</v>
      </c>
      <c r="L252" s="126" t="s">
        <v>2184</v>
      </c>
      <c r="M252" s="126" t="s">
        <v>2185</v>
      </c>
      <c r="N252" s="149">
        <v>44965.0</v>
      </c>
      <c r="O252" s="150">
        <v>0.1167</v>
      </c>
      <c r="P252" s="150">
        <v>0.1109</v>
      </c>
      <c r="Q252" s="149">
        <v>44057.0</v>
      </c>
      <c r="R252" s="126" t="s">
        <v>286</v>
      </c>
      <c r="S252" s="150">
        <v>-0.1074</v>
      </c>
      <c r="T252" s="150">
        <v>0.006</v>
      </c>
      <c r="U252" s="149">
        <v>44742.0</v>
      </c>
      <c r="V252" s="150">
        <v>0.0032</v>
      </c>
      <c r="W252" s="126" t="s">
        <v>2186</v>
      </c>
      <c r="X252" s="151">
        <v>24158.0</v>
      </c>
      <c r="Y252" s="115"/>
      <c r="Z252" s="115"/>
    </row>
    <row r="253">
      <c r="A253" s="126" t="s">
        <v>2187</v>
      </c>
      <c r="B253" s="126" t="s">
        <v>318</v>
      </c>
      <c r="C253" s="126" t="s">
        <v>2188</v>
      </c>
      <c r="D253" s="126" t="s">
        <v>1092</v>
      </c>
      <c r="E253" s="126" t="s">
        <v>528</v>
      </c>
      <c r="F253" s="126" t="s">
        <v>2189</v>
      </c>
      <c r="G253" s="126" t="s">
        <v>2190</v>
      </c>
      <c r="H253" s="126">
        <v>0.59</v>
      </c>
      <c r="I253" s="126" t="s">
        <v>276</v>
      </c>
      <c r="J253" s="126" t="s">
        <v>276</v>
      </c>
      <c r="K253" s="126" t="s">
        <v>2191</v>
      </c>
      <c r="L253" s="126"/>
      <c r="M253" s="126" t="s">
        <v>285</v>
      </c>
      <c r="N253" s="149">
        <v>44953.0</v>
      </c>
      <c r="O253" s="150">
        <v>0.6673</v>
      </c>
      <c r="P253" s="150">
        <v>0.0812</v>
      </c>
      <c r="Q253" s="149">
        <v>43577.0</v>
      </c>
      <c r="R253" s="126" t="s">
        <v>320</v>
      </c>
      <c r="S253" s="150">
        <v>0.0</v>
      </c>
      <c r="T253" s="126" t="s">
        <v>276</v>
      </c>
      <c r="U253" s="126" t="s">
        <v>276</v>
      </c>
      <c r="V253" s="150">
        <v>0.0</v>
      </c>
      <c r="W253" s="126"/>
      <c r="X253" s="151">
        <v>2.0</v>
      </c>
      <c r="Y253" s="115"/>
      <c r="Z253" s="115"/>
    </row>
    <row r="254">
      <c r="A254" s="126" t="s">
        <v>2192</v>
      </c>
      <c r="B254" s="126" t="s">
        <v>318</v>
      </c>
      <c r="C254" s="126" t="s">
        <v>2193</v>
      </c>
      <c r="D254" s="126" t="s">
        <v>2194</v>
      </c>
      <c r="E254" s="126" t="s">
        <v>755</v>
      </c>
      <c r="F254" s="126" t="s">
        <v>318</v>
      </c>
      <c r="G254" s="126" t="s">
        <v>2195</v>
      </c>
      <c r="H254" s="126">
        <v>0.0</v>
      </c>
      <c r="I254" s="126" t="s">
        <v>276</v>
      </c>
      <c r="J254" s="126" t="s">
        <v>276</v>
      </c>
      <c r="K254" s="126" t="s">
        <v>318</v>
      </c>
      <c r="L254" s="126"/>
      <c r="M254" s="126" t="s">
        <v>285</v>
      </c>
      <c r="N254" s="149">
        <v>44679.0</v>
      </c>
      <c r="O254" s="150"/>
      <c r="P254" s="150"/>
      <c r="Q254" s="126" t="s">
        <v>276</v>
      </c>
      <c r="R254" s="126" t="s">
        <v>318</v>
      </c>
      <c r="S254" s="126" t="s">
        <v>276</v>
      </c>
      <c r="T254" s="126" t="s">
        <v>276</v>
      </c>
      <c r="U254" s="126" t="s">
        <v>276</v>
      </c>
      <c r="V254" s="150">
        <v>0.0</v>
      </c>
      <c r="W254" s="126"/>
      <c r="X254" s="151">
        <v>50.0</v>
      </c>
      <c r="Y254" s="115"/>
      <c r="Z254" s="115"/>
    </row>
    <row r="255">
      <c r="A255" s="126" t="s">
        <v>2196</v>
      </c>
      <c r="B255" s="126" t="s">
        <v>2197</v>
      </c>
      <c r="C255" s="126" t="s">
        <v>2198</v>
      </c>
      <c r="D255" s="126" t="s">
        <v>1092</v>
      </c>
      <c r="E255" s="126" t="s">
        <v>281</v>
      </c>
      <c r="F255" s="126" t="s">
        <v>2199</v>
      </c>
      <c r="G255" s="126" t="s">
        <v>2200</v>
      </c>
      <c r="H255" s="126">
        <v>0.66</v>
      </c>
      <c r="I255" s="126" t="s">
        <v>276</v>
      </c>
      <c r="J255" s="126" t="s">
        <v>276</v>
      </c>
      <c r="K255" s="126" t="s">
        <v>474</v>
      </c>
      <c r="L255" s="126"/>
      <c r="M255" s="126" t="s">
        <v>285</v>
      </c>
      <c r="N255" s="149">
        <v>44971.0</v>
      </c>
      <c r="O255" s="150">
        <v>0.143</v>
      </c>
      <c r="P255" s="150">
        <v>0.152</v>
      </c>
      <c r="Q255" s="149">
        <v>44235.0</v>
      </c>
      <c r="R255" s="126" t="s">
        <v>286</v>
      </c>
      <c r="S255" s="150">
        <v>-0.0566</v>
      </c>
      <c r="T255" s="126" t="s">
        <v>276</v>
      </c>
      <c r="U255" s="126" t="s">
        <v>276</v>
      </c>
      <c r="V255" s="150">
        <v>0.0</v>
      </c>
      <c r="W255" s="126" t="s">
        <v>2201</v>
      </c>
      <c r="X255" s="151">
        <v>401.0</v>
      </c>
      <c r="Y255" s="115"/>
      <c r="Z255" s="115"/>
    </row>
    <row r="256">
      <c r="A256" s="126" t="s">
        <v>2202</v>
      </c>
      <c r="B256" s="126" t="s">
        <v>2203</v>
      </c>
      <c r="C256" s="126" t="s">
        <v>2204</v>
      </c>
      <c r="D256" s="126" t="s">
        <v>2205</v>
      </c>
      <c r="E256" s="126" t="s">
        <v>292</v>
      </c>
      <c r="F256" s="126" t="s">
        <v>2206</v>
      </c>
      <c r="G256" s="126" t="s">
        <v>2207</v>
      </c>
      <c r="H256" s="126">
        <v>1.02</v>
      </c>
      <c r="I256" s="126" t="s">
        <v>276</v>
      </c>
      <c r="J256" s="126" t="s">
        <v>276</v>
      </c>
      <c r="K256" s="126" t="s">
        <v>869</v>
      </c>
      <c r="L256" s="126"/>
      <c r="M256" s="126" t="s">
        <v>285</v>
      </c>
      <c r="N256" s="149">
        <v>44971.0</v>
      </c>
      <c r="O256" s="150">
        <v>0.1449</v>
      </c>
      <c r="P256" s="150">
        <v>0.0649</v>
      </c>
      <c r="Q256" s="149">
        <v>44782.0</v>
      </c>
      <c r="R256" s="126" t="s">
        <v>286</v>
      </c>
      <c r="S256" s="150">
        <v>0.0102</v>
      </c>
      <c r="T256" s="126" t="s">
        <v>276</v>
      </c>
      <c r="U256" s="126" t="s">
        <v>276</v>
      </c>
      <c r="V256" s="150">
        <v>0.0</v>
      </c>
      <c r="W256" s="126" t="s">
        <v>2208</v>
      </c>
      <c r="X256" s="151">
        <v>1491.0</v>
      </c>
      <c r="Y256" s="115"/>
      <c r="Z256" s="115"/>
    </row>
    <row r="257">
      <c r="A257" s="126" t="s">
        <v>61</v>
      </c>
      <c r="B257" s="126" t="s">
        <v>2209</v>
      </c>
      <c r="C257" s="126" t="s">
        <v>2210</v>
      </c>
      <c r="D257" s="126" t="s">
        <v>2205</v>
      </c>
      <c r="E257" s="126" t="s">
        <v>281</v>
      </c>
      <c r="F257" s="126" t="s">
        <v>2211</v>
      </c>
      <c r="G257" s="126" t="s">
        <v>2212</v>
      </c>
      <c r="H257" s="126">
        <v>0.93</v>
      </c>
      <c r="I257" s="126" t="s">
        <v>276</v>
      </c>
      <c r="J257" s="126" t="s">
        <v>276</v>
      </c>
      <c r="K257" s="126" t="s">
        <v>488</v>
      </c>
      <c r="L257" s="126"/>
      <c r="M257" s="126" t="s">
        <v>285</v>
      </c>
      <c r="N257" s="153">
        <v>44971.0</v>
      </c>
      <c r="O257" s="150">
        <v>0.1526</v>
      </c>
      <c r="P257" s="150">
        <v>0.1548</v>
      </c>
      <c r="Q257" s="149">
        <v>43781.0</v>
      </c>
      <c r="R257" s="126" t="s">
        <v>286</v>
      </c>
      <c r="S257" s="150">
        <v>-0.0119</v>
      </c>
      <c r="T257" s="126" t="s">
        <v>276</v>
      </c>
      <c r="U257" s="126" t="s">
        <v>276</v>
      </c>
      <c r="V257" s="150">
        <v>0.0016</v>
      </c>
      <c r="W257" s="126" t="s">
        <v>2213</v>
      </c>
      <c r="X257" s="151">
        <v>13410.0</v>
      </c>
      <c r="Y257" s="115"/>
      <c r="Z257" s="115"/>
    </row>
    <row r="258">
      <c r="A258" s="126" t="s">
        <v>2214</v>
      </c>
      <c r="B258" s="126" t="s">
        <v>2215</v>
      </c>
      <c r="C258" s="126" t="s">
        <v>2216</v>
      </c>
      <c r="D258" s="126" t="s">
        <v>1899</v>
      </c>
      <c r="E258" s="126" t="s">
        <v>528</v>
      </c>
      <c r="F258" s="126" t="s">
        <v>2217</v>
      </c>
      <c r="G258" s="126" t="s">
        <v>2218</v>
      </c>
      <c r="H258" s="126">
        <v>0.67</v>
      </c>
      <c r="I258" s="126" t="s">
        <v>2219</v>
      </c>
      <c r="J258" s="126" t="s">
        <v>2220</v>
      </c>
      <c r="K258" s="126" t="s">
        <v>845</v>
      </c>
      <c r="L258" s="126" t="s">
        <v>2221</v>
      </c>
      <c r="M258" s="126" t="s">
        <v>2222</v>
      </c>
      <c r="N258" s="149">
        <v>44971.0</v>
      </c>
      <c r="O258" s="150">
        <v>0.1339</v>
      </c>
      <c r="P258" s="150">
        <v>0.1271</v>
      </c>
      <c r="Q258" s="149">
        <v>44260.0</v>
      </c>
      <c r="R258" s="126" t="s">
        <v>286</v>
      </c>
      <c r="S258" s="150">
        <v>-0.0303</v>
      </c>
      <c r="T258" s="150">
        <v>0.0</v>
      </c>
      <c r="U258" s="153">
        <v>44895.0</v>
      </c>
      <c r="V258" s="150">
        <v>0.0</v>
      </c>
      <c r="W258" s="126" t="s">
        <v>2223</v>
      </c>
      <c r="X258" s="151">
        <v>3295.0</v>
      </c>
      <c r="Y258" s="115"/>
      <c r="Z258" s="115"/>
    </row>
    <row r="259">
      <c r="A259" s="126" t="s">
        <v>2224</v>
      </c>
      <c r="B259" s="126" t="s">
        <v>2225</v>
      </c>
      <c r="C259" s="126" t="s">
        <v>2226</v>
      </c>
      <c r="D259" s="126" t="s">
        <v>1067</v>
      </c>
      <c r="E259" s="126" t="s">
        <v>281</v>
      </c>
      <c r="F259" s="126" t="s">
        <v>2227</v>
      </c>
      <c r="G259" s="126" t="s">
        <v>2228</v>
      </c>
      <c r="H259" s="126">
        <v>0.72</v>
      </c>
      <c r="I259" s="126" t="s">
        <v>276</v>
      </c>
      <c r="J259" s="126" t="s">
        <v>276</v>
      </c>
      <c r="K259" s="126" t="s">
        <v>687</v>
      </c>
      <c r="L259" s="126"/>
      <c r="M259" s="126" t="s">
        <v>285</v>
      </c>
      <c r="N259" s="149">
        <v>44964.0</v>
      </c>
      <c r="O259" s="150">
        <v>0.0582</v>
      </c>
      <c r="P259" s="150">
        <v>0.1394</v>
      </c>
      <c r="Q259" s="153">
        <v>40756.0</v>
      </c>
      <c r="R259" s="126" t="s">
        <v>286</v>
      </c>
      <c r="S259" s="150">
        <v>-0.0571</v>
      </c>
      <c r="T259" s="126" t="s">
        <v>276</v>
      </c>
      <c r="U259" s="126" t="s">
        <v>276</v>
      </c>
      <c r="V259" s="150">
        <v>0.0</v>
      </c>
      <c r="W259" s="126" t="s">
        <v>2229</v>
      </c>
      <c r="X259" s="151">
        <v>796.0</v>
      </c>
      <c r="Y259" s="115"/>
      <c r="Z259" s="115"/>
    </row>
    <row r="260">
      <c r="A260" s="126" t="s">
        <v>2230</v>
      </c>
      <c r="B260" s="126" t="s">
        <v>318</v>
      </c>
      <c r="C260" s="126" t="s">
        <v>2231</v>
      </c>
      <c r="D260" s="126" t="s">
        <v>2232</v>
      </c>
      <c r="E260" s="126" t="s">
        <v>367</v>
      </c>
      <c r="F260" s="126" t="s">
        <v>318</v>
      </c>
      <c r="G260" s="126" t="s">
        <v>2233</v>
      </c>
      <c r="H260" s="126">
        <v>0.0</v>
      </c>
      <c r="I260" s="126" t="s">
        <v>276</v>
      </c>
      <c r="J260" s="126" t="s">
        <v>276</v>
      </c>
      <c r="K260" s="126" t="s">
        <v>318</v>
      </c>
      <c r="L260" s="126"/>
      <c r="M260" s="126" t="s">
        <v>285</v>
      </c>
      <c r="N260" s="149">
        <v>44957.0</v>
      </c>
      <c r="O260" s="150"/>
      <c r="P260" s="150"/>
      <c r="Q260" s="149">
        <v>44104.0</v>
      </c>
      <c r="R260" s="126" t="s">
        <v>320</v>
      </c>
      <c r="S260" s="126" t="s">
        <v>276</v>
      </c>
      <c r="T260" s="126" t="s">
        <v>276</v>
      </c>
      <c r="U260" s="126" t="s">
        <v>276</v>
      </c>
      <c r="V260" s="150">
        <v>0.0</v>
      </c>
      <c r="W260" s="126"/>
      <c r="X260" s="151">
        <v>55.0</v>
      </c>
      <c r="Y260" s="115"/>
      <c r="Z260" s="115"/>
    </row>
    <row r="261">
      <c r="A261" s="126" t="s">
        <v>2234</v>
      </c>
      <c r="B261" s="126" t="s">
        <v>318</v>
      </c>
      <c r="C261" s="126" t="s">
        <v>2235</v>
      </c>
      <c r="D261" s="126" t="s">
        <v>2232</v>
      </c>
      <c r="E261" s="126" t="s">
        <v>335</v>
      </c>
      <c r="F261" s="126" t="s">
        <v>318</v>
      </c>
      <c r="G261" s="126" t="s">
        <v>2236</v>
      </c>
      <c r="H261" s="126">
        <v>0.0</v>
      </c>
      <c r="I261" s="126" t="s">
        <v>276</v>
      </c>
      <c r="J261" s="126" t="s">
        <v>276</v>
      </c>
      <c r="K261" s="126" t="s">
        <v>318</v>
      </c>
      <c r="L261" s="126"/>
      <c r="M261" s="126" t="s">
        <v>285</v>
      </c>
      <c r="N261" s="149">
        <v>44957.0</v>
      </c>
      <c r="O261" s="150"/>
      <c r="P261" s="150"/>
      <c r="Q261" s="126" t="s">
        <v>276</v>
      </c>
      <c r="R261" s="126" t="s">
        <v>286</v>
      </c>
      <c r="S261" s="126" t="s">
        <v>276</v>
      </c>
      <c r="T261" s="126" t="s">
        <v>276</v>
      </c>
      <c r="U261" s="126" t="s">
        <v>276</v>
      </c>
      <c r="V261" s="150">
        <v>0.0</v>
      </c>
      <c r="W261" s="126"/>
      <c r="X261" s="151">
        <v>51.0</v>
      </c>
      <c r="Y261" s="115"/>
      <c r="Z261" s="115"/>
    </row>
    <row r="262">
      <c r="A262" s="126" t="s">
        <v>2237</v>
      </c>
      <c r="B262" s="126" t="s">
        <v>286</v>
      </c>
      <c r="C262" s="126" t="s">
        <v>2238</v>
      </c>
      <c r="D262" s="126" t="s">
        <v>2232</v>
      </c>
      <c r="E262" s="126" t="s">
        <v>367</v>
      </c>
      <c r="F262" s="126" t="s">
        <v>2239</v>
      </c>
      <c r="G262" s="126" t="s">
        <v>2240</v>
      </c>
      <c r="H262" s="126">
        <v>1.01</v>
      </c>
      <c r="I262" s="126" t="s">
        <v>2241</v>
      </c>
      <c r="J262" s="126" t="s">
        <v>2242</v>
      </c>
      <c r="K262" s="126" t="s">
        <v>318</v>
      </c>
      <c r="L262" s="126" t="s">
        <v>318</v>
      </c>
      <c r="M262" s="126" t="s">
        <v>2243</v>
      </c>
      <c r="N262" s="149">
        <v>44957.0</v>
      </c>
      <c r="O262" s="150">
        <v>0.0</v>
      </c>
      <c r="P262" s="150"/>
      <c r="Q262" s="149">
        <v>44585.0</v>
      </c>
      <c r="R262" s="126" t="s">
        <v>286</v>
      </c>
      <c r="S262" s="150">
        <v>0.0</v>
      </c>
      <c r="T262" s="126" t="s">
        <v>276</v>
      </c>
      <c r="U262" s="126" t="s">
        <v>276</v>
      </c>
      <c r="V262" s="150">
        <v>0.0</v>
      </c>
      <c r="W262" s="126" t="s">
        <v>547</v>
      </c>
      <c r="X262" s="151">
        <v>23.0</v>
      </c>
      <c r="Y262" s="115"/>
      <c r="Z262" s="115"/>
    </row>
    <row r="263">
      <c r="A263" s="126" t="s">
        <v>221</v>
      </c>
      <c r="B263" s="126" t="s">
        <v>2244</v>
      </c>
      <c r="C263" s="126" t="s">
        <v>2245</v>
      </c>
      <c r="D263" s="126" t="s">
        <v>1067</v>
      </c>
      <c r="E263" s="126" t="s">
        <v>281</v>
      </c>
      <c r="F263" s="126" t="s">
        <v>2246</v>
      </c>
      <c r="G263" s="126" t="s">
        <v>2247</v>
      </c>
      <c r="H263" s="126">
        <v>0.9</v>
      </c>
      <c r="I263" s="126" t="s">
        <v>276</v>
      </c>
      <c r="J263" s="126" t="s">
        <v>276</v>
      </c>
      <c r="K263" s="126" t="s">
        <v>2248</v>
      </c>
      <c r="L263" s="126"/>
      <c r="M263" s="126" t="s">
        <v>285</v>
      </c>
      <c r="N263" s="149">
        <v>44964.0</v>
      </c>
      <c r="O263" s="150">
        <v>0.1651</v>
      </c>
      <c r="P263" s="150">
        <v>0.1664</v>
      </c>
      <c r="Q263" s="149">
        <v>41278.0</v>
      </c>
      <c r="R263" s="126" t="s">
        <v>286</v>
      </c>
      <c r="S263" s="150">
        <v>-0.0376</v>
      </c>
      <c r="T263" s="126" t="s">
        <v>276</v>
      </c>
      <c r="U263" s="126" t="s">
        <v>276</v>
      </c>
      <c r="V263" s="150">
        <v>0.0031</v>
      </c>
      <c r="W263" s="126" t="s">
        <v>2249</v>
      </c>
      <c r="X263" s="151">
        <v>22564.0</v>
      </c>
      <c r="Y263" s="115"/>
      <c r="Z263" s="115"/>
    </row>
    <row r="264">
      <c r="A264" s="126" t="s">
        <v>154</v>
      </c>
      <c r="B264" s="126" t="s">
        <v>2250</v>
      </c>
      <c r="C264" s="126" t="s">
        <v>2251</v>
      </c>
      <c r="D264" s="126" t="s">
        <v>874</v>
      </c>
      <c r="E264" s="126" t="s">
        <v>528</v>
      </c>
      <c r="F264" s="126" t="s">
        <v>2252</v>
      </c>
      <c r="G264" s="126" t="s">
        <v>2253</v>
      </c>
      <c r="H264" s="126">
        <v>0.92</v>
      </c>
      <c r="I264" s="126" t="s">
        <v>2254</v>
      </c>
      <c r="J264" s="126" t="s">
        <v>2255</v>
      </c>
      <c r="K264" s="126" t="s">
        <v>2102</v>
      </c>
      <c r="L264" s="126" t="s">
        <v>2256</v>
      </c>
      <c r="M264" s="126" t="s">
        <v>2257</v>
      </c>
      <c r="N264" s="149">
        <v>44971.0</v>
      </c>
      <c r="O264" s="150">
        <v>0.1052</v>
      </c>
      <c r="P264" s="150">
        <v>0.0959</v>
      </c>
      <c r="Q264" s="149">
        <v>44042.0</v>
      </c>
      <c r="R264" s="126" t="s">
        <v>286</v>
      </c>
      <c r="S264" s="150">
        <v>-0.0516</v>
      </c>
      <c r="T264" s="150">
        <v>0.0</v>
      </c>
      <c r="U264" s="126" t="s">
        <v>276</v>
      </c>
      <c r="V264" s="150">
        <v>0.0</v>
      </c>
      <c r="W264" s="126" t="s">
        <v>2258</v>
      </c>
      <c r="X264" s="151">
        <v>465.0</v>
      </c>
      <c r="Y264" s="115"/>
      <c r="Z264" s="115"/>
    </row>
    <row r="265">
      <c r="A265" s="126" t="s">
        <v>181</v>
      </c>
      <c r="B265" s="126" t="s">
        <v>2259</v>
      </c>
      <c r="C265" s="126" t="s">
        <v>2260</v>
      </c>
      <c r="D265" s="126"/>
      <c r="E265" s="126" t="s">
        <v>267</v>
      </c>
      <c r="F265" s="126" t="s">
        <v>2261</v>
      </c>
      <c r="G265" s="126" t="s">
        <v>2262</v>
      </c>
      <c r="H265" s="126">
        <v>0.65</v>
      </c>
      <c r="I265" s="126" t="s">
        <v>2263</v>
      </c>
      <c r="J265" s="126" t="s">
        <v>2264</v>
      </c>
      <c r="K265" s="126" t="s">
        <v>2265</v>
      </c>
      <c r="L265" s="126" t="s">
        <v>2266</v>
      </c>
      <c r="M265" s="126" t="s">
        <v>2267</v>
      </c>
      <c r="N265" s="149">
        <v>44974.0</v>
      </c>
      <c r="O265" s="150">
        <v>0.0633</v>
      </c>
      <c r="P265" s="150">
        <v>0.0908</v>
      </c>
      <c r="Q265" s="149">
        <v>40164.0</v>
      </c>
      <c r="R265" s="126" t="s">
        <v>320</v>
      </c>
      <c r="S265" s="150">
        <v>-0.0603</v>
      </c>
      <c r="T265" s="150">
        <v>0.01</v>
      </c>
      <c r="U265" s="126" t="s">
        <v>276</v>
      </c>
      <c r="V265" s="150">
        <v>0.0</v>
      </c>
      <c r="W265" s="126" t="s">
        <v>2268</v>
      </c>
      <c r="X265" s="151">
        <v>4005.0</v>
      </c>
      <c r="Y265" s="115"/>
      <c r="Z265" s="115"/>
    </row>
    <row r="266">
      <c r="A266" s="126" t="s">
        <v>2269</v>
      </c>
      <c r="B266" s="126" t="s">
        <v>1540</v>
      </c>
      <c r="C266" s="126" t="s">
        <v>2270</v>
      </c>
      <c r="D266" s="126" t="s">
        <v>2271</v>
      </c>
      <c r="E266" s="126" t="s">
        <v>655</v>
      </c>
      <c r="F266" s="126" t="s">
        <v>2272</v>
      </c>
      <c r="G266" s="126" t="s">
        <v>2273</v>
      </c>
      <c r="H266" s="126">
        <v>0.4</v>
      </c>
      <c r="I266" s="126" t="s">
        <v>2274</v>
      </c>
      <c r="J266" s="126" t="s">
        <v>2275</v>
      </c>
      <c r="K266" s="126" t="s">
        <v>2112</v>
      </c>
      <c r="L266" s="126" t="s">
        <v>2276</v>
      </c>
      <c r="M266" s="126" t="s">
        <v>2277</v>
      </c>
      <c r="N266" s="149">
        <v>44939.0</v>
      </c>
      <c r="O266" s="150">
        <v>1.8237</v>
      </c>
      <c r="P266" s="150">
        <v>0.0904</v>
      </c>
      <c r="Q266" s="149">
        <v>40750.0</v>
      </c>
      <c r="R266" s="126" t="s">
        <v>2278</v>
      </c>
      <c r="S266" s="150">
        <v>-0.1403</v>
      </c>
      <c r="T266" s="126" t="s">
        <v>276</v>
      </c>
      <c r="U266" s="126" t="s">
        <v>276</v>
      </c>
      <c r="V266" s="150">
        <v>0.0</v>
      </c>
      <c r="W266" s="126" t="s">
        <v>2279</v>
      </c>
      <c r="X266" s="151">
        <v>763.0</v>
      </c>
      <c r="Y266" s="115"/>
      <c r="Z266" s="115"/>
    </row>
    <row r="267">
      <c r="A267" s="126" t="s">
        <v>198</v>
      </c>
      <c r="B267" s="126" t="s">
        <v>2280</v>
      </c>
      <c r="C267" s="126" t="s">
        <v>2281</v>
      </c>
      <c r="D267" s="126" t="s">
        <v>399</v>
      </c>
      <c r="E267" s="126" t="s">
        <v>301</v>
      </c>
      <c r="F267" s="126" t="s">
        <v>2282</v>
      </c>
      <c r="G267" s="126" t="s">
        <v>2283</v>
      </c>
      <c r="H267" s="126">
        <v>0.6</v>
      </c>
      <c r="I267" s="126" t="s">
        <v>2284</v>
      </c>
      <c r="J267" s="126" t="s">
        <v>2285</v>
      </c>
      <c r="K267" s="126" t="s">
        <v>318</v>
      </c>
      <c r="L267" s="126" t="s">
        <v>318</v>
      </c>
      <c r="M267" s="126" t="s">
        <v>2286</v>
      </c>
      <c r="N267" s="149">
        <v>44957.0</v>
      </c>
      <c r="O267" s="150">
        <v>0.0</v>
      </c>
      <c r="P267" s="150"/>
      <c r="Q267" s="149">
        <v>40301.0</v>
      </c>
      <c r="R267" s="126" t="s">
        <v>320</v>
      </c>
      <c r="S267" s="150">
        <v>-0.1023</v>
      </c>
      <c r="T267" s="150">
        <v>1.0</v>
      </c>
      <c r="U267" s="149">
        <v>44074.0</v>
      </c>
      <c r="V267" s="150">
        <v>0.0</v>
      </c>
      <c r="W267" s="126" t="s">
        <v>2287</v>
      </c>
      <c r="X267" s="151">
        <v>1025.0</v>
      </c>
      <c r="Y267" s="115"/>
      <c r="Z267" s="115"/>
    </row>
    <row r="268">
      <c r="A268" s="126" t="s">
        <v>2288</v>
      </c>
      <c r="B268" s="126" t="s">
        <v>318</v>
      </c>
      <c r="C268" s="126" t="s">
        <v>2289</v>
      </c>
      <c r="D268" s="126" t="s">
        <v>1838</v>
      </c>
      <c r="E268" s="126" t="s">
        <v>267</v>
      </c>
      <c r="F268" s="126" t="s">
        <v>2290</v>
      </c>
      <c r="G268" s="126" t="s">
        <v>2291</v>
      </c>
      <c r="H268" s="126">
        <v>17.91</v>
      </c>
      <c r="I268" s="126" t="s">
        <v>2292</v>
      </c>
      <c r="J268" s="126" t="s">
        <v>2293</v>
      </c>
      <c r="K268" s="126" t="s">
        <v>404</v>
      </c>
      <c r="L268" s="126" t="s">
        <v>2294</v>
      </c>
      <c r="M268" s="126" t="s">
        <v>2295</v>
      </c>
      <c r="N268" s="149">
        <v>44699.0</v>
      </c>
      <c r="O268" s="150">
        <v>0.8984</v>
      </c>
      <c r="P268" s="150">
        <v>0.0549</v>
      </c>
      <c r="Q268" s="153">
        <v>42724.0</v>
      </c>
      <c r="R268" s="126" t="s">
        <v>488</v>
      </c>
      <c r="S268" s="150">
        <v>0.0</v>
      </c>
      <c r="T268" s="126" t="s">
        <v>276</v>
      </c>
      <c r="U268" s="126" t="s">
        <v>276</v>
      </c>
      <c r="V268" s="150">
        <v>0.0</v>
      </c>
      <c r="W268" s="126"/>
      <c r="X268" s="151">
        <v>11.0</v>
      </c>
      <c r="Y268" s="115"/>
      <c r="Z268" s="115"/>
    </row>
    <row r="269">
      <c r="A269" s="126" t="s">
        <v>2296</v>
      </c>
      <c r="B269" s="126" t="s">
        <v>318</v>
      </c>
      <c r="C269" s="126" t="s">
        <v>2297</v>
      </c>
      <c r="D269" s="126" t="s">
        <v>2298</v>
      </c>
      <c r="E269" s="126" t="s">
        <v>335</v>
      </c>
      <c r="F269" s="126" t="s">
        <v>318</v>
      </c>
      <c r="G269" s="126" t="s">
        <v>2299</v>
      </c>
      <c r="H269" s="126">
        <v>0.0</v>
      </c>
      <c r="I269" s="126" t="s">
        <v>276</v>
      </c>
      <c r="J269" s="126" t="s">
        <v>276</v>
      </c>
      <c r="K269" s="126" t="s">
        <v>318</v>
      </c>
      <c r="L269" s="126"/>
      <c r="M269" s="126" t="s">
        <v>285</v>
      </c>
      <c r="N269" s="149">
        <v>44957.0</v>
      </c>
      <c r="O269" s="150"/>
      <c r="P269" s="150"/>
      <c r="Q269" s="126" t="s">
        <v>276</v>
      </c>
      <c r="R269" s="126" t="s">
        <v>318</v>
      </c>
      <c r="S269" s="126" t="s">
        <v>276</v>
      </c>
      <c r="T269" s="126" t="s">
        <v>276</v>
      </c>
      <c r="U269" s="126" t="s">
        <v>276</v>
      </c>
      <c r="V269" s="150">
        <v>0.0</v>
      </c>
      <c r="W269" s="126"/>
      <c r="X269" s="151">
        <v>20.0</v>
      </c>
      <c r="Y269" s="115"/>
      <c r="Z269" s="115"/>
    </row>
    <row r="270">
      <c r="A270" s="126" t="s">
        <v>2300</v>
      </c>
      <c r="B270" s="126" t="s">
        <v>2301</v>
      </c>
      <c r="C270" s="126" t="s">
        <v>2302</v>
      </c>
      <c r="D270" s="126" t="s">
        <v>2064</v>
      </c>
      <c r="E270" s="126" t="s">
        <v>335</v>
      </c>
      <c r="F270" s="126" t="s">
        <v>2303</v>
      </c>
      <c r="G270" s="126" t="s">
        <v>2304</v>
      </c>
      <c r="H270" s="126">
        <v>1.18</v>
      </c>
      <c r="I270" s="126" t="s">
        <v>2305</v>
      </c>
      <c r="J270" s="126" t="s">
        <v>2306</v>
      </c>
      <c r="K270" s="126" t="s">
        <v>750</v>
      </c>
      <c r="L270" s="126" t="s">
        <v>2307</v>
      </c>
      <c r="M270" s="126" t="s">
        <v>2308</v>
      </c>
      <c r="N270" s="149">
        <v>44756.0</v>
      </c>
      <c r="O270" s="150">
        <v>0.1917</v>
      </c>
      <c r="P270" s="150">
        <v>0.0576</v>
      </c>
      <c r="Q270" s="153">
        <v>44526.0</v>
      </c>
      <c r="R270" s="126" t="s">
        <v>2309</v>
      </c>
      <c r="S270" s="150">
        <v>0.0</v>
      </c>
      <c r="T270" s="150">
        <v>0.01</v>
      </c>
      <c r="U270" s="126" t="s">
        <v>276</v>
      </c>
      <c r="V270" s="150">
        <v>0.0</v>
      </c>
      <c r="W270" s="126"/>
      <c r="X270" s="151">
        <v>1.0</v>
      </c>
      <c r="Y270" s="115"/>
      <c r="Z270" s="115"/>
    </row>
    <row r="271">
      <c r="A271" s="126" t="s">
        <v>148</v>
      </c>
      <c r="B271" s="126" t="s">
        <v>2310</v>
      </c>
      <c r="C271" s="126" t="s">
        <v>2311</v>
      </c>
      <c r="D271" s="126" t="s">
        <v>866</v>
      </c>
      <c r="E271" s="126" t="s">
        <v>301</v>
      </c>
      <c r="F271" s="126" t="s">
        <v>2312</v>
      </c>
      <c r="G271" s="126" t="s">
        <v>2313</v>
      </c>
      <c r="H271" s="126">
        <v>0.84</v>
      </c>
      <c r="I271" s="126" t="s">
        <v>2314</v>
      </c>
      <c r="J271" s="126" t="s">
        <v>2315</v>
      </c>
      <c r="K271" s="126" t="s">
        <v>852</v>
      </c>
      <c r="L271" s="126" t="s">
        <v>2316</v>
      </c>
      <c r="M271" s="126" t="s">
        <v>2317</v>
      </c>
      <c r="N271" s="149">
        <v>44964.0</v>
      </c>
      <c r="O271" s="150">
        <v>0.0881</v>
      </c>
      <c r="P271" s="150">
        <v>0.0788</v>
      </c>
      <c r="Q271" s="153">
        <v>44041.0</v>
      </c>
      <c r="R271" s="126" t="s">
        <v>286</v>
      </c>
      <c r="S271" s="150">
        <v>-0.0787</v>
      </c>
      <c r="T271" s="150">
        <v>0.0</v>
      </c>
      <c r="U271" s="149">
        <v>44225.0</v>
      </c>
      <c r="V271" s="150">
        <v>0.0086</v>
      </c>
      <c r="W271" s="126" t="s">
        <v>2318</v>
      </c>
      <c r="X271" s="151">
        <v>88760.0</v>
      </c>
      <c r="Y271" s="115"/>
      <c r="Z271" s="115"/>
    </row>
    <row r="272">
      <c r="A272" s="126" t="s">
        <v>62</v>
      </c>
      <c r="B272" s="126" t="s">
        <v>2319</v>
      </c>
      <c r="C272" s="126" t="s">
        <v>2320</v>
      </c>
      <c r="D272" s="126" t="s">
        <v>2321</v>
      </c>
      <c r="E272" s="126" t="s">
        <v>292</v>
      </c>
      <c r="F272" s="126" t="s">
        <v>2322</v>
      </c>
      <c r="G272" s="126" t="s">
        <v>2323</v>
      </c>
      <c r="H272" s="126">
        <v>0.74</v>
      </c>
      <c r="I272" s="126" t="s">
        <v>276</v>
      </c>
      <c r="J272" s="126" t="s">
        <v>276</v>
      </c>
      <c r="K272" s="126" t="s">
        <v>2324</v>
      </c>
      <c r="L272" s="126"/>
      <c r="M272" s="126" t="s">
        <v>285</v>
      </c>
      <c r="N272" s="149">
        <v>44965.0</v>
      </c>
      <c r="O272" s="150">
        <v>0.1292</v>
      </c>
      <c r="P272" s="150">
        <v>0.117</v>
      </c>
      <c r="Q272" s="149">
        <v>43781.0</v>
      </c>
      <c r="R272" s="126" t="s">
        <v>286</v>
      </c>
      <c r="S272" s="150">
        <v>-0.0413</v>
      </c>
      <c r="T272" s="150">
        <v>0.0</v>
      </c>
      <c r="U272" s="126" t="s">
        <v>276</v>
      </c>
      <c r="V272" s="150">
        <v>0.002</v>
      </c>
      <c r="W272" s="126" t="s">
        <v>2325</v>
      </c>
      <c r="X272" s="151">
        <v>24367.0</v>
      </c>
      <c r="Y272" s="115"/>
      <c r="Z272" s="115"/>
    </row>
    <row r="273">
      <c r="A273" s="126" t="s">
        <v>2326</v>
      </c>
      <c r="B273" s="126" t="s">
        <v>2327</v>
      </c>
      <c r="C273" s="126" t="s">
        <v>2328</v>
      </c>
      <c r="D273" s="126" t="s">
        <v>2321</v>
      </c>
      <c r="E273" s="126" t="s">
        <v>281</v>
      </c>
      <c r="F273" s="126" t="s">
        <v>2329</v>
      </c>
      <c r="G273" s="126" t="s">
        <v>2330</v>
      </c>
      <c r="H273" s="126">
        <v>0.87</v>
      </c>
      <c r="I273" s="126" t="s">
        <v>276</v>
      </c>
      <c r="J273" s="126" t="s">
        <v>276</v>
      </c>
      <c r="K273" s="126" t="s">
        <v>418</v>
      </c>
      <c r="L273" s="126"/>
      <c r="M273" s="126" t="s">
        <v>285</v>
      </c>
      <c r="N273" s="149">
        <v>44971.0</v>
      </c>
      <c r="O273" s="150">
        <v>0.1436</v>
      </c>
      <c r="P273" s="150">
        <v>0.1568</v>
      </c>
      <c r="Q273" s="153">
        <v>44295.0</v>
      </c>
      <c r="R273" s="126" t="s">
        <v>286</v>
      </c>
      <c r="S273" s="150">
        <v>-0.0121</v>
      </c>
      <c r="T273" s="126" t="s">
        <v>276</v>
      </c>
      <c r="U273" s="126" t="s">
        <v>276</v>
      </c>
      <c r="V273" s="150">
        <v>0.0</v>
      </c>
      <c r="W273" s="126" t="s">
        <v>2331</v>
      </c>
      <c r="X273" s="151">
        <v>1498.0</v>
      </c>
      <c r="Y273" s="115"/>
      <c r="Z273" s="115"/>
    </row>
    <row r="274">
      <c r="A274" s="126" t="s">
        <v>2332</v>
      </c>
      <c r="B274" s="126" t="s">
        <v>318</v>
      </c>
      <c r="C274" s="126" t="s">
        <v>2333</v>
      </c>
      <c r="D274" s="126" t="s">
        <v>2321</v>
      </c>
      <c r="E274" s="126" t="s">
        <v>281</v>
      </c>
      <c r="F274" s="126" t="s">
        <v>318</v>
      </c>
      <c r="G274" s="126" t="s">
        <v>276</v>
      </c>
      <c r="H274" s="126" t="s">
        <v>276</v>
      </c>
      <c r="I274" s="126" t="s">
        <v>276</v>
      </c>
      <c r="J274" s="126" t="s">
        <v>276</v>
      </c>
      <c r="K274" s="126"/>
      <c r="L274" s="126"/>
      <c r="M274" s="126" t="s">
        <v>285</v>
      </c>
      <c r="N274" s="149"/>
      <c r="O274" s="150"/>
      <c r="P274" s="150"/>
      <c r="Q274" s="126" t="s">
        <v>276</v>
      </c>
      <c r="R274" s="126" t="s">
        <v>286</v>
      </c>
      <c r="S274" s="126" t="s">
        <v>276</v>
      </c>
      <c r="T274" s="126" t="s">
        <v>276</v>
      </c>
      <c r="U274" s="126" t="s">
        <v>276</v>
      </c>
      <c r="V274" s="150">
        <v>0.0</v>
      </c>
      <c r="W274" s="126"/>
      <c r="X274" s="151"/>
      <c r="Y274" s="115"/>
      <c r="Z274" s="115"/>
    </row>
    <row r="275">
      <c r="A275" s="126" t="s">
        <v>2334</v>
      </c>
      <c r="B275" s="126" t="s">
        <v>2335</v>
      </c>
      <c r="C275" s="126" t="s">
        <v>2336</v>
      </c>
      <c r="D275" s="126" t="s">
        <v>874</v>
      </c>
      <c r="E275" s="126" t="s">
        <v>655</v>
      </c>
      <c r="F275" s="126" t="s">
        <v>2337</v>
      </c>
      <c r="G275" s="126" t="s">
        <v>2338</v>
      </c>
      <c r="H275" s="126">
        <v>0.19</v>
      </c>
      <c r="I275" s="126" t="s">
        <v>276</v>
      </c>
      <c r="J275" s="126" t="s">
        <v>276</v>
      </c>
      <c r="K275" s="126" t="s">
        <v>318</v>
      </c>
      <c r="L275" s="126"/>
      <c r="M275" s="126" t="s">
        <v>285</v>
      </c>
      <c r="N275" s="149">
        <v>44957.0</v>
      </c>
      <c r="O275" s="150">
        <v>0.0</v>
      </c>
      <c r="P275" s="150"/>
      <c r="Q275" s="149">
        <v>40406.0</v>
      </c>
      <c r="R275" s="126" t="s">
        <v>320</v>
      </c>
      <c r="S275" s="150">
        <v>0.52</v>
      </c>
      <c r="T275" s="126" t="s">
        <v>276</v>
      </c>
      <c r="U275" s="126" t="s">
        <v>276</v>
      </c>
      <c r="V275" s="150">
        <v>0.0</v>
      </c>
      <c r="W275" s="126" t="s">
        <v>2339</v>
      </c>
      <c r="X275" s="151">
        <v>961.0</v>
      </c>
      <c r="Y275" s="115"/>
      <c r="Z275" s="115"/>
    </row>
    <row r="276">
      <c r="A276" s="126" t="s">
        <v>92</v>
      </c>
      <c r="B276" s="126" t="s">
        <v>2340</v>
      </c>
      <c r="C276" s="126" t="s">
        <v>2341</v>
      </c>
      <c r="D276" s="126" t="s">
        <v>266</v>
      </c>
      <c r="E276" s="126" t="s">
        <v>1102</v>
      </c>
      <c r="F276" s="126" t="s">
        <v>2342</v>
      </c>
      <c r="G276" s="126" t="s">
        <v>2343</v>
      </c>
      <c r="H276" s="126">
        <v>0.81</v>
      </c>
      <c r="I276" s="126" t="s">
        <v>2344</v>
      </c>
      <c r="J276" s="126" t="s">
        <v>2345</v>
      </c>
      <c r="K276" s="126" t="s">
        <v>2346</v>
      </c>
      <c r="L276" s="126" t="s">
        <v>2347</v>
      </c>
      <c r="M276" s="126" t="s">
        <v>2348</v>
      </c>
      <c r="N276" s="149">
        <v>44971.0</v>
      </c>
      <c r="O276" s="150">
        <v>0.1366</v>
      </c>
      <c r="P276" s="150">
        <v>0.122</v>
      </c>
      <c r="Q276" s="149">
        <v>40806.0</v>
      </c>
      <c r="R276" s="126" t="s">
        <v>286</v>
      </c>
      <c r="S276" s="150">
        <v>-0.0017</v>
      </c>
      <c r="T276" s="150">
        <v>0.0</v>
      </c>
      <c r="U276" s="153">
        <v>43069.0</v>
      </c>
      <c r="V276" s="150">
        <v>0.0</v>
      </c>
      <c r="W276" s="126" t="s">
        <v>2349</v>
      </c>
      <c r="X276" s="151">
        <v>12791.0</v>
      </c>
      <c r="Y276" s="115"/>
      <c r="Z276" s="115"/>
    </row>
    <row r="277">
      <c r="A277" s="126" t="s">
        <v>223</v>
      </c>
      <c r="B277" s="126" t="s">
        <v>2350</v>
      </c>
      <c r="C277" s="126" t="s">
        <v>2351</v>
      </c>
      <c r="D277" s="126" t="s">
        <v>266</v>
      </c>
      <c r="E277" s="126" t="s">
        <v>328</v>
      </c>
      <c r="F277" s="126" t="s">
        <v>2352</v>
      </c>
      <c r="G277" s="126" t="s">
        <v>2353</v>
      </c>
      <c r="H277" s="126">
        <v>0.79</v>
      </c>
      <c r="I277" s="126" t="s">
        <v>276</v>
      </c>
      <c r="J277" s="126" t="s">
        <v>276</v>
      </c>
      <c r="K277" s="126" t="s">
        <v>1729</v>
      </c>
      <c r="L277" s="126"/>
      <c r="M277" s="126" t="s">
        <v>285</v>
      </c>
      <c r="N277" s="149">
        <v>44972.0</v>
      </c>
      <c r="O277" s="150">
        <v>0.1262</v>
      </c>
      <c r="P277" s="150">
        <v>0.1212</v>
      </c>
      <c r="Q277" s="149">
        <v>41425.0</v>
      </c>
      <c r="R277" s="126" t="s">
        <v>286</v>
      </c>
      <c r="S277" s="150">
        <v>-0.0702</v>
      </c>
      <c r="T277" s="126" t="s">
        <v>276</v>
      </c>
      <c r="U277" s="126" t="s">
        <v>276</v>
      </c>
      <c r="V277" s="150">
        <v>0.0018</v>
      </c>
      <c r="W277" s="126" t="s">
        <v>2354</v>
      </c>
      <c r="X277" s="151">
        <v>20221.0</v>
      </c>
      <c r="Y277" s="115"/>
      <c r="Z277" s="115"/>
    </row>
    <row r="278">
      <c r="A278" s="126" t="s">
        <v>244</v>
      </c>
      <c r="B278" s="126" t="s">
        <v>2355</v>
      </c>
      <c r="C278" s="126" t="s">
        <v>2356</v>
      </c>
      <c r="D278" s="126" t="s">
        <v>266</v>
      </c>
      <c r="E278" s="126" t="s">
        <v>281</v>
      </c>
      <c r="F278" s="126" t="s">
        <v>2357</v>
      </c>
      <c r="G278" s="126" t="s">
        <v>2358</v>
      </c>
      <c r="H278" s="126">
        <v>0.9</v>
      </c>
      <c r="I278" s="126" t="s">
        <v>276</v>
      </c>
      <c r="J278" s="126" t="s">
        <v>276</v>
      </c>
      <c r="K278" s="126" t="s">
        <v>488</v>
      </c>
      <c r="L278" s="126"/>
      <c r="M278" s="126" t="s">
        <v>285</v>
      </c>
      <c r="N278" s="149">
        <v>44971.0</v>
      </c>
      <c r="O278" s="150">
        <v>0.1546</v>
      </c>
      <c r="P278" s="150">
        <v>0.1705</v>
      </c>
      <c r="Q278" s="149">
        <v>43591.0</v>
      </c>
      <c r="R278" s="126" t="s">
        <v>286</v>
      </c>
      <c r="S278" s="150">
        <v>-0.0357</v>
      </c>
      <c r="T278" s="126" t="s">
        <v>276</v>
      </c>
      <c r="U278" s="126" t="s">
        <v>276</v>
      </c>
      <c r="V278" s="150">
        <v>0.0014</v>
      </c>
      <c r="W278" s="126" t="s">
        <v>2359</v>
      </c>
      <c r="X278" s="151">
        <v>7576.0</v>
      </c>
      <c r="Y278" s="115"/>
      <c r="Z278" s="115"/>
    </row>
    <row r="279">
      <c r="A279" s="126" t="s">
        <v>2360</v>
      </c>
      <c r="B279" s="126" t="s">
        <v>2361</v>
      </c>
      <c r="C279" s="126" t="s">
        <v>2362</v>
      </c>
      <c r="D279" s="126" t="s">
        <v>266</v>
      </c>
      <c r="E279" s="126" t="s">
        <v>281</v>
      </c>
      <c r="F279" s="126" t="s">
        <v>2363</v>
      </c>
      <c r="G279" s="126" t="s">
        <v>2364</v>
      </c>
      <c r="H279" s="126">
        <v>1.01</v>
      </c>
      <c r="I279" s="126" t="s">
        <v>276</v>
      </c>
      <c r="J279" s="126" t="s">
        <v>276</v>
      </c>
      <c r="K279" s="126" t="s">
        <v>1454</v>
      </c>
      <c r="L279" s="126"/>
      <c r="M279" s="126" t="s">
        <v>285</v>
      </c>
      <c r="N279" s="149">
        <v>44971.0</v>
      </c>
      <c r="O279" s="150">
        <v>0.1606</v>
      </c>
      <c r="P279" s="150">
        <v>0.1655</v>
      </c>
      <c r="Q279" s="149">
        <v>44228.0</v>
      </c>
      <c r="R279" s="126" t="s">
        <v>286</v>
      </c>
      <c r="S279" s="150">
        <v>-0.0095</v>
      </c>
      <c r="T279" s="126" t="s">
        <v>276</v>
      </c>
      <c r="U279" s="126" t="s">
        <v>276</v>
      </c>
      <c r="V279" s="150">
        <v>0.0</v>
      </c>
      <c r="W279" s="126" t="s">
        <v>2365</v>
      </c>
      <c r="X279" s="151">
        <v>3713.0</v>
      </c>
      <c r="Y279" s="115"/>
      <c r="Z279" s="115"/>
    </row>
    <row r="280">
      <c r="A280" s="126" t="s">
        <v>2366</v>
      </c>
      <c r="B280" s="126" t="s">
        <v>2367</v>
      </c>
      <c r="C280" s="126" t="s">
        <v>2368</v>
      </c>
      <c r="D280" s="126" t="s">
        <v>874</v>
      </c>
      <c r="E280" s="126" t="s">
        <v>655</v>
      </c>
      <c r="F280" s="126" t="s">
        <v>2369</v>
      </c>
      <c r="G280" s="126" t="s">
        <v>2370</v>
      </c>
      <c r="H280" s="126">
        <v>0.63</v>
      </c>
      <c r="I280" s="126" t="s">
        <v>276</v>
      </c>
      <c r="J280" s="126" t="s">
        <v>276</v>
      </c>
      <c r="K280" s="126" t="s">
        <v>2371</v>
      </c>
      <c r="L280" s="126"/>
      <c r="M280" s="126" t="s">
        <v>285</v>
      </c>
      <c r="N280" s="149">
        <v>44756.0</v>
      </c>
      <c r="O280" s="150">
        <v>0.049</v>
      </c>
      <c r="P280" s="150">
        <v>0.004</v>
      </c>
      <c r="Q280" s="149">
        <v>43893.0</v>
      </c>
      <c r="R280" s="126" t="s">
        <v>286</v>
      </c>
      <c r="S280" s="150">
        <v>-0.0528</v>
      </c>
      <c r="T280" s="126" t="s">
        <v>276</v>
      </c>
      <c r="U280" s="126" t="s">
        <v>276</v>
      </c>
      <c r="V280" s="150">
        <v>0.0</v>
      </c>
      <c r="W280" s="126" t="s">
        <v>2372</v>
      </c>
      <c r="X280" s="151">
        <v>1415.0</v>
      </c>
      <c r="Y280" s="115"/>
      <c r="Z280" s="115"/>
    </row>
    <row r="281">
      <c r="A281" s="126" t="s">
        <v>2373</v>
      </c>
      <c r="B281" s="126" t="s">
        <v>2374</v>
      </c>
      <c r="C281" s="126" t="s">
        <v>2375</v>
      </c>
      <c r="D281" s="126" t="s">
        <v>874</v>
      </c>
      <c r="E281" s="126" t="s">
        <v>528</v>
      </c>
      <c r="F281" s="126" t="s">
        <v>2376</v>
      </c>
      <c r="G281" s="126" t="s">
        <v>2377</v>
      </c>
      <c r="H281" s="126">
        <v>0.95</v>
      </c>
      <c r="I281" s="126" t="s">
        <v>2378</v>
      </c>
      <c r="J281" s="126" t="s">
        <v>2379</v>
      </c>
      <c r="K281" s="126" t="s">
        <v>2380</v>
      </c>
      <c r="L281" s="126" t="s">
        <v>2381</v>
      </c>
      <c r="M281" s="126" t="s">
        <v>2382</v>
      </c>
      <c r="N281" s="153">
        <v>44263.0</v>
      </c>
      <c r="O281" s="150">
        <v>0.0426</v>
      </c>
      <c r="P281" s="150"/>
      <c r="Q281" s="149">
        <v>44281.0</v>
      </c>
      <c r="R281" s="126" t="s">
        <v>320</v>
      </c>
      <c r="S281" s="150">
        <v>-0.0187</v>
      </c>
      <c r="T281" s="150">
        <v>0.0</v>
      </c>
      <c r="U281" s="126" t="s">
        <v>276</v>
      </c>
      <c r="V281" s="150">
        <v>0.0</v>
      </c>
      <c r="W281" s="126" t="s">
        <v>2383</v>
      </c>
      <c r="X281" s="151">
        <v>178.0</v>
      </c>
      <c r="Y281" s="115"/>
      <c r="Z281" s="115"/>
    </row>
    <row r="282">
      <c r="A282" s="126" t="s">
        <v>2384</v>
      </c>
      <c r="B282" s="126" t="s">
        <v>2385</v>
      </c>
      <c r="C282" s="126" t="s">
        <v>2386</v>
      </c>
      <c r="D282" s="126" t="s">
        <v>266</v>
      </c>
      <c r="E282" s="126" t="s">
        <v>423</v>
      </c>
      <c r="F282" s="126" t="s">
        <v>2387</v>
      </c>
      <c r="G282" s="126" t="s">
        <v>2388</v>
      </c>
      <c r="H282" s="126">
        <v>0.67</v>
      </c>
      <c r="I282" s="126" t="s">
        <v>2389</v>
      </c>
      <c r="J282" s="126" t="s">
        <v>2390</v>
      </c>
      <c r="K282" s="126" t="s">
        <v>2391</v>
      </c>
      <c r="L282" s="126" t="s">
        <v>2392</v>
      </c>
      <c r="M282" s="126" t="s">
        <v>2393</v>
      </c>
      <c r="N282" s="149">
        <v>44972.0</v>
      </c>
      <c r="O282" s="150">
        <v>0.2084</v>
      </c>
      <c r="P282" s="150">
        <v>0.2457</v>
      </c>
      <c r="Q282" s="149">
        <v>40716.0</v>
      </c>
      <c r="R282" s="126" t="s">
        <v>320</v>
      </c>
      <c r="S282" s="150">
        <v>-0.1642</v>
      </c>
      <c r="T282" s="150">
        <v>0.04</v>
      </c>
      <c r="U282" s="126" t="s">
        <v>276</v>
      </c>
      <c r="V282" s="150">
        <v>0.0</v>
      </c>
      <c r="W282" s="126" t="s">
        <v>2394</v>
      </c>
      <c r="X282" s="151">
        <v>3646.0</v>
      </c>
      <c r="Y282" s="115"/>
      <c r="Z282" s="115"/>
    </row>
    <row r="283">
      <c r="A283" s="126" t="s">
        <v>2395</v>
      </c>
      <c r="B283" s="126" t="s">
        <v>2396</v>
      </c>
      <c r="C283" s="126" t="s">
        <v>2397</v>
      </c>
      <c r="D283" s="126" t="s">
        <v>874</v>
      </c>
      <c r="E283" s="126" t="s">
        <v>335</v>
      </c>
      <c r="F283" s="126" t="s">
        <v>2398</v>
      </c>
      <c r="G283" s="126" t="s">
        <v>2399</v>
      </c>
      <c r="H283" s="126">
        <v>0.51</v>
      </c>
      <c r="I283" s="126" t="s">
        <v>2400</v>
      </c>
      <c r="J283" s="126" t="s">
        <v>2401</v>
      </c>
      <c r="K283" s="126" t="s">
        <v>1927</v>
      </c>
      <c r="L283" s="126" t="s">
        <v>2347</v>
      </c>
      <c r="M283" s="126" t="s">
        <v>2402</v>
      </c>
      <c r="N283" s="149">
        <v>44971.0</v>
      </c>
      <c r="O283" s="150">
        <v>0.1192</v>
      </c>
      <c r="P283" s="150">
        <v>0.1382</v>
      </c>
      <c r="Q283" s="149">
        <v>40486.0</v>
      </c>
      <c r="R283" s="126" t="s">
        <v>286</v>
      </c>
      <c r="S283" s="150">
        <v>-0.112</v>
      </c>
      <c r="T283" s="150">
        <v>0.3172</v>
      </c>
      <c r="U283" s="126" t="s">
        <v>276</v>
      </c>
      <c r="V283" s="150">
        <v>0.0</v>
      </c>
      <c r="W283" s="126" t="s">
        <v>2403</v>
      </c>
      <c r="X283" s="151">
        <v>9702.0</v>
      </c>
      <c r="Y283" s="115"/>
      <c r="Z283" s="115"/>
    </row>
    <row r="284">
      <c r="A284" s="126" t="s">
        <v>222</v>
      </c>
      <c r="B284" s="126" t="s">
        <v>2404</v>
      </c>
      <c r="C284" s="126" t="s">
        <v>2405</v>
      </c>
      <c r="D284" s="126" t="s">
        <v>779</v>
      </c>
      <c r="E284" s="126" t="s">
        <v>328</v>
      </c>
      <c r="F284" s="126" t="s">
        <v>2406</v>
      </c>
      <c r="G284" s="126" t="s">
        <v>2407</v>
      </c>
      <c r="H284" s="126">
        <v>0.81</v>
      </c>
      <c r="I284" s="126" t="s">
        <v>276</v>
      </c>
      <c r="J284" s="126" t="s">
        <v>276</v>
      </c>
      <c r="K284" s="126" t="s">
        <v>1396</v>
      </c>
      <c r="L284" s="126"/>
      <c r="M284" s="126" t="s">
        <v>285</v>
      </c>
      <c r="N284" s="149">
        <v>44973.0</v>
      </c>
      <c r="O284" s="150">
        <v>0.1228</v>
      </c>
      <c r="P284" s="150">
        <v>0.1149</v>
      </c>
      <c r="Q284" s="153">
        <v>42992.0</v>
      </c>
      <c r="R284" s="126" t="s">
        <v>286</v>
      </c>
      <c r="S284" s="150">
        <v>-0.0562</v>
      </c>
      <c r="T284" s="126" t="s">
        <v>276</v>
      </c>
      <c r="U284" s="126" t="s">
        <v>276</v>
      </c>
      <c r="V284" s="150">
        <v>0.0087</v>
      </c>
      <c r="W284" s="126" t="s">
        <v>2408</v>
      </c>
      <c r="X284" s="151">
        <v>96974.0</v>
      </c>
      <c r="Y284" s="115"/>
      <c r="Z284" s="115"/>
    </row>
    <row r="285">
      <c r="A285" s="126" t="s">
        <v>2409</v>
      </c>
      <c r="B285" s="126" t="s">
        <v>2410</v>
      </c>
      <c r="C285" s="126" t="s">
        <v>2411</v>
      </c>
      <c r="D285" s="126" t="s">
        <v>2412</v>
      </c>
      <c r="E285" s="126" t="s">
        <v>335</v>
      </c>
      <c r="F285" s="126" t="s">
        <v>2413</v>
      </c>
      <c r="G285" s="126" t="s">
        <v>2414</v>
      </c>
      <c r="H285" s="126">
        <v>0.82</v>
      </c>
      <c r="I285" s="126" t="s">
        <v>276</v>
      </c>
      <c r="J285" s="126" t="s">
        <v>276</v>
      </c>
      <c r="K285" s="126" t="s">
        <v>318</v>
      </c>
      <c r="L285" s="126"/>
      <c r="M285" s="126" t="s">
        <v>285</v>
      </c>
      <c r="N285" s="149">
        <v>44972.0</v>
      </c>
      <c r="O285" s="150">
        <v>0.0</v>
      </c>
      <c r="P285" s="150"/>
      <c r="Q285" s="126" t="s">
        <v>276</v>
      </c>
      <c r="R285" s="126" t="s">
        <v>286</v>
      </c>
      <c r="S285" s="150">
        <v>0.0</v>
      </c>
      <c r="T285" s="126" t="s">
        <v>276</v>
      </c>
      <c r="U285" s="126" t="s">
        <v>276</v>
      </c>
      <c r="V285" s="150">
        <v>0.0</v>
      </c>
      <c r="W285" s="126"/>
      <c r="X285" s="151">
        <v>84.0</v>
      </c>
      <c r="Y285" s="115"/>
      <c r="Z285" s="115"/>
    </row>
    <row r="286">
      <c r="A286" s="126" t="s">
        <v>127</v>
      </c>
      <c r="B286" s="126" t="s">
        <v>1591</v>
      </c>
      <c r="C286" s="126" t="s">
        <v>2415</v>
      </c>
      <c r="D286" s="126" t="s">
        <v>779</v>
      </c>
      <c r="E286" s="126" t="s">
        <v>528</v>
      </c>
      <c r="F286" s="126" t="s">
        <v>2416</v>
      </c>
      <c r="G286" s="126" t="s">
        <v>2417</v>
      </c>
      <c r="H286" s="126">
        <v>0.7</v>
      </c>
      <c r="I286" s="126" t="s">
        <v>2418</v>
      </c>
      <c r="J286" s="126" t="s">
        <v>2419</v>
      </c>
      <c r="K286" s="126" t="s">
        <v>790</v>
      </c>
      <c r="L286" s="126" t="s">
        <v>2420</v>
      </c>
      <c r="M286" s="126" t="s">
        <v>2421</v>
      </c>
      <c r="N286" s="149">
        <v>44971.0</v>
      </c>
      <c r="O286" s="150">
        <v>0.1097</v>
      </c>
      <c r="P286" s="150">
        <v>0.1041</v>
      </c>
      <c r="Q286" s="149">
        <v>43941.0</v>
      </c>
      <c r="R286" s="126" t="s">
        <v>286</v>
      </c>
      <c r="S286" s="150">
        <v>-0.1119</v>
      </c>
      <c r="T286" s="150">
        <v>0.06</v>
      </c>
      <c r="U286" s="153">
        <v>44925.0</v>
      </c>
      <c r="V286" s="150">
        <v>0.0052</v>
      </c>
      <c r="W286" s="126" t="s">
        <v>2422</v>
      </c>
      <c r="X286" s="151">
        <v>10321.0</v>
      </c>
      <c r="Y286" s="115"/>
      <c r="Z286" s="115"/>
    </row>
    <row r="287">
      <c r="A287" s="126" t="s">
        <v>237</v>
      </c>
      <c r="B287" s="126" t="s">
        <v>318</v>
      </c>
      <c r="C287" s="126" t="s">
        <v>2423</v>
      </c>
      <c r="D287" s="126" t="s">
        <v>779</v>
      </c>
      <c r="E287" s="126" t="s">
        <v>367</v>
      </c>
      <c r="F287" s="126" t="s">
        <v>2424</v>
      </c>
      <c r="G287" s="126" t="s">
        <v>2425</v>
      </c>
      <c r="H287" s="126">
        <v>0.35</v>
      </c>
      <c r="I287" s="126" t="s">
        <v>276</v>
      </c>
      <c r="J287" s="126" t="s">
        <v>276</v>
      </c>
      <c r="K287" s="126" t="s">
        <v>2426</v>
      </c>
      <c r="L287" s="126"/>
      <c r="M287" s="126" t="s">
        <v>285</v>
      </c>
      <c r="N287" s="149">
        <v>44973.0</v>
      </c>
      <c r="O287" s="150">
        <v>3.1248</v>
      </c>
      <c r="P287" s="150">
        <v>2.565</v>
      </c>
      <c r="Q287" s="149">
        <v>43815.0</v>
      </c>
      <c r="R287" s="126" t="s">
        <v>318</v>
      </c>
      <c r="S287" s="150">
        <v>-0.5732</v>
      </c>
      <c r="T287" s="126" t="s">
        <v>276</v>
      </c>
      <c r="U287" s="126" t="s">
        <v>276</v>
      </c>
      <c r="V287" s="150">
        <v>0.0</v>
      </c>
      <c r="W287" s="126"/>
      <c r="X287" s="151">
        <v>54.0</v>
      </c>
      <c r="Y287" s="115"/>
      <c r="Z287" s="115"/>
    </row>
    <row r="288">
      <c r="A288" s="126" t="s">
        <v>137</v>
      </c>
      <c r="B288" s="126" t="s">
        <v>2427</v>
      </c>
      <c r="C288" s="126" t="s">
        <v>2428</v>
      </c>
      <c r="D288" s="126" t="s">
        <v>779</v>
      </c>
      <c r="E288" s="126" t="s">
        <v>335</v>
      </c>
      <c r="F288" s="126" t="s">
        <v>2429</v>
      </c>
      <c r="G288" s="126" t="s">
        <v>2430</v>
      </c>
      <c r="H288" s="126">
        <v>0.57</v>
      </c>
      <c r="I288" s="126" t="s">
        <v>2431</v>
      </c>
      <c r="J288" s="126" t="s">
        <v>2432</v>
      </c>
      <c r="K288" s="126" t="s">
        <v>602</v>
      </c>
      <c r="L288" s="126" t="s">
        <v>2433</v>
      </c>
      <c r="M288" s="126" t="s">
        <v>2434</v>
      </c>
      <c r="N288" s="149">
        <v>44971.0</v>
      </c>
      <c r="O288" s="150">
        <v>0.0748</v>
      </c>
      <c r="P288" s="150">
        <v>0.1052</v>
      </c>
      <c r="Q288" s="149">
        <v>43827.0</v>
      </c>
      <c r="R288" s="126" t="s">
        <v>2435</v>
      </c>
      <c r="S288" s="150">
        <v>-0.1216</v>
      </c>
      <c r="T288" s="150">
        <v>0.4</v>
      </c>
      <c r="U288" s="153">
        <v>44925.0</v>
      </c>
      <c r="V288" s="150">
        <v>0.0057</v>
      </c>
      <c r="W288" s="126" t="s">
        <v>2436</v>
      </c>
      <c r="X288" s="151">
        <v>94556.0</v>
      </c>
      <c r="Y288" s="115"/>
      <c r="Z288" s="115"/>
    </row>
    <row r="289">
      <c r="A289" s="126" t="s">
        <v>99</v>
      </c>
      <c r="B289" s="126" t="s">
        <v>2437</v>
      </c>
      <c r="C289" s="126" t="s">
        <v>2438</v>
      </c>
      <c r="D289" s="126" t="s">
        <v>779</v>
      </c>
      <c r="E289" s="126" t="s">
        <v>281</v>
      </c>
      <c r="F289" s="126" t="s">
        <v>2439</v>
      </c>
      <c r="G289" s="126" t="s">
        <v>2440</v>
      </c>
      <c r="H289" s="126">
        <v>0.9</v>
      </c>
      <c r="I289" s="126" t="s">
        <v>276</v>
      </c>
      <c r="J289" s="126" t="s">
        <v>276</v>
      </c>
      <c r="K289" s="126" t="s">
        <v>704</v>
      </c>
      <c r="L289" s="126"/>
      <c r="M289" s="126" t="s">
        <v>285</v>
      </c>
      <c r="N289" s="149">
        <v>44971.0</v>
      </c>
      <c r="O289" s="150">
        <v>0.1429</v>
      </c>
      <c r="P289" s="150">
        <v>0.1417</v>
      </c>
      <c r="Q289" s="149">
        <v>43217.0</v>
      </c>
      <c r="R289" s="126" t="s">
        <v>286</v>
      </c>
      <c r="S289" s="150">
        <v>0.0075</v>
      </c>
      <c r="T289" s="126" t="s">
        <v>276</v>
      </c>
      <c r="U289" s="126" t="s">
        <v>276</v>
      </c>
      <c r="V289" s="150">
        <v>0.0104</v>
      </c>
      <c r="W289" s="126" t="s">
        <v>2441</v>
      </c>
      <c r="X289" s="151">
        <v>128678.0</v>
      </c>
      <c r="Y289" s="115"/>
      <c r="Z289" s="115"/>
    </row>
    <row r="290">
      <c r="A290" s="126" t="s">
        <v>2442</v>
      </c>
      <c r="B290" s="126" t="s">
        <v>318</v>
      </c>
      <c r="C290" s="126" t="s">
        <v>2443</v>
      </c>
      <c r="D290" s="126" t="s">
        <v>874</v>
      </c>
      <c r="E290" s="126" t="s">
        <v>301</v>
      </c>
      <c r="F290" s="126" t="s">
        <v>318</v>
      </c>
      <c r="G290" s="126" t="s">
        <v>276</v>
      </c>
      <c r="H290" s="126" t="s">
        <v>276</v>
      </c>
      <c r="I290" s="126" t="s">
        <v>276</v>
      </c>
      <c r="J290" s="126" t="s">
        <v>276</v>
      </c>
      <c r="K290" s="126"/>
      <c r="L290" s="126"/>
      <c r="M290" s="126" t="s">
        <v>285</v>
      </c>
      <c r="N290" s="149"/>
      <c r="O290" s="150"/>
      <c r="P290" s="150"/>
      <c r="Q290" s="126" t="s">
        <v>276</v>
      </c>
      <c r="R290" s="126" t="s">
        <v>286</v>
      </c>
      <c r="S290" s="126" t="s">
        <v>276</v>
      </c>
      <c r="T290" s="126" t="s">
        <v>276</v>
      </c>
      <c r="U290" s="126" t="s">
        <v>276</v>
      </c>
      <c r="V290" s="150">
        <v>0.0</v>
      </c>
      <c r="W290" s="126"/>
      <c r="X290" s="151"/>
      <c r="Y290" s="115"/>
      <c r="Z290" s="115"/>
    </row>
    <row r="291">
      <c r="A291" s="126" t="s">
        <v>2444</v>
      </c>
      <c r="B291" s="126" t="s">
        <v>2445</v>
      </c>
      <c r="C291" s="126" t="s">
        <v>2446</v>
      </c>
      <c r="D291" s="126" t="s">
        <v>779</v>
      </c>
      <c r="E291" s="126" t="s">
        <v>281</v>
      </c>
      <c r="F291" s="126" t="s">
        <v>2447</v>
      </c>
      <c r="G291" s="126" t="s">
        <v>2448</v>
      </c>
      <c r="H291" s="126">
        <v>0.88</v>
      </c>
      <c r="I291" s="126" t="s">
        <v>276</v>
      </c>
      <c r="J291" s="126" t="s">
        <v>276</v>
      </c>
      <c r="K291" s="126" t="s">
        <v>284</v>
      </c>
      <c r="L291" s="126"/>
      <c r="M291" s="126" t="s">
        <v>285</v>
      </c>
      <c r="N291" s="149">
        <v>44981.0</v>
      </c>
      <c r="O291" s="150">
        <v>0.1643</v>
      </c>
      <c r="P291" s="150">
        <v>0.1424</v>
      </c>
      <c r="Q291" s="149">
        <v>44806.0</v>
      </c>
      <c r="R291" s="126" t="s">
        <v>286</v>
      </c>
      <c r="S291" s="150">
        <v>-0.0741</v>
      </c>
      <c r="T291" s="126" t="s">
        <v>276</v>
      </c>
      <c r="U291" s="126" t="s">
        <v>276</v>
      </c>
      <c r="V291" s="150">
        <v>0.0</v>
      </c>
      <c r="W291" s="126" t="s">
        <v>2449</v>
      </c>
      <c r="X291" s="151">
        <v>3556.0</v>
      </c>
      <c r="Y291" s="115"/>
      <c r="Z291" s="115"/>
    </row>
    <row r="292">
      <c r="A292" s="126" t="s">
        <v>81</v>
      </c>
      <c r="B292" s="126" t="s">
        <v>2450</v>
      </c>
      <c r="C292" s="126" t="s">
        <v>2451</v>
      </c>
      <c r="D292" s="126" t="s">
        <v>779</v>
      </c>
      <c r="E292" s="126" t="s">
        <v>281</v>
      </c>
      <c r="F292" s="126" t="s">
        <v>2452</v>
      </c>
      <c r="G292" s="126" t="s">
        <v>2453</v>
      </c>
      <c r="H292" s="126">
        <v>0.94</v>
      </c>
      <c r="I292" s="126" t="s">
        <v>276</v>
      </c>
      <c r="J292" s="126" t="s">
        <v>276</v>
      </c>
      <c r="K292" s="126" t="s">
        <v>2012</v>
      </c>
      <c r="L292" s="126"/>
      <c r="M292" s="126" t="s">
        <v>285</v>
      </c>
      <c r="N292" s="149">
        <v>44973.0</v>
      </c>
      <c r="O292" s="150">
        <v>0.1571</v>
      </c>
      <c r="P292" s="150">
        <v>0.1506</v>
      </c>
      <c r="Q292" s="149">
        <v>43609.0</v>
      </c>
      <c r="R292" s="126" t="s">
        <v>286</v>
      </c>
      <c r="S292" s="150">
        <v>-0.0442</v>
      </c>
      <c r="T292" s="126" t="s">
        <v>276</v>
      </c>
      <c r="U292" s="126" t="s">
        <v>276</v>
      </c>
      <c r="V292" s="150">
        <v>0.005</v>
      </c>
      <c r="W292" s="126" t="s">
        <v>2454</v>
      </c>
      <c r="X292" s="151">
        <v>28463.0</v>
      </c>
      <c r="Y292" s="115"/>
      <c r="Z292" s="115"/>
    </row>
    <row r="293">
      <c r="A293" s="126" t="s">
        <v>2455</v>
      </c>
      <c r="B293" s="126" t="s">
        <v>2456</v>
      </c>
      <c r="C293" s="126" t="s">
        <v>2457</v>
      </c>
      <c r="D293" s="126" t="s">
        <v>874</v>
      </c>
      <c r="E293" s="126" t="s">
        <v>367</v>
      </c>
      <c r="F293" s="126" t="s">
        <v>2458</v>
      </c>
      <c r="G293" s="126" t="s">
        <v>2459</v>
      </c>
      <c r="H293" s="126">
        <v>1.02</v>
      </c>
      <c r="I293" s="126" t="s">
        <v>276</v>
      </c>
      <c r="J293" s="126" t="s">
        <v>276</v>
      </c>
      <c r="K293" s="126" t="s">
        <v>318</v>
      </c>
      <c r="L293" s="126"/>
      <c r="M293" s="126" t="s">
        <v>285</v>
      </c>
      <c r="N293" s="149">
        <v>44742.0</v>
      </c>
      <c r="O293" s="150">
        <v>0.0</v>
      </c>
      <c r="P293" s="150"/>
      <c r="Q293" s="149">
        <v>43265.0</v>
      </c>
      <c r="R293" s="126" t="s">
        <v>320</v>
      </c>
      <c r="S293" s="150">
        <v>0.0676</v>
      </c>
      <c r="T293" s="126" t="s">
        <v>276</v>
      </c>
      <c r="U293" s="126" t="s">
        <v>276</v>
      </c>
      <c r="V293" s="150">
        <v>0.0</v>
      </c>
      <c r="W293" s="126" t="s">
        <v>2460</v>
      </c>
      <c r="X293" s="151">
        <v>57.0</v>
      </c>
      <c r="Y293" s="115"/>
      <c r="Z293" s="115"/>
    </row>
    <row r="294">
      <c r="A294" s="126" t="s">
        <v>60</v>
      </c>
      <c r="B294" s="126" t="s">
        <v>2461</v>
      </c>
      <c r="C294" s="126" t="s">
        <v>2462</v>
      </c>
      <c r="D294" s="126" t="s">
        <v>266</v>
      </c>
      <c r="E294" s="126" t="s">
        <v>335</v>
      </c>
      <c r="F294" s="126" t="s">
        <v>2463</v>
      </c>
      <c r="G294" s="126" t="s">
        <v>2464</v>
      </c>
      <c r="H294" s="126">
        <v>0.87</v>
      </c>
      <c r="I294" s="126" t="s">
        <v>2465</v>
      </c>
      <c r="J294" s="126" t="s">
        <v>2466</v>
      </c>
      <c r="K294" s="126" t="s">
        <v>704</v>
      </c>
      <c r="L294" s="126" t="s">
        <v>2467</v>
      </c>
      <c r="M294" s="126" t="s">
        <v>2468</v>
      </c>
      <c r="N294" s="149">
        <v>44972.0</v>
      </c>
      <c r="O294" s="150">
        <v>0.1306</v>
      </c>
      <c r="P294" s="150">
        <v>0.1302</v>
      </c>
      <c r="Q294" s="149">
        <v>41227.0</v>
      </c>
      <c r="R294" s="126" t="s">
        <v>286</v>
      </c>
      <c r="S294" s="150">
        <v>0.002</v>
      </c>
      <c r="T294" s="150">
        <v>0.051</v>
      </c>
      <c r="U294" s="126" t="s">
        <v>276</v>
      </c>
      <c r="V294" s="150">
        <v>0.0097</v>
      </c>
      <c r="W294" s="126" t="s">
        <v>2469</v>
      </c>
      <c r="X294" s="151">
        <v>45953.0</v>
      </c>
      <c r="Y294" s="115"/>
      <c r="Z294" s="115"/>
    </row>
    <row r="295">
      <c r="A295" s="126" t="s">
        <v>189</v>
      </c>
      <c r="B295" s="126" t="s">
        <v>2470</v>
      </c>
      <c r="C295" s="126" t="s">
        <v>2471</v>
      </c>
      <c r="D295" s="126" t="s">
        <v>266</v>
      </c>
      <c r="E295" s="126" t="s">
        <v>281</v>
      </c>
      <c r="F295" s="126" t="s">
        <v>2472</v>
      </c>
      <c r="G295" s="126" t="s">
        <v>2473</v>
      </c>
      <c r="H295" s="126">
        <v>0.57</v>
      </c>
      <c r="I295" s="126" t="s">
        <v>276</v>
      </c>
      <c r="J295" s="126" t="s">
        <v>276</v>
      </c>
      <c r="K295" s="126" t="s">
        <v>2474</v>
      </c>
      <c r="L295" s="126"/>
      <c r="M295" s="126" t="s">
        <v>285</v>
      </c>
      <c r="N295" s="149">
        <v>44965.0</v>
      </c>
      <c r="O295" s="150">
        <v>0.0125</v>
      </c>
      <c r="P295" s="150">
        <v>0.0349</v>
      </c>
      <c r="Q295" s="153">
        <v>41269.0</v>
      </c>
      <c r="R295" s="126" t="s">
        <v>286</v>
      </c>
      <c r="S295" s="150">
        <v>-0.0843</v>
      </c>
      <c r="T295" s="126" t="s">
        <v>276</v>
      </c>
      <c r="U295" s="126" t="s">
        <v>276</v>
      </c>
      <c r="V295" s="150">
        <v>0.0</v>
      </c>
      <c r="W295" s="126" t="s">
        <v>2475</v>
      </c>
      <c r="X295" s="151">
        <v>2804.0</v>
      </c>
      <c r="Y295" s="115"/>
      <c r="Z295" s="115"/>
    </row>
    <row r="296">
      <c r="A296" s="126" t="s">
        <v>2476</v>
      </c>
      <c r="B296" s="126" t="s">
        <v>2477</v>
      </c>
      <c r="C296" s="126" t="s">
        <v>2478</v>
      </c>
      <c r="D296" s="126" t="s">
        <v>2479</v>
      </c>
      <c r="E296" s="126" t="s">
        <v>367</v>
      </c>
      <c r="F296" s="126" t="s">
        <v>2480</v>
      </c>
      <c r="G296" s="126" t="s">
        <v>2481</v>
      </c>
      <c r="H296" s="126">
        <v>0.15</v>
      </c>
      <c r="I296" s="126" t="s">
        <v>2482</v>
      </c>
      <c r="J296" s="126" t="s">
        <v>2483</v>
      </c>
      <c r="K296" s="126" t="s">
        <v>318</v>
      </c>
      <c r="L296" s="126" t="s">
        <v>318</v>
      </c>
      <c r="M296" s="126" t="s">
        <v>2484</v>
      </c>
      <c r="N296" s="149">
        <v>44440.0</v>
      </c>
      <c r="O296" s="150">
        <v>0.0</v>
      </c>
      <c r="P296" s="150"/>
      <c r="Q296" s="149">
        <v>43595.0</v>
      </c>
      <c r="R296" s="126" t="s">
        <v>937</v>
      </c>
      <c r="S296" s="150">
        <v>-0.1</v>
      </c>
      <c r="T296" s="126" t="s">
        <v>276</v>
      </c>
      <c r="U296" s="126" t="s">
        <v>276</v>
      </c>
      <c r="V296" s="150">
        <v>0.0</v>
      </c>
      <c r="W296" s="126" t="s">
        <v>2485</v>
      </c>
      <c r="X296" s="151">
        <v>278.0</v>
      </c>
      <c r="Y296" s="115"/>
      <c r="Z296" s="115"/>
    </row>
    <row r="297">
      <c r="A297" s="126" t="s">
        <v>2486</v>
      </c>
      <c r="B297" s="126" t="s">
        <v>2487</v>
      </c>
      <c r="C297" s="126" t="s">
        <v>2488</v>
      </c>
      <c r="D297" s="126" t="s">
        <v>779</v>
      </c>
      <c r="E297" s="126" t="s">
        <v>328</v>
      </c>
      <c r="F297" s="126" t="s">
        <v>2489</v>
      </c>
      <c r="G297" s="126" t="s">
        <v>2490</v>
      </c>
      <c r="H297" s="126">
        <v>1.0</v>
      </c>
      <c r="I297" s="126" t="s">
        <v>276</v>
      </c>
      <c r="J297" s="126" t="s">
        <v>276</v>
      </c>
      <c r="K297" s="126" t="s">
        <v>318</v>
      </c>
      <c r="L297" s="126"/>
      <c r="M297" s="126" t="s">
        <v>285</v>
      </c>
      <c r="N297" s="149">
        <v>44970.0</v>
      </c>
      <c r="O297" s="150">
        <v>0.0</v>
      </c>
      <c r="P297" s="150">
        <v>0.0138</v>
      </c>
      <c r="Q297" s="153">
        <v>44004.0</v>
      </c>
      <c r="R297" s="126" t="s">
        <v>286</v>
      </c>
      <c r="S297" s="150">
        <v>-0.044</v>
      </c>
      <c r="T297" s="126" t="s">
        <v>276</v>
      </c>
      <c r="U297" s="126" t="s">
        <v>276</v>
      </c>
      <c r="V297" s="150">
        <v>0.0</v>
      </c>
      <c r="W297" s="126" t="s">
        <v>2491</v>
      </c>
      <c r="X297" s="151">
        <v>84.0</v>
      </c>
      <c r="Y297" s="115"/>
      <c r="Z297" s="115"/>
    </row>
    <row r="298">
      <c r="A298" s="126" t="s">
        <v>140</v>
      </c>
      <c r="B298" s="126" t="s">
        <v>2492</v>
      </c>
      <c r="C298" s="126" t="s">
        <v>2493</v>
      </c>
      <c r="D298" s="126" t="s">
        <v>266</v>
      </c>
      <c r="E298" s="126" t="s">
        <v>301</v>
      </c>
      <c r="F298" s="126" t="s">
        <v>2494</v>
      </c>
      <c r="G298" s="126" t="s">
        <v>2495</v>
      </c>
      <c r="H298" s="126">
        <v>0.55</v>
      </c>
      <c r="I298" s="126" t="s">
        <v>2496</v>
      </c>
      <c r="J298" s="126" t="s">
        <v>2497</v>
      </c>
      <c r="K298" s="126" t="s">
        <v>906</v>
      </c>
      <c r="L298" s="126" t="s">
        <v>2498</v>
      </c>
      <c r="M298" s="126" t="s">
        <v>2499</v>
      </c>
      <c r="N298" s="149">
        <v>44972.0</v>
      </c>
      <c r="O298" s="150">
        <v>0.0785</v>
      </c>
      <c r="P298" s="150">
        <v>0.0721</v>
      </c>
      <c r="Q298" s="149">
        <v>37926.0</v>
      </c>
      <c r="R298" s="126" t="s">
        <v>286</v>
      </c>
      <c r="S298" s="150">
        <v>-0.0905</v>
      </c>
      <c r="T298" s="150">
        <v>0.195</v>
      </c>
      <c r="U298" s="153">
        <v>44895.0</v>
      </c>
      <c r="V298" s="150">
        <v>0.0043</v>
      </c>
      <c r="W298" s="126" t="s">
        <v>2500</v>
      </c>
      <c r="X298" s="151">
        <v>30253.0</v>
      </c>
      <c r="Y298" s="115"/>
      <c r="Z298" s="115"/>
    </row>
    <row r="299">
      <c r="A299" s="126" t="s">
        <v>2501</v>
      </c>
      <c r="B299" s="126" t="s">
        <v>318</v>
      </c>
      <c r="C299" s="126" t="s">
        <v>2502</v>
      </c>
      <c r="D299" s="126" t="s">
        <v>874</v>
      </c>
      <c r="E299" s="126" t="s">
        <v>281</v>
      </c>
      <c r="F299" s="126" t="s">
        <v>318</v>
      </c>
      <c r="G299" s="126" t="s">
        <v>2503</v>
      </c>
      <c r="H299" s="126">
        <v>0.0</v>
      </c>
      <c r="I299" s="126" t="s">
        <v>276</v>
      </c>
      <c r="J299" s="126" t="s">
        <v>276</v>
      </c>
      <c r="K299" s="126" t="s">
        <v>2504</v>
      </c>
      <c r="L299" s="126"/>
      <c r="M299" s="126" t="s">
        <v>285</v>
      </c>
      <c r="N299" s="149">
        <v>44547.0</v>
      </c>
      <c r="O299" s="150"/>
      <c r="P299" s="150"/>
      <c r="Q299" s="149">
        <v>43420.0</v>
      </c>
      <c r="R299" s="126" t="s">
        <v>320</v>
      </c>
      <c r="S299" s="150">
        <v>-1.0</v>
      </c>
      <c r="T299" s="126" t="s">
        <v>276</v>
      </c>
      <c r="U299" s="126" t="s">
        <v>276</v>
      </c>
      <c r="V299" s="150">
        <v>0.0</v>
      </c>
      <c r="W299" s="126"/>
      <c r="X299" s="151">
        <v>149.0</v>
      </c>
      <c r="Y299" s="115"/>
      <c r="Z299" s="115"/>
    </row>
    <row r="300">
      <c r="A300" s="126" t="s">
        <v>168</v>
      </c>
      <c r="B300" s="126" t="s">
        <v>2505</v>
      </c>
      <c r="C300" s="126" t="s">
        <v>2506</v>
      </c>
      <c r="D300" s="126" t="s">
        <v>451</v>
      </c>
      <c r="E300" s="126" t="s">
        <v>281</v>
      </c>
      <c r="F300" s="126" t="s">
        <v>2507</v>
      </c>
      <c r="G300" s="126" t="s">
        <v>2508</v>
      </c>
      <c r="H300" s="126">
        <v>0.95</v>
      </c>
      <c r="I300" s="126" t="s">
        <v>276</v>
      </c>
      <c r="J300" s="126" t="s">
        <v>276</v>
      </c>
      <c r="K300" s="126" t="s">
        <v>2509</v>
      </c>
      <c r="L300" s="126"/>
      <c r="M300" s="126" t="s">
        <v>285</v>
      </c>
      <c r="N300" s="149">
        <v>44971.0</v>
      </c>
      <c r="O300" s="150">
        <v>0.164</v>
      </c>
      <c r="P300" s="150">
        <v>0.2371</v>
      </c>
      <c r="Q300" s="149">
        <v>43223.0</v>
      </c>
      <c r="R300" s="126" t="s">
        <v>286</v>
      </c>
      <c r="S300" s="150">
        <v>-0.1229</v>
      </c>
      <c r="T300" s="126" t="s">
        <v>276</v>
      </c>
      <c r="U300" s="126" t="s">
        <v>276</v>
      </c>
      <c r="V300" s="150">
        <v>0.0</v>
      </c>
      <c r="W300" s="126" t="s">
        <v>2510</v>
      </c>
      <c r="X300" s="151">
        <v>1621.0</v>
      </c>
      <c r="Y300" s="115"/>
      <c r="Z300" s="115"/>
    </row>
    <row r="301">
      <c r="A301" s="126" t="s">
        <v>2511</v>
      </c>
      <c r="B301" s="126" t="s">
        <v>318</v>
      </c>
      <c r="C301" s="126" t="s">
        <v>2512</v>
      </c>
      <c r="D301" s="126"/>
      <c r="E301" s="126" t="s">
        <v>391</v>
      </c>
      <c r="F301" s="126" t="s">
        <v>318</v>
      </c>
      <c r="G301" s="126" t="s">
        <v>276</v>
      </c>
      <c r="H301" s="126" t="s">
        <v>276</v>
      </c>
      <c r="I301" s="126" t="s">
        <v>276</v>
      </c>
      <c r="J301" s="126" t="s">
        <v>276</v>
      </c>
      <c r="K301" s="126"/>
      <c r="L301" s="126"/>
      <c r="M301" s="126" t="s">
        <v>285</v>
      </c>
      <c r="N301" s="149"/>
      <c r="O301" s="150"/>
      <c r="P301" s="150"/>
      <c r="Q301" s="126" t="s">
        <v>276</v>
      </c>
      <c r="R301" s="126" t="s">
        <v>286</v>
      </c>
      <c r="S301" s="126" t="s">
        <v>276</v>
      </c>
      <c r="T301" s="126" t="s">
        <v>276</v>
      </c>
      <c r="U301" s="126" t="s">
        <v>276</v>
      </c>
      <c r="V301" s="150">
        <v>0.0</v>
      </c>
      <c r="W301" s="126"/>
      <c r="X301" s="151"/>
      <c r="Y301" s="115"/>
      <c r="Z301" s="115"/>
    </row>
    <row r="302">
      <c r="A302" s="126" t="s">
        <v>38</v>
      </c>
      <c r="B302" s="126" t="s">
        <v>2513</v>
      </c>
      <c r="C302" s="126" t="s">
        <v>2514</v>
      </c>
      <c r="D302" s="126" t="s">
        <v>1092</v>
      </c>
      <c r="E302" s="126" t="s">
        <v>281</v>
      </c>
      <c r="F302" s="126" t="s">
        <v>2515</v>
      </c>
      <c r="G302" s="126" t="s">
        <v>2516</v>
      </c>
      <c r="H302" s="126">
        <v>0.88</v>
      </c>
      <c r="I302" s="126" t="s">
        <v>276</v>
      </c>
      <c r="J302" s="126" t="s">
        <v>276</v>
      </c>
      <c r="K302" s="126" t="s">
        <v>466</v>
      </c>
      <c r="L302" s="126"/>
      <c r="M302" s="126" t="s">
        <v>285</v>
      </c>
      <c r="N302" s="149">
        <v>44971.0</v>
      </c>
      <c r="O302" s="150">
        <v>0.1519</v>
      </c>
      <c r="P302" s="150">
        <v>0.1491</v>
      </c>
      <c r="Q302" s="153">
        <v>43024.0</v>
      </c>
      <c r="R302" s="126" t="s">
        <v>286</v>
      </c>
      <c r="S302" s="150">
        <v>-0.0488</v>
      </c>
      <c r="T302" s="126" t="s">
        <v>276</v>
      </c>
      <c r="U302" s="126" t="s">
        <v>276</v>
      </c>
      <c r="V302" s="150">
        <v>0.0213</v>
      </c>
      <c r="W302" s="126" t="s">
        <v>2517</v>
      </c>
      <c r="X302" s="151">
        <v>183801.0</v>
      </c>
      <c r="Y302" s="115"/>
      <c r="Z302" s="115"/>
    </row>
    <row r="303">
      <c r="A303" s="126" t="s">
        <v>76</v>
      </c>
      <c r="B303" s="126" t="s">
        <v>2518</v>
      </c>
      <c r="C303" s="126" t="s">
        <v>2519</v>
      </c>
      <c r="D303" s="126" t="s">
        <v>1092</v>
      </c>
      <c r="E303" s="126" t="s">
        <v>301</v>
      </c>
      <c r="F303" s="126" t="s">
        <v>2520</v>
      </c>
      <c r="G303" s="126" t="s">
        <v>2521</v>
      </c>
      <c r="H303" s="126">
        <v>0.54</v>
      </c>
      <c r="I303" s="126" t="s">
        <v>2522</v>
      </c>
      <c r="J303" s="126" t="s">
        <v>2523</v>
      </c>
      <c r="K303" s="126" t="s">
        <v>989</v>
      </c>
      <c r="L303" s="126" t="s">
        <v>2524</v>
      </c>
      <c r="M303" s="126" t="s">
        <v>2525</v>
      </c>
      <c r="N303" s="149">
        <v>44971.0</v>
      </c>
      <c r="O303" s="150">
        <v>0.1361</v>
      </c>
      <c r="P303" s="150">
        <v>0.12</v>
      </c>
      <c r="Q303" s="153">
        <v>43579.0</v>
      </c>
      <c r="R303" s="126" t="s">
        <v>286</v>
      </c>
      <c r="S303" s="150">
        <v>-0.0629</v>
      </c>
      <c r="T303" s="150">
        <v>0.1107</v>
      </c>
      <c r="U303" s="126" t="s">
        <v>276</v>
      </c>
      <c r="V303" s="150">
        <v>0.0042</v>
      </c>
      <c r="W303" s="126" t="s">
        <v>2526</v>
      </c>
      <c r="X303" s="151">
        <v>77186.0</v>
      </c>
      <c r="Y303" s="115"/>
      <c r="Z303" s="115"/>
    </row>
    <row r="304">
      <c r="A304" s="126" t="s">
        <v>2527</v>
      </c>
      <c r="B304" s="126" t="s">
        <v>2528</v>
      </c>
      <c r="C304" s="126" t="s">
        <v>2529</v>
      </c>
      <c r="D304" s="126" t="s">
        <v>2530</v>
      </c>
      <c r="E304" s="126" t="s">
        <v>328</v>
      </c>
      <c r="F304" s="126" t="s">
        <v>2531</v>
      </c>
      <c r="G304" s="126" t="s">
        <v>2532</v>
      </c>
      <c r="H304" s="126">
        <v>0.81</v>
      </c>
      <c r="I304" s="126" t="s">
        <v>276</v>
      </c>
      <c r="J304" s="126" t="s">
        <v>276</v>
      </c>
      <c r="K304" s="126" t="s">
        <v>998</v>
      </c>
      <c r="L304" s="126"/>
      <c r="M304" s="126" t="s">
        <v>285</v>
      </c>
      <c r="N304" s="153">
        <v>44980.0</v>
      </c>
      <c r="O304" s="150">
        <v>0.1426</v>
      </c>
      <c r="P304" s="150">
        <v>0.1448</v>
      </c>
      <c r="Q304" s="149">
        <v>44246.0</v>
      </c>
      <c r="R304" s="126" t="s">
        <v>286</v>
      </c>
      <c r="S304" s="150">
        <v>-0.1199</v>
      </c>
      <c r="T304" s="126" t="s">
        <v>276</v>
      </c>
      <c r="U304" s="126" t="s">
        <v>276</v>
      </c>
      <c r="V304" s="150">
        <v>0.0</v>
      </c>
      <c r="W304" s="126" t="s">
        <v>2533</v>
      </c>
      <c r="X304" s="151">
        <v>681.0</v>
      </c>
      <c r="Y304" s="115"/>
      <c r="Z304" s="115"/>
    </row>
    <row r="305">
      <c r="A305" s="126" t="s">
        <v>35</v>
      </c>
      <c r="B305" s="126" t="s">
        <v>2534</v>
      </c>
      <c r="C305" s="126" t="s">
        <v>2535</v>
      </c>
      <c r="D305" s="126" t="s">
        <v>2536</v>
      </c>
      <c r="E305" s="126" t="s">
        <v>281</v>
      </c>
      <c r="F305" s="126" t="s">
        <v>2537</v>
      </c>
      <c r="G305" s="126" t="s">
        <v>2538</v>
      </c>
      <c r="H305" s="126">
        <v>0.7</v>
      </c>
      <c r="I305" s="126" t="s">
        <v>276</v>
      </c>
      <c r="J305" s="126" t="s">
        <v>276</v>
      </c>
      <c r="K305" s="126" t="s">
        <v>2539</v>
      </c>
      <c r="L305" s="126"/>
      <c r="M305" s="126" t="s">
        <v>285</v>
      </c>
      <c r="N305" s="149">
        <v>44939.0</v>
      </c>
      <c r="O305" s="150">
        <v>0.1802</v>
      </c>
      <c r="P305" s="150">
        <v>0.1632</v>
      </c>
      <c r="Q305" s="149">
        <v>41785.0</v>
      </c>
      <c r="R305" s="126" t="s">
        <v>320</v>
      </c>
      <c r="S305" s="150">
        <v>-0.1432</v>
      </c>
      <c r="T305" s="126" t="s">
        <v>276</v>
      </c>
      <c r="U305" s="126" t="s">
        <v>276</v>
      </c>
      <c r="V305" s="150">
        <v>0.0</v>
      </c>
      <c r="W305" s="126" t="s">
        <v>2540</v>
      </c>
      <c r="X305" s="151">
        <v>66.0</v>
      </c>
      <c r="Y305" s="115"/>
      <c r="Z305" s="115"/>
    </row>
    <row r="306">
      <c r="A306" s="126" t="s">
        <v>95</v>
      </c>
      <c r="B306" s="126" t="s">
        <v>2541</v>
      </c>
      <c r="C306" s="126" t="s">
        <v>2542</v>
      </c>
      <c r="D306" s="126" t="s">
        <v>2530</v>
      </c>
      <c r="E306" s="126" t="s">
        <v>528</v>
      </c>
      <c r="F306" s="126" t="s">
        <v>2543</v>
      </c>
      <c r="G306" s="126" t="s">
        <v>2544</v>
      </c>
      <c r="H306" s="126">
        <v>0.58</v>
      </c>
      <c r="I306" s="126" t="s">
        <v>2545</v>
      </c>
      <c r="J306" s="126" t="s">
        <v>2546</v>
      </c>
      <c r="K306" s="126" t="s">
        <v>998</v>
      </c>
      <c r="L306" s="126" t="s">
        <v>2547</v>
      </c>
      <c r="M306" s="126" t="s">
        <v>2548</v>
      </c>
      <c r="N306" s="149">
        <v>44971.0</v>
      </c>
      <c r="O306" s="150">
        <v>0.1253</v>
      </c>
      <c r="P306" s="150">
        <v>0.1325</v>
      </c>
      <c r="Q306" s="126" t="s">
        <v>276</v>
      </c>
      <c r="R306" s="126" t="s">
        <v>286</v>
      </c>
      <c r="S306" s="150">
        <v>-0.0305</v>
      </c>
      <c r="T306" s="150">
        <v>0.121</v>
      </c>
      <c r="U306" s="149">
        <v>44957.0</v>
      </c>
      <c r="V306" s="150">
        <v>9.0E-4</v>
      </c>
      <c r="W306" s="126" t="s">
        <v>2549</v>
      </c>
      <c r="X306" s="151">
        <v>7634.0</v>
      </c>
      <c r="Y306" s="115"/>
      <c r="Z306" s="115"/>
    </row>
    <row r="307">
      <c r="A307" s="126" t="s">
        <v>75</v>
      </c>
      <c r="B307" s="126" t="s">
        <v>2550</v>
      </c>
      <c r="C307" s="126" t="s">
        <v>2551</v>
      </c>
      <c r="D307" s="126" t="s">
        <v>874</v>
      </c>
      <c r="E307" s="126" t="s">
        <v>328</v>
      </c>
      <c r="F307" s="126" t="s">
        <v>2552</v>
      </c>
      <c r="G307" s="126" t="s">
        <v>2553</v>
      </c>
      <c r="H307" s="126">
        <v>0.85</v>
      </c>
      <c r="I307" s="126" t="s">
        <v>276</v>
      </c>
      <c r="J307" s="126" t="s">
        <v>276</v>
      </c>
      <c r="K307" s="126" t="s">
        <v>998</v>
      </c>
      <c r="L307" s="126"/>
      <c r="M307" s="126" t="s">
        <v>285</v>
      </c>
      <c r="N307" s="149">
        <v>44971.0</v>
      </c>
      <c r="O307" s="150">
        <v>0.1351</v>
      </c>
      <c r="P307" s="150">
        <v>0.1258</v>
      </c>
      <c r="Q307" s="149">
        <v>43889.0</v>
      </c>
      <c r="R307" s="126" t="s">
        <v>286</v>
      </c>
      <c r="S307" s="150">
        <v>-0.0583</v>
      </c>
      <c r="T307" s="126" t="s">
        <v>276</v>
      </c>
      <c r="U307" s="126" t="s">
        <v>276</v>
      </c>
      <c r="V307" s="150">
        <v>0.0</v>
      </c>
      <c r="W307" s="126" t="s">
        <v>2554</v>
      </c>
      <c r="X307" s="151">
        <v>5226.0</v>
      </c>
      <c r="Y307" s="115"/>
      <c r="Z307" s="115"/>
    </row>
    <row r="308">
      <c r="A308" s="126" t="s">
        <v>2555</v>
      </c>
      <c r="B308" s="126" t="s">
        <v>2556</v>
      </c>
      <c r="C308" s="126" t="s">
        <v>2557</v>
      </c>
      <c r="D308" s="126" t="s">
        <v>2558</v>
      </c>
      <c r="E308" s="126" t="s">
        <v>335</v>
      </c>
      <c r="F308" s="126" t="s">
        <v>2559</v>
      </c>
      <c r="G308" s="126" t="s">
        <v>2560</v>
      </c>
      <c r="H308" s="126">
        <v>0.36</v>
      </c>
      <c r="I308" s="126" t="s">
        <v>2561</v>
      </c>
      <c r="J308" s="126" t="s">
        <v>2562</v>
      </c>
      <c r="K308" s="126" t="s">
        <v>2563</v>
      </c>
      <c r="L308" s="126" t="s">
        <v>2564</v>
      </c>
      <c r="M308" s="126" t="s">
        <v>2565</v>
      </c>
      <c r="N308" s="149">
        <v>44966.0</v>
      </c>
      <c r="O308" s="150">
        <v>0.0846</v>
      </c>
      <c r="P308" s="150">
        <v>0.0815</v>
      </c>
      <c r="Q308" s="149">
        <v>41661.0</v>
      </c>
      <c r="R308" s="126" t="s">
        <v>286</v>
      </c>
      <c r="S308" s="150">
        <v>-0.3617</v>
      </c>
      <c r="T308" s="150">
        <v>0.274</v>
      </c>
      <c r="U308" s="126" t="s">
        <v>276</v>
      </c>
      <c r="V308" s="150">
        <v>0.0</v>
      </c>
      <c r="W308" s="126" t="s">
        <v>2566</v>
      </c>
      <c r="X308" s="151">
        <v>1185.0</v>
      </c>
      <c r="Y308" s="115"/>
      <c r="Z308" s="115"/>
    </row>
    <row r="309">
      <c r="A309" s="126" t="s">
        <v>2567</v>
      </c>
      <c r="B309" s="126" t="s">
        <v>2568</v>
      </c>
      <c r="C309" s="126" t="s">
        <v>2569</v>
      </c>
      <c r="D309" s="126" t="s">
        <v>451</v>
      </c>
      <c r="E309" s="126" t="s">
        <v>281</v>
      </c>
      <c r="F309" s="126" t="s">
        <v>2570</v>
      </c>
      <c r="G309" s="126" t="s">
        <v>2571</v>
      </c>
      <c r="H309" s="126">
        <v>0.81</v>
      </c>
      <c r="I309" s="126" t="s">
        <v>276</v>
      </c>
      <c r="J309" s="126" t="s">
        <v>276</v>
      </c>
      <c r="K309" s="126" t="s">
        <v>1503</v>
      </c>
      <c r="L309" s="126"/>
      <c r="M309" s="126" t="s">
        <v>285</v>
      </c>
      <c r="N309" s="149">
        <v>44971.0</v>
      </c>
      <c r="O309" s="150">
        <v>0.0649</v>
      </c>
      <c r="P309" s="150">
        <v>0.2048</v>
      </c>
      <c r="Q309" s="149">
        <v>41016.0</v>
      </c>
      <c r="R309" s="126" t="s">
        <v>320</v>
      </c>
      <c r="S309" s="150">
        <v>-0.0064</v>
      </c>
      <c r="T309" s="126" t="s">
        <v>276</v>
      </c>
      <c r="U309" s="126" t="s">
        <v>276</v>
      </c>
      <c r="V309" s="150">
        <v>0.0</v>
      </c>
      <c r="W309" s="126" t="s">
        <v>2572</v>
      </c>
      <c r="X309" s="151">
        <v>1129.0</v>
      </c>
      <c r="Y309" s="115"/>
      <c r="Z309" s="115"/>
    </row>
    <row r="310">
      <c r="A310" s="126" t="s">
        <v>125</v>
      </c>
      <c r="B310" s="126" t="s">
        <v>2573</v>
      </c>
      <c r="C310" s="126" t="s">
        <v>2574</v>
      </c>
      <c r="D310" s="126" t="s">
        <v>266</v>
      </c>
      <c r="E310" s="126" t="s">
        <v>301</v>
      </c>
      <c r="F310" s="126" t="s">
        <v>2575</v>
      </c>
      <c r="G310" s="126" t="s">
        <v>2576</v>
      </c>
      <c r="H310" s="126">
        <v>0.54</v>
      </c>
      <c r="I310" s="126" t="s">
        <v>2577</v>
      </c>
      <c r="J310" s="126" t="s">
        <v>2578</v>
      </c>
      <c r="K310" s="126" t="s">
        <v>2579</v>
      </c>
      <c r="L310" s="126" t="s">
        <v>2580</v>
      </c>
      <c r="M310" s="126" t="s">
        <v>2581</v>
      </c>
      <c r="N310" s="149">
        <v>44971.0</v>
      </c>
      <c r="O310" s="150">
        <v>0.1164</v>
      </c>
      <c r="P310" s="150">
        <v>0.1053</v>
      </c>
      <c r="Q310" s="149">
        <v>41038.0</v>
      </c>
      <c r="R310" s="126" t="s">
        <v>286</v>
      </c>
      <c r="S310" s="150">
        <v>-0.0427</v>
      </c>
      <c r="T310" s="150">
        <v>0.258</v>
      </c>
      <c r="U310" s="126" t="s">
        <v>276</v>
      </c>
      <c r="V310" s="150">
        <v>0.0</v>
      </c>
      <c r="W310" s="126" t="s">
        <v>2582</v>
      </c>
      <c r="X310" s="151">
        <v>11931.0</v>
      </c>
      <c r="Y310" s="115"/>
      <c r="Z310" s="115"/>
    </row>
    <row r="311">
      <c r="A311" s="126" t="s">
        <v>2583</v>
      </c>
      <c r="B311" s="126" t="s">
        <v>2584</v>
      </c>
      <c r="C311" s="126" t="s">
        <v>2585</v>
      </c>
      <c r="D311" s="126"/>
      <c r="E311" s="126" t="s">
        <v>655</v>
      </c>
      <c r="F311" s="126" t="s">
        <v>2586</v>
      </c>
      <c r="G311" s="126" t="s">
        <v>2587</v>
      </c>
      <c r="H311" s="126">
        <v>1.12</v>
      </c>
      <c r="I311" s="126" t="s">
        <v>276</v>
      </c>
      <c r="J311" s="126" t="s">
        <v>276</v>
      </c>
      <c r="K311" s="126" t="s">
        <v>318</v>
      </c>
      <c r="L311" s="126"/>
      <c r="M311" s="126" t="s">
        <v>285</v>
      </c>
      <c r="N311" s="149">
        <v>44957.0</v>
      </c>
      <c r="O311" s="150">
        <v>0.0</v>
      </c>
      <c r="P311" s="150">
        <v>0.0304</v>
      </c>
      <c r="Q311" s="149">
        <v>44532.0</v>
      </c>
      <c r="R311" s="126" t="s">
        <v>320</v>
      </c>
      <c r="S311" s="150">
        <v>-0.0351</v>
      </c>
      <c r="T311" s="126" t="s">
        <v>276</v>
      </c>
      <c r="U311" s="126" t="s">
        <v>276</v>
      </c>
      <c r="V311" s="150">
        <v>0.0</v>
      </c>
      <c r="W311" s="126" t="s">
        <v>2588</v>
      </c>
      <c r="X311" s="151">
        <v>75.0</v>
      </c>
      <c r="Y311" s="115"/>
      <c r="Z311" s="115"/>
    </row>
    <row r="312">
      <c r="A312" s="126" t="s">
        <v>2589</v>
      </c>
      <c r="B312" s="126" t="s">
        <v>1738</v>
      </c>
      <c r="C312" s="126" t="s">
        <v>2590</v>
      </c>
      <c r="D312" s="126" t="s">
        <v>779</v>
      </c>
      <c r="E312" s="126" t="s">
        <v>281</v>
      </c>
      <c r="F312" s="126" t="s">
        <v>2591</v>
      </c>
      <c r="G312" s="126" t="s">
        <v>2592</v>
      </c>
      <c r="H312" s="126">
        <v>0.91</v>
      </c>
      <c r="I312" s="126" t="s">
        <v>276</v>
      </c>
      <c r="J312" s="126" t="s">
        <v>276</v>
      </c>
      <c r="K312" s="126" t="s">
        <v>1454</v>
      </c>
      <c r="L312" s="126"/>
      <c r="M312" s="126" t="s">
        <v>285</v>
      </c>
      <c r="N312" s="149">
        <v>44970.0</v>
      </c>
      <c r="O312" s="150">
        <v>0.1678</v>
      </c>
      <c r="P312" s="150">
        <v>0.1352</v>
      </c>
      <c r="Q312" s="149">
        <v>44770.0</v>
      </c>
      <c r="R312" s="126" t="s">
        <v>2593</v>
      </c>
      <c r="S312" s="150">
        <v>-0.0541</v>
      </c>
      <c r="T312" s="126" t="s">
        <v>276</v>
      </c>
      <c r="U312" s="126" t="s">
        <v>276</v>
      </c>
      <c r="V312" s="150">
        <v>0.0</v>
      </c>
      <c r="W312" s="126" t="s">
        <v>2594</v>
      </c>
      <c r="X312" s="151">
        <v>2808.0</v>
      </c>
      <c r="Y312" s="115"/>
      <c r="Z312" s="115"/>
    </row>
    <row r="313">
      <c r="A313" s="126" t="s">
        <v>120</v>
      </c>
      <c r="B313" s="126" t="s">
        <v>2595</v>
      </c>
      <c r="C313" s="126" t="s">
        <v>2596</v>
      </c>
      <c r="D313" s="126" t="s">
        <v>874</v>
      </c>
      <c r="E313" s="126" t="s">
        <v>281</v>
      </c>
      <c r="F313" s="126" t="s">
        <v>2597</v>
      </c>
      <c r="G313" s="126" t="s">
        <v>2598</v>
      </c>
      <c r="H313" s="126">
        <v>0.92</v>
      </c>
      <c r="I313" s="126" t="s">
        <v>276</v>
      </c>
      <c r="J313" s="126" t="s">
        <v>276</v>
      </c>
      <c r="K313" s="126" t="s">
        <v>418</v>
      </c>
      <c r="L313" s="126"/>
      <c r="M313" s="126" t="s">
        <v>285</v>
      </c>
      <c r="N313" s="149">
        <v>44971.0</v>
      </c>
      <c r="O313" s="150">
        <v>0.1373</v>
      </c>
      <c r="P313" s="150">
        <v>0.1635</v>
      </c>
      <c r="Q313" s="149">
        <v>44154.0</v>
      </c>
      <c r="R313" s="126" t="s">
        <v>286</v>
      </c>
      <c r="S313" s="150">
        <v>-0.0483</v>
      </c>
      <c r="T313" s="126" t="s">
        <v>276</v>
      </c>
      <c r="U313" s="126" t="s">
        <v>276</v>
      </c>
      <c r="V313" s="150">
        <v>0.0</v>
      </c>
      <c r="W313" s="126" t="s">
        <v>2599</v>
      </c>
      <c r="X313" s="151">
        <v>2412.0</v>
      </c>
      <c r="Y313" s="115"/>
      <c r="Z313" s="115"/>
    </row>
    <row r="314">
      <c r="A314" s="126" t="s">
        <v>2600</v>
      </c>
      <c r="B314" s="126" t="s">
        <v>2601</v>
      </c>
      <c r="C314" s="126" t="s">
        <v>2602</v>
      </c>
      <c r="D314" s="126" t="s">
        <v>874</v>
      </c>
      <c r="E314" s="126" t="s">
        <v>655</v>
      </c>
      <c r="F314" s="126" t="s">
        <v>2603</v>
      </c>
      <c r="G314" s="126" t="s">
        <v>2604</v>
      </c>
      <c r="H314" s="126">
        <v>0.98</v>
      </c>
      <c r="I314" s="126" t="s">
        <v>276</v>
      </c>
      <c r="J314" s="126" t="s">
        <v>276</v>
      </c>
      <c r="K314" s="126" t="s">
        <v>2605</v>
      </c>
      <c r="L314" s="126"/>
      <c r="M314" s="126" t="s">
        <v>285</v>
      </c>
      <c r="N314" s="149">
        <v>44971.0</v>
      </c>
      <c r="O314" s="150">
        <v>0.4448</v>
      </c>
      <c r="P314" s="150">
        <v>0.0311</v>
      </c>
      <c r="Q314" s="149">
        <v>43767.0</v>
      </c>
      <c r="R314" s="126" t="s">
        <v>320</v>
      </c>
      <c r="S314" s="150">
        <v>0.0</v>
      </c>
      <c r="T314" s="126" t="s">
        <v>276</v>
      </c>
      <c r="U314" s="126" t="s">
        <v>276</v>
      </c>
      <c r="V314" s="150">
        <v>0.0</v>
      </c>
      <c r="W314" s="126"/>
      <c r="X314" s="151">
        <v>105.0</v>
      </c>
      <c r="Y314" s="115"/>
      <c r="Z314" s="115"/>
    </row>
    <row r="315">
      <c r="A315" s="126" t="s">
        <v>2606</v>
      </c>
      <c r="B315" s="126" t="s">
        <v>2607</v>
      </c>
      <c r="C315" s="126" t="s">
        <v>2608</v>
      </c>
      <c r="D315" s="126" t="s">
        <v>2609</v>
      </c>
      <c r="E315" s="126" t="s">
        <v>292</v>
      </c>
      <c r="F315" s="126" t="s">
        <v>2610</v>
      </c>
      <c r="G315" s="126" t="s">
        <v>2611</v>
      </c>
      <c r="H315" s="126">
        <v>1.04</v>
      </c>
      <c r="I315" s="126" t="s">
        <v>276</v>
      </c>
      <c r="J315" s="126" t="s">
        <v>276</v>
      </c>
      <c r="K315" s="126" t="s">
        <v>362</v>
      </c>
      <c r="L315" s="126"/>
      <c r="M315" s="126" t="s">
        <v>285</v>
      </c>
      <c r="N315" s="149">
        <v>44964.0</v>
      </c>
      <c r="O315" s="150">
        <v>0.1211</v>
      </c>
      <c r="P315" s="150">
        <v>0.11</v>
      </c>
      <c r="Q315" s="149">
        <v>44629.0</v>
      </c>
      <c r="R315" s="126" t="s">
        <v>296</v>
      </c>
      <c r="S315" s="150">
        <v>0.0087</v>
      </c>
      <c r="T315" s="126" t="s">
        <v>276</v>
      </c>
      <c r="U315" s="126" t="s">
        <v>276</v>
      </c>
      <c r="V315" s="150">
        <v>0.0</v>
      </c>
      <c r="W315" s="126" t="s">
        <v>2612</v>
      </c>
      <c r="X315" s="151">
        <v>14140.0</v>
      </c>
      <c r="Y315" s="115"/>
      <c r="Z315" s="115"/>
    </row>
    <row r="316">
      <c r="A316" s="126" t="s">
        <v>82</v>
      </c>
      <c r="B316" s="126" t="s">
        <v>2613</v>
      </c>
      <c r="C316" s="126" t="s">
        <v>2614</v>
      </c>
      <c r="D316" s="126" t="s">
        <v>866</v>
      </c>
      <c r="E316" s="126" t="s">
        <v>328</v>
      </c>
      <c r="F316" s="126" t="s">
        <v>2615</v>
      </c>
      <c r="G316" s="126" t="s">
        <v>2616</v>
      </c>
      <c r="H316" s="126">
        <v>0.85</v>
      </c>
      <c r="I316" s="126" t="s">
        <v>276</v>
      </c>
      <c r="J316" s="126" t="s">
        <v>276</v>
      </c>
      <c r="K316" s="126" t="s">
        <v>845</v>
      </c>
      <c r="L316" s="126"/>
      <c r="M316" s="126" t="s">
        <v>285</v>
      </c>
      <c r="N316" s="149">
        <v>44972.0</v>
      </c>
      <c r="O316" s="150">
        <v>0.1354</v>
      </c>
      <c r="P316" s="150">
        <v>0.1277</v>
      </c>
      <c r="Q316" s="149">
        <v>43871.0</v>
      </c>
      <c r="R316" s="126" t="s">
        <v>286</v>
      </c>
      <c r="S316" s="150">
        <v>-0.03</v>
      </c>
      <c r="T316" s="126" t="s">
        <v>276</v>
      </c>
      <c r="U316" s="126" t="s">
        <v>276</v>
      </c>
      <c r="V316" s="150">
        <v>0.0</v>
      </c>
      <c r="W316" s="126" t="s">
        <v>2617</v>
      </c>
      <c r="X316" s="151">
        <v>12171.0</v>
      </c>
      <c r="Y316" s="115"/>
      <c r="Z316" s="115"/>
    </row>
    <row r="317">
      <c r="A317" s="126" t="s">
        <v>2618</v>
      </c>
      <c r="B317" s="126" t="s">
        <v>2619</v>
      </c>
      <c r="C317" s="126" t="s">
        <v>2620</v>
      </c>
      <c r="D317" s="126" t="s">
        <v>2621</v>
      </c>
      <c r="E317" s="126" t="s">
        <v>292</v>
      </c>
      <c r="F317" s="126" t="s">
        <v>2622</v>
      </c>
      <c r="G317" s="126" t="s">
        <v>2623</v>
      </c>
      <c r="H317" s="126">
        <v>1.0</v>
      </c>
      <c r="I317" s="126" t="s">
        <v>276</v>
      </c>
      <c r="J317" s="126" t="s">
        <v>276</v>
      </c>
      <c r="K317" s="126" t="s">
        <v>768</v>
      </c>
      <c r="L317" s="126"/>
      <c r="M317" s="126" t="s">
        <v>285</v>
      </c>
      <c r="N317" s="149">
        <v>44971.0</v>
      </c>
      <c r="O317" s="150">
        <v>0.1585</v>
      </c>
      <c r="P317" s="150">
        <v>0.153</v>
      </c>
      <c r="Q317" s="149">
        <v>44475.0</v>
      </c>
      <c r="R317" s="126" t="s">
        <v>296</v>
      </c>
      <c r="S317" s="150">
        <v>0.0242</v>
      </c>
      <c r="T317" s="126" t="s">
        <v>276</v>
      </c>
      <c r="U317" s="126" t="s">
        <v>276</v>
      </c>
      <c r="V317" s="150">
        <v>0.0</v>
      </c>
      <c r="W317" s="126" t="s">
        <v>2624</v>
      </c>
      <c r="X317" s="151">
        <v>36447.0</v>
      </c>
      <c r="Y317" s="115"/>
      <c r="Z317" s="115"/>
    </row>
    <row r="318">
      <c r="A318" s="126" t="s">
        <v>199</v>
      </c>
      <c r="B318" s="126" t="s">
        <v>2625</v>
      </c>
      <c r="C318" s="126" t="s">
        <v>2626</v>
      </c>
      <c r="D318" s="126" t="s">
        <v>2621</v>
      </c>
      <c r="E318" s="126" t="s">
        <v>281</v>
      </c>
      <c r="F318" s="126" t="s">
        <v>2627</v>
      </c>
      <c r="G318" s="126" t="s">
        <v>2628</v>
      </c>
      <c r="H318" s="126">
        <v>1.05</v>
      </c>
      <c r="I318" s="126" t="s">
        <v>276</v>
      </c>
      <c r="J318" s="126" t="s">
        <v>276</v>
      </c>
      <c r="K318" s="126" t="s">
        <v>1454</v>
      </c>
      <c r="L318" s="126"/>
      <c r="M318" s="126" t="s">
        <v>285</v>
      </c>
      <c r="N318" s="153">
        <v>44980.0</v>
      </c>
      <c r="O318" s="150">
        <v>0.157</v>
      </c>
      <c r="P318" s="150">
        <v>0.1819</v>
      </c>
      <c r="Q318" s="149">
        <v>44518.0</v>
      </c>
      <c r="R318" s="126" t="s">
        <v>286</v>
      </c>
      <c r="S318" s="150">
        <v>0.0146</v>
      </c>
      <c r="T318" s="126" t="s">
        <v>276</v>
      </c>
      <c r="U318" s="126" t="s">
        <v>276</v>
      </c>
      <c r="V318" s="150">
        <v>0.0042</v>
      </c>
      <c r="W318" s="126" t="s">
        <v>2629</v>
      </c>
      <c r="X318" s="151">
        <v>30505.0</v>
      </c>
      <c r="Y318" s="115"/>
      <c r="Z318" s="115"/>
    </row>
    <row r="319">
      <c r="A319" s="126" t="s">
        <v>2630</v>
      </c>
      <c r="B319" s="126" t="s">
        <v>2631</v>
      </c>
      <c r="C319" s="126" t="s">
        <v>2632</v>
      </c>
      <c r="D319" s="126" t="s">
        <v>2621</v>
      </c>
      <c r="E319" s="126" t="s">
        <v>528</v>
      </c>
      <c r="F319" s="126" t="s">
        <v>2633</v>
      </c>
      <c r="G319" s="126" t="s">
        <v>2634</v>
      </c>
      <c r="H319" s="126">
        <v>0.85</v>
      </c>
      <c r="I319" s="126" t="s">
        <v>2635</v>
      </c>
      <c r="J319" s="126" t="s">
        <v>2636</v>
      </c>
      <c r="K319" s="126" t="s">
        <v>2637</v>
      </c>
      <c r="L319" s="126" t="s">
        <v>2638</v>
      </c>
      <c r="M319" s="126" t="s">
        <v>2639</v>
      </c>
      <c r="N319" s="149">
        <v>44980.0</v>
      </c>
      <c r="O319" s="150">
        <v>0.1447</v>
      </c>
      <c r="P319" s="150">
        <v>0.1642</v>
      </c>
      <c r="Q319" s="153">
        <v>43717.0</v>
      </c>
      <c r="R319" s="126" t="s">
        <v>286</v>
      </c>
      <c r="S319" s="150">
        <v>-0.0388</v>
      </c>
      <c r="T319" s="126" t="s">
        <v>276</v>
      </c>
      <c r="U319" s="126" t="s">
        <v>276</v>
      </c>
      <c r="V319" s="150">
        <v>0.003</v>
      </c>
      <c r="W319" s="126" t="s">
        <v>2640</v>
      </c>
      <c r="X319" s="151">
        <v>44338.0</v>
      </c>
      <c r="Y319" s="115"/>
      <c r="Z319" s="115"/>
    </row>
    <row r="320">
      <c r="A320" s="126" t="s">
        <v>74</v>
      </c>
      <c r="B320" s="126" t="s">
        <v>2641</v>
      </c>
      <c r="C320" s="126" t="s">
        <v>2642</v>
      </c>
      <c r="D320" s="126" t="s">
        <v>2621</v>
      </c>
      <c r="E320" s="126" t="s">
        <v>292</v>
      </c>
      <c r="F320" s="126" t="s">
        <v>2643</v>
      </c>
      <c r="G320" s="126" t="s">
        <v>2644</v>
      </c>
      <c r="H320" s="126">
        <v>0.88</v>
      </c>
      <c r="I320" s="126" t="s">
        <v>276</v>
      </c>
      <c r="J320" s="126" t="s">
        <v>276</v>
      </c>
      <c r="K320" s="126" t="s">
        <v>1660</v>
      </c>
      <c r="L320" s="126"/>
      <c r="M320" s="126" t="s">
        <v>285</v>
      </c>
      <c r="N320" s="149">
        <v>44964.0</v>
      </c>
      <c r="O320" s="150">
        <v>0.1265</v>
      </c>
      <c r="P320" s="150">
        <v>0.1668</v>
      </c>
      <c r="Q320" s="153">
        <v>44109.0</v>
      </c>
      <c r="R320" s="126" t="s">
        <v>286</v>
      </c>
      <c r="S320" s="150">
        <v>-0.1482</v>
      </c>
      <c r="T320" s="126" t="s">
        <v>276</v>
      </c>
      <c r="U320" s="126" t="s">
        <v>276</v>
      </c>
      <c r="V320" s="150">
        <v>0.0101</v>
      </c>
      <c r="W320" s="126" t="s">
        <v>2645</v>
      </c>
      <c r="X320" s="151">
        <v>81456.0</v>
      </c>
      <c r="Y320" s="115"/>
      <c r="Z320" s="115"/>
    </row>
    <row r="321">
      <c r="A321" s="126" t="s">
        <v>182</v>
      </c>
      <c r="B321" s="126" t="s">
        <v>2646</v>
      </c>
      <c r="C321" s="126" t="s">
        <v>2647</v>
      </c>
      <c r="D321" s="126" t="s">
        <v>2648</v>
      </c>
      <c r="E321" s="126" t="s">
        <v>281</v>
      </c>
      <c r="F321" s="126" t="s">
        <v>2649</v>
      </c>
      <c r="G321" s="126" t="s">
        <v>2650</v>
      </c>
      <c r="H321" s="126">
        <v>0.91</v>
      </c>
      <c r="I321" s="126" t="s">
        <v>276</v>
      </c>
      <c r="J321" s="126" t="s">
        <v>276</v>
      </c>
      <c r="K321" s="126" t="s">
        <v>2651</v>
      </c>
      <c r="L321" s="126"/>
      <c r="M321" s="126" t="s">
        <v>285</v>
      </c>
      <c r="N321" s="149">
        <v>44971.0</v>
      </c>
      <c r="O321" s="150">
        <v>0.1533</v>
      </c>
      <c r="P321" s="150">
        <v>0.1362</v>
      </c>
      <c r="Q321" s="153">
        <v>43685.0</v>
      </c>
      <c r="R321" s="126" t="s">
        <v>286</v>
      </c>
      <c r="S321" s="150">
        <v>-0.0275</v>
      </c>
      <c r="T321" s="126" t="s">
        <v>276</v>
      </c>
      <c r="U321" s="126" t="s">
        <v>276</v>
      </c>
      <c r="V321" s="150">
        <v>0.0027</v>
      </c>
      <c r="W321" s="126" t="s">
        <v>2652</v>
      </c>
      <c r="X321" s="151">
        <v>9250.0</v>
      </c>
      <c r="Y321" s="115"/>
      <c r="Z321" s="115"/>
    </row>
    <row r="322">
      <c r="A322" s="126" t="s">
        <v>2653</v>
      </c>
      <c r="B322" s="126" t="s">
        <v>2654</v>
      </c>
      <c r="C322" s="126" t="s">
        <v>2655</v>
      </c>
      <c r="D322" s="126" t="s">
        <v>2656</v>
      </c>
      <c r="E322" s="126" t="s">
        <v>301</v>
      </c>
      <c r="F322" s="126" t="s">
        <v>2657</v>
      </c>
      <c r="G322" s="126" t="s">
        <v>2658</v>
      </c>
      <c r="H322" s="126">
        <v>0.68</v>
      </c>
      <c r="I322" s="126" t="s">
        <v>2659</v>
      </c>
      <c r="J322" s="126" t="s">
        <v>2660</v>
      </c>
      <c r="K322" s="126" t="s">
        <v>318</v>
      </c>
      <c r="L322" s="126" t="s">
        <v>318</v>
      </c>
      <c r="M322" s="126" t="s">
        <v>2661</v>
      </c>
      <c r="N322" s="149">
        <v>44377.0</v>
      </c>
      <c r="O322" s="150">
        <v>0.0</v>
      </c>
      <c r="P322" s="150"/>
      <c r="Q322" s="149">
        <v>41696.0</v>
      </c>
      <c r="R322" s="126" t="s">
        <v>286</v>
      </c>
      <c r="S322" s="150">
        <v>0.0</v>
      </c>
      <c r="T322" s="150">
        <v>1.0</v>
      </c>
      <c r="U322" s="126" t="s">
        <v>276</v>
      </c>
      <c r="V322" s="150">
        <v>0.0</v>
      </c>
      <c r="W322" s="126"/>
      <c r="X322" s="151">
        <v>50.0</v>
      </c>
      <c r="Y322" s="115"/>
      <c r="Z322" s="115"/>
    </row>
    <row r="323">
      <c r="A323" s="126" t="s">
        <v>2662</v>
      </c>
      <c r="B323" s="126" t="s">
        <v>318</v>
      </c>
      <c r="C323" s="126" t="s">
        <v>2663</v>
      </c>
      <c r="D323" s="126"/>
      <c r="E323" s="126" t="s">
        <v>755</v>
      </c>
      <c r="F323" s="126" t="s">
        <v>318</v>
      </c>
      <c r="G323" s="126" t="s">
        <v>2664</v>
      </c>
      <c r="H323" s="126">
        <v>0.0</v>
      </c>
      <c r="I323" s="126" t="s">
        <v>276</v>
      </c>
      <c r="J323" s="126" t="s">
        <v>276</v>
      </c>
      <c r="K323" s="126"/>
      <c r="L323" s="126"/>
      <c r="M323" s="126" t="s">
        <v>285</v>
      </c>
      <c r="N323" s="149"/>
      <c r="O323" s="150"/>
      <c r="P323" s="150"/>
      <c r="Q323" s="126" t="s">
        <v>276</v>
      </c>
      <c r="R323" s="126" t="s">
        <v>286</v>
      </c>
      <c r="S323" s="126" t="s">
        <v>276</v>
      </c>
      <c r="T323" s="126" t="s">
        <v>276</v>
      </c>
      <c r="U323" s="126" t="s">
        <v>276</v>
      </c>
      <c r="V323" s="150">
        <v>0.0</v>
      </c>
      <c r="W323" s="126"/>
      <c r="X323" s="151">
        <v>1.0</v>
      </c>
      <c r="Y323" s="115"/>
      <c r="Z323" s="115"/>
    </row>
    <row r="324">
      <c r="A324" s="126" t="s">
        <v>130</v>
      </c>
      <c r="B324" s="126" t="s">
        <v>2665</v>
      </c>
      <c r="C324" s="126" t="s">
        <v>2666</v>
      </c>
      <c r="D324" s="126" t="s">
        <v>2648</v>
      </c>
      <c r="E324" s="126" t="s">
        <v>335</v>
      </c>
      <c r="F324" s="126" t="s">
        <v>2667</v>
      </c>
      <c r="G324" s="126" t="s">
        <v>2668</v>
      </c>
      <c r="H324" s="126">
        <v>0.61</v>
      </c>
      <c r="I324" s="126" t="s">
        <v>2669</v>
      </c>
      <c r="J324" s="126" t="s">
        <v>2670</v>
      </c>
      <c r="K324" s="126" t="s">
        <v>643</v>
      </c>
      <c r="L324" s="126" t="s">
        <v>2671</v>
      </c>
      <c r="M324" s="126" t="s">
        <v>2672</v>
      </c>
      <c r="N324" s="149">
        <v>44971.0</v>
      </c>
      <c r="O324" s="150">
        <v>0.1422</v>
      </c>
      <c r="P324" s="150">
        <v>0.1339</v>
      </c>
      <c r="Q324" s="149">
        <v>43840.0</v>
      </c>
      <c r="R324" s="126" t="s">
        <v>286</v>
      </c>
      <c r="S324" s="150">
        <v>-0.1538</v>
      </c>
      <c r="T324" s="150">
        <v>0.062</v>
      </c>
      <c r="U324" s="126" t="s">
        <v>276</v>
      </c>
      <c r="V324" s="150">
        <v>0.0057</v>
      </c>
      <c r="W324" s="126" t="s">
        <v>2673</v>
      </c>
      <c r="X324" s="151">
        <v>34637.0</v>
      </c>
      <c r="Y324" s="115"/>
      <c r="Z324" s="115"/>
    </row>
    <row r="325">
      <c r="A325" s="126" t="s">
        <v>2674</v>
      </c>
      <c r="B325" s="126" t="s">
        <v>318</v>
      </c>
      <c r="C325" s="126" t="s">
        <v>2675</v>
      </c>
      <c r="D325" s="126" t="s">
        <v>2479</v>
      </c>
      <c r="E325" s="126" t="s">
        <v>528</v>
      </c>
      <c r="F325" s="126" t="s">
        <v>318</v>
      </c>
      <c r="G325" s="126" t="s">
        <v>2676</v>
      </c>
      <c r="H325" s="126">
        <v>0.0</v>
      </c>
      <c r="I325" s="126" t="s">
        <v>276</v>
      </c>
      <c r="J325" s="126" t="s">
        <v>276</v>
      </c>
      <c r="K325" s="126"/>
      <c r="L325" s="126"/>
      <c r="M325" s="126" t="s">
        <v>285</v>
      </c>
      <c r="N325" s="149"/>
      <c r="O325" s="150"/>
      <c r="P325" s="150"/>
      <c r="Q325" s="126" t="s">
        <v>276</v>
      </c>
      <c r="R325" s="126" t="s">
        <v>318</v>
      </c>
      <c r="S325" s="126" t="s">
        <v>276</v>
      </c>
      <c r="T325" s="126" t="s">
        <v>276</v>
      </c>
      <c r="U325" s="126" t="s">
        <v>276</v>
      </c>
      <c r="V325" s="150">
        <v>0.0</v>
      </c>
      <c r="W325" s="126"/>
      <c r="X325" s="151">
        <v>2.0</v>
      </c>
      <c r="Y325" s="115"/>
      <c r="Z325" s="115"/>
    </row>
    <row r="326">
      <c r="A326" s="126" t="s">
        <v>2677</v>
      </c>
      <c r="B326" s="126" t="s">
        <v>2678</v>
      </c>
      <c r="C326" s="126" t="s">
        <v>2679</v>
      </c>
      <c r="D326" s="126" t="s">
        <v>638</v>
      </c>
      <c r="E326" s="126" t="s">
        <v>267</v>
      </c>
      <c r="F326" s="126" t="s">
        <v>2680</v>
      </c>
      <c r="G326" s="126" t="s">
        <v>2681</v>
      </c>
      <c r="H326" s="126">
        <v>0.45</v>
      </c>
      <c r="I326" s="126" t="s">
        <v>2682</v>
      </c>
      <c r="J326" s="126" t="s">
        <v>2683</v>
      </c>
      <c r="K326" s="126" t="s">
        <v>404</v>
      </c>
      <c r="L326" s="126" t="s">
        <v>2684</v>
      </c>
      <c r="M326" s="126" t="s">
        <v>2685</v>
      </c>
      <c r="N326" s="149">
        <v>44971.0</v>
      </c>
      <c r="O326" s="150">
        <v>0.1122</v>
      </c>
      <c r="P326" s="150">
        <v>0.0432</v>
      </c>
      <c r="Q326" s="153">
        <v>39015.0</v>
      </c>
      <c r="R326" s="126" t="s">
        <v>296</v>
      </c>
      <c r="S326" s="150">
        <v>0.0539</v>
      </c>
      <c r="T326" s="150">
        <v>0.232</v>
      </c>
      <c r="U326" s="126" t="s">
        <v>276</v>
      </c>
      <c r="V326" s="150">
        <v>0.0</v>
      </c>
      <c r="W326" s="126" t="s">
        <v>2686</v>
      </c>
      <c r="X326" s="151">
        <v>5086.0</v>
      </c>
      <c r="Y326" s="115"/>
      <c r="Z326" s="115"/>
    </row>
    <row r="327">
      <c r="A327" s="126" t="s">
        <v>119</v>
      </c>
      <c r="B327" s="126" t="s">
        <v>2687</v>
      </c>
      <c r="C327" s="126" t="s">
        <v>2688</v>
      </c>
      <c r="D327" s="126" t="s">
        <v>2689</v>
      </c>
      <c r="E327" s="126" t="s">
        <v>528</v>
      </c>
      <c r="F327" s="126" t="s">
        <v>2690</v>
      </c>
      <c r="G327" s="126" t="s">
        <v>2691</v>
      </c>
      <c r="H327" s="126">
        <v>0.9</v>
      </c>
      <c r="I327" s="126" t="s">
        <v>2692</v>
      </c>
      <c r="J327" s="126" t="s">
        <v>2693</v>
      </c>
      <c r="K327" s="126" t="s">
        <v>680</v>
      </c>
      <c r="L327" s="126" t="s">
        <v>2694</v>
      </c>
      <c r="M327" s="126" t="s">
        <v>2695</v>
      </c>
      <c r="N327" s="149">
        <v>44971.0</v>
      </c>
      <c r="O327" s="150">
        <v>0.1196</v>
      </c>
      <c r="P327" s="150">
        <v>0.1068</v>
      </c>
      <c r="Q327" s="153">
        <v>41232.0</v>
      </c>
      <c r="R327" s="126" t="s">
        <v>286</v>
      </c>
      <c r="S327" s="150">
        <v>-0.0784</v>
      </c>
      <c r="T327" s="150">
        <v>0.006</v>
      </c>
      <c r="U327" s="153">
        <v>43069.0</v>
      </c>
      <c r="V327" s="150">
        <v>0.0055</v>
      </c>
      <c r="W327" s="126" t="s">
        <v>2696</v>
      </c>
      <c r="X327" s="151">
        <v>65802.0</v>
      </c>
      <c r="Y327" s="115"/>
      <c r="Z327" s="115"/>
    </row>
    <row r="328">
      <c r="A328" s="126" t="s">
        <v>2697</v>
      </c>
      <c r="B328" s="126" t="s">
        <v>286</v>
      </c>
      <c r="C328" s="126" t="s">
        <v>2698</v>
      </c>
      <c r="D328" s="126" t="s">
        <v>399</v>
      </c>
      <c r="E328" s="126" t="s">
        <v>335</v>
      </c>
      <c r="F328" s="126" t="s">
        <v>2699</v>
      </c>
      <c r="G328" s="126" t="s">
        <v>2700</v>
      </c>
      <c r="H328" s="126">
        <v>1.19</v>
      </c>
      <c r="I328" s="126" t="s">
        <v>276</v>
      </c>
      <c r="J328" s="126" t="s">
        <v>276</v>
      </c>
      <c r="K328" s="126" t="s">
        <v>1309</v>
      </c>
      <c r="L328" s="126"/>
      <c r="M328" s="126" t="s">
        <v>285</v>
      </c>
      <c r="N328" s="149">
        <v>44971.0</v>
      </c>
      <c r="O328" s="150">
        <v>0.1566</v>
      </c>
      <c r="P328" s="150">
        <v>0.1143</v>
      </c>
      <c r="Q328" s="149">
        <v>44557.0</v>
      </c>
      <c r="R328" s="126" t="s">
        <v>286</v>
      </c>
      <c r="S328" s="150">
        <v>0.0</v>
      </c>
      <c r="T328" s="126" t="s">
        <v>276</v>
      </c>
      <c r="U328" s="126" t="s">
        <v>276</v>
      </c>
      <c r="V328" s="150">
        <v>0.0</v>
      </c>
      <c r="W328" s="126" t="s">
        <v>2701</v>
      </c>
      <c r="X328" s="151">
        <v>112.0</v>
      </c>
      <c r="Y328" s="115"/>
      <c r="Z328" s="115"/>
    </row>
    <row r="329">
      <c r="A329" s="126" t="s">
        <v>2702</v>
      </c>
      <c r="B329" s="126" t="s">
        <v>2703</v>
      </c>
      <c r="C329" s="126" t="s">
        <v>2704</v>
      </c>
      <c r="D329" s="126" t="s">
        <v>2705</v>
      </c>
      <c r="E329" s="126" t="s">
        <v>335</v>
      </c>
      <c r="F329" s="126" t="s">
        <v>2706</v>
      </c>
      <c r="G329" s="126" t="s">
        <v>2707</v>
      </c>
      <c r="H329" s="126">
        <v>0.64</v>
      </c>
      <c r="I329" s="126" t="s">
        <v>2708</v>
      </c>
      <c r="J329" s="126" t="s">
        <v>2709</v>
      </c>
      <c r="K329" s="126" t="s">
        <v>1061</v>
      </c>
      <c r="L329" s="126" t="s">
        <v>2710</v>
      </c>
      <c r="M329" s="126" t="s">
        <v>2711</v>
      </c>
      <c r="N329" s="149">
        <v>44971.0</v>
      </c>
      <c r="O329" s="150">
        <v>0.1469</v>
      </c>
      <c r="P329" s="150">
        <v>0.1312</v>
      </c>
      <c r="Q329" s="149">
        <v>44253.0</v>
      </c>
      <c r="R329" s="126" t="s">
        <v>286</v>
      </c>
      <c r="S329" s="150">
        <v>-0.0339</v>
      </c>
      <c r="T329" s="150">
        <v>0.0</v>
      </c>
      <c r="U329" s="126" t="s">
        <v>276</v>
      </c>
      <c r="V329" s="150">
        <v>0.0</v>
      </c>
      <c r="W329" s="126" t="s">
        <v>2712</v>
      </c>
      <c r="X329" s="151">
        <v>4865.0</v>
      </c>
      <c r="Y329" s="115"/>
      <c r="Z329" s="115"/>
    </row>
    <row r="330">
      <c r="A330" s="126" t="s">
        <v>2713</v>
      </c>
      <c r="B330" s="126" t="s">
        <v>318</v>
      </c>
      <c r="C330" s="126" t="s">
        <v>2714</v>
      </c>
      <c r="D330" s="126" t="s">
        <v>266</v>
      </c>
      <c r="E330" s="126" t="s">
        <v>301</v>
      </c>
      <c r="F330" s="126" t="s">
        <v>318</v>
      </c>
      <c r="G330" s="126" t="s">
        <v>2715</v>
      </c>
      <c r="H330" s="126">
        <v>0.0</v>
      </c>
      <c r="I330" s="126" t="s">
        <v>318</v>
      </c>
      <c r="J330" s="126" t="s">
        <v>2716</v>
      </c>
      <c r="K330" s="126" t="s">
        <v>318</v>
      </c>
      <c r="L330" s="126" t="s">
        <v>318</v>
      </c>
      <c r="M330" s="126" t="s">
        <v>2717</v>
      </c>
      <c r="N330" s="149">
        <v>44964.0</v>
      </c>
      <c r="O330" s="150"/>
      <c r="P330" s="150"/>
      <c r="Q330" s="149">
        <v>39618.0</v>
      </c>
      <c r="R330" s="126" t="s">
        <v>296</v>
      </c>
      <c r="S330" s="126" t="s">
        <v>276</v>
      </c>
      <c r="T330" s="126" t="s">
        <v>276</v>
      </c>
      <c r="U330" s="126" t="s">
        <v>276</v>
      </c>
      <c r="V330" s="150">
        <v>0.0</v>
      </c>
      <c r="W330" s="126"/>
      <c r="X330" s="151">
        <v>54.0</v>
      </c>
      <c r="Y330" s="115"/>
      <c r="Z330" s="115"/>
    </row>
    <row r="331">
      <c r="A331" s="126" t="s">
        <v>2718</v>
      </c>
      <c r="B331" s="126" t="s">
        <v>318</v>
      </c>
      <c r="C331" s="126" t="s">
        <v>2719</v>
      </c>
      <c r="D331" s="126" t="s">
        <v>2720</v>
      </c>
      <c r="E331" s="126" t="s">
        <v>335</v>
      </c>
      <c r="F331" s="126" t="s">
        <v>318</v>
      </c>
      <c r="G331" s="126" t="s">
        <v>2721</v>
      </c>
      <c r="H331" s="126">
        <v>0.0</v>
      </c>
      <c r="I331" s="126" t="s">
        <v>276</v>
      </c>
      <c r="J331" s="126" t="s">
        <v>276</v>
      </c>
      <c r="K331" s="126" t="s">
        <v>318</v>
      </c>
      <c r="L331" s="126"/>
      <c r="M331" s="126" t="s">
        <v>285</v>
      </c>
      <c r="N331" s="153">
        <v>44500.0</v>
      </c>
      <c r="O331" s="150"/>
      <c r="P331" s="150"/>
      <c r="Q331" s="126" t="s">
        <v>276</v>
      </c>
      <c r="R331" s="126" t="s">
        <v>318</v>
      </c>
      <c r="S331" s="126" t="s">
        <v>276</v>
      </c>
      <c r="T331" s="126" t="s">
        <v>276</v>
      </c>
      <c r="U331" s="126" t="s">
        <v>276</v>
      </c>
      <c r="V331" s="150">
        <v>0.0</v>
      </c>
      <c r="W331" s="126"/>
      <c r="X331" s="151">
        <v>20.0</v>
      </c>
      <c r="Y331" s="115"/>
      <c r="Z331" s="115"/>
    </row>
    <row r="332">
      <c r="A332" s="126" t="s">
        <v>200</v>
      </c>
      <c r="B332" s="126" t="s">
        <v>318</v>
      </c>
      <c r="C332" s="126" t="s">
        <v>2722</v>
      </c>
      <c r="D332" s="126" t="s">
        <v>313</v>
      </c>
      <c r="E332" s="126" t="s">
        <v>267</v>
      </c>
      <c r="F332" s="126" t="s">
        <v>2723</v>
      </c>
      <c r="G332" s="126" t="s">
        <v>2724</v>
      </c>
      <c r="H332" s="126">
        <v>0.85</v>
      </c>
      <c r="I332" s="126" t="s">
        <v>2725</v>
      </c>
      <c r="J332" s="126" t="s">
        <v>2726</v>
      </c>
      <c r="K332" s="126" t="s">
        <v>2727</v>
      </c>
      <c r="L332" s="126" t="s">
        <v>2728</v>
      </c>
      <c r="M332" s="126" t="s">
        <v>2729</v>
      </c>
      <c r="N332" s="149">
        <v>44974.0</v>
      </c>
      <c r="O332" s="150">
        <v>0.1248</v>
      </c>
      <c r="P332" s="150">
        <v>0.076</v>
      </c>
      <c r="Q332" s="149">
        <v>41487.0</v>
      </c>
      <c r="R332" s="126" t="s">
        <v>2730</v>
      </c>
      <c r="S332" s="150">
        <v>-0.0101</v>
      </c>
      <c r="T332" s="150">
        <v>0.026</v>
      </c>
      <c r="U332" s="126" t="s">
        <v>276</v>
      </c>
      <c r="V332" s="150">
        <v>0.0</v>
      </c>
      <c r="W332" s="126"/>
      <c r="X332" s="151">
        <v>3.0</v>
      </c>
      <c r="Y332" s="115"/>
      <c r="Z332" s="115"/>
    </row>
    <row r="333">
      <c r="A333" s="126" t="s">
        <v>2731</v>
      </c>
      <c r="B333" s="126" t="s">
        <v>2487</v>
      </c>
      <c r="C333" s="126" t="s">
        <v>2732</v>
      </c>
      <c r="D333" s="126" t="s">
        <v>2733</v>
      </c>
      <c r="E333" s="126" t="s">
        <v>267</v>
      </c>
      <c r="F333" s="126" t="s">
        <v>2734</v>
      </c>
      <c r="G333" s="126" t="s">
        <v>2735</v>
      </c>
      <c r="H333" s="126">
        <v>1.94</v>
      </c>
      <c r="I333" s="126" t="s">
        <v>2736</v>
      </c>
      <c r="J333" s="126" t="s">
        <v>2737</v>
      </c>
      <c r="K333" s="126" t="s">
        <v>318</v>
      </c>
      <c r="L333" s="126" t="s">
        <v>318</v>
      </c>
      <c r="M333" s="126" t="s">
        <v>2738</v>
      </c>
      <c r="N333" s="149">
        <v>44760.0</v>
      </c>
      <c r="O333" s="150">
        <v>0.0</v>
      </c>
      <c r="P333" s="150"/>
      <c r="Q333" s="149">
        <v>42529.0</v>
      </c>
      <c r="R333" s="126" t="s">
        <v>286</v>
      </c>
      <c r="S333" s="150">
        <v>-0.0455</v>
      </c>
      <c r="T333" s="150">
        <v>0.181</v>
      </c>
      <c r="U333" s="126" t="s">
        <v>276</v>
      </c>
      <c r="V333" s="150">
        <v>0.0</v>
      </c>
      <c r="W333" s="126" t="s">
        <v>2739</v>
      </c>
      <c r="X333" s="151">
        <v>27.0</v>
      </c>
      <c r="Y333" s="115"/>
      <c r="Z333" s="115"/>
    </row>
    <row r="334">
      <c r="A334" s="126" t="s">
        <v>150</v>
      </c>
      <c r="B334" s="126" t="s">
        <v>2740</v>
      </c>
      <c r="C334" s="126" t="s">
        <v>2741</v>
      </c>
      <c r="D334" s="126" t="s">
        <v>266</v>
      </c>
      <c r="E334" s="126" t="s">
        <v>267</v>
      </c>
      <c r="F334" s="126" t="s">
        <v>2742</v>
      </c>
      <c r="G334" s="126" t="s">
        <v>2743</v>
      </c>
      <c r="H334" s="126">
        <v>0.76</v>
      </c>
      <c r="I334" s="126" t="s">
        <v>2744</v>
      </c>
      <c r="J334" s="126" t="s">
        <v>2745</v>
      </c>
      <c r="K334" s="126" t="s">
        <v>2746</v>
      </c>
      <c r="L334" s="126" t="s">
        <v>2747</v>
      </c>
      <c r="M334" s="126" t="s">
        <v>2748</v>
      </c>
      <c r="N334" s="149">
        <v>44972.0</v>
      </c>
      <c r="O334" s="150">
        <v>0.0615</v>
      </c>
      <c r="P334" s="150">
        <v>0.0634</v>
      </c>
      <c r="Q334" s="149">
        <v>37834.0</v>
      </c>
      <c r="R334" s="126" t="s">
        <v>286</v>
      </c>
      <c r="S334" s="150">
        <v>-0.0739</v>
      </c>
      <c r="T334" s="150">
        <v>0.089</v>
      </c>
      <c r="U334" s="126" t="s">
        <v>276</v>
      </c>
      <c r="V334" s="150">
        <v>0.0</v>
      </c>
      <c r="W334" s="126" t="s">
        <v>2749</v>
      </c>
      <c r="X334" s="151">
        <v>2598.0</v>
      </c>
      <c r="Y334" s="115"/>
      <c r="Z334" s="115"/>
    </row>
    <row r="335">
      <c r="A335" s="126" t="s">
        <v>2750</v>
      </c>
      <c r="B335" s="126" t="s">
        <v>318</v>
      </c>
      <c r="C335" s="126" t="s">
        <v>2751</v>
      </c>
      <c r="D335" s="126"/>
      <c r="E335" s="126" t="s">
        <v>281</v>
      </c>
      <c r="F335" s="126" t="s">
        <v>318</v>
      </c>
      <c r="G335" s="126" t="s">
        <v>2752</v>
      </c>
      <c r="H335" s="126">
        <v>0.0</v>
      </c>
      <c r="I335" s="126" t="s">
        <v>276</v>
      </c>
      <c r="J335" s="126" t="s">
        <v>276</v>
      </c>
      <c r="K335" s="126" t="s">
        <v>2753</v>
      </c>
      <c r="L335" s="126"/>
      <c r="M335" s="126" t="s">
        <v>285</v>
      </c>
      <c r="N335" s="149">
        <v>44971.0</v>
      </c>
      <c r="O335" s="150"/>
      <c r="P335" s="150"/>
      <c r="Q335" s="153">
        <v>44963.0</v>
      </c>
      <c r="R335" s="126" t="s">
        <v>286</v>
      </c>
      <c r="S335" s="126" t="s">
        <v>276</v>
      </c>
      <c r="T335" s="126" t="s">
        <v>276</v>
      </c>
      <c r="U335" s="126" t="s">
        <v>276</v>
      </c>
      <c r="V335" s="150">
        <v>0.0</v>
      </c>
      <c r="W335" s="126"/>
      <c r="X335" s="151">
        <v>1.0</v>
      </c>
      <c r="Y335" s="115"/>
      <c r="Z335" s="115"/>
    </row>
    <row r="336">
      <c r="A336" s="126" t="s">
        <v>2754</v>
      </c>
      <c r="B336" s="126" t="s">
        <v>286</v>
      </c>
      <c r="C336" s="126" t="s">
        <v>2755</v>
      </c>
      <c r="D336" s="126" t="s">
        <v>2756</v>
      </c>
      <c r="E336" s="126" t="s">
        <v>281</v>
      </c>
      <c r="F336" s="126" t="s">
        <v>2757</v>
      </c>
      <c r="G336" s="126" t="s">
        <v>2758</v>
      </c>
      <c r="H336" s="126">
        <v>1.03</v>
      </c>
      <c r="I336" s="126" t="s">
        <v>276</v>
      </c>
      <c r="J336" s="126" t="s">
        <v>276</v>
      </c>
      <c r="K336" s="126" t="s">
        <v>2248</v>
      </c>
      <c r="L336" s="126"/>
      <c r="M336" s="126" t="s">
        <v>285</v>
      </c>
      <c r="N336" s="149">
        <v>44981.0</v>
      </c>
      <c r="O336" s="150">
        <v>0.1428</v>
      </c>
      <c r="P336" s="150">
        <v>0.0417</v>
      </c>
      <c r="Q336" s="149">
        <v>44860.0</v>
      </c>
      <c r="R336" s="126" t="s">
        <v>286</v>
      </c>
      <c r="S336" s="150">
        <v>0.0</v>
      </c>
      <c r="T336" s="126" t="s">
        <v>276</v>
      </c>
      <c r="U336" s="126" t="s">
        <v>276</v>
      </c>
      <c r="V336" s="150">
        <v>0.0</v>
      </c>
      <c r="W336" s="126"/>
      <c r="X336" s="151">
        <v>51.0</v>
      </c>
      <c r="Y336" s="115"/>
      <c r="Z336" s="115"/>
    </row>
    <row r="337">
      <c r="A337" s="126" t="s">
        <v>2759</v>
      </c>
      <c r="B337" s="126" t="s">
        <v>2760</v>
      </c>
      <c r="C337" s="126" t="s">
        <v>2761</v>
      </c>
      <c r="D337" s="126" t="s">
        <v>1838</v>
      </c>
      <c r="E337" s="126" t="s">
        <v>528</v>
      </c>
      <c r="F337" s="126" t="s">
        <v>2762</v>
      </c>
      <c r="G337" s="126" t="s">
        <v>2763</v>
      </c>
      <c r="H337" s="126">
        <v>0.88</v>
      </c>
      <c r="I337" s="126" t="s">
        <v>276</v>
      </c>
      <c r="J337" s="126" t="s">
        <v>276</v>
      </c>
      <c r="K337" s="126" t="s">
        <v>318</v>
      </c>
      <c r="L337" s="126"/>
      <c r="M337" s="126" t="s">
        <v>285</v>
      </c>
      <c r="N337" s="149">
        <v>44957.0</v>
      </c>
      <c r="O337" s="150">
        <v>0.0</v>
      </c>
      <c r="P337" s="150"/>
      <c r="Q337" s="126" t="s">
        <v>276</v>
      </c>
      <c r="R337" s="126" t="s">
        <v>286</v>
      </c>
      <c r="S337" s="150">
        <v>-0.1818</v>
      </c>
      <c r="T337" s="126" t="s">
        <v>276</v>
      </c>
      <c r="U337" s="126" t="s">
        <v>276</v>
      </c>
      <c r="V337" s="150">
        <v>0.0</v>
      </c>
      <c r="W337" s="126" t="s">
        <v>2764</v>
      </c>
      <c r="X337" s="151">
        <v>142.0</v>
      </c>
      <c r="Y337" s="115"/>
      <c r="Z337" s="115"/>
    </row>
    <row r="338">
      <c r="A338" s="126" t="s">
        <v>2765</v>
      </c>
      <c r="B338" s="126" t="s">
        <v>2766</v>
      </c>
      <c r="C338" s="126" t="s">
        <v>2767</v>
      </c>
      <c r="D338" s="126" t="s">
        <v>2768</v>
      </c>
      <c r="E338" s="126" t="s">
        <v>292</v>
      </c>
      <c r="F338" s="126" t="s">
        <v>2769</v>
      </c>
      <c r="G338" s="126" t="s">
        <v>2770</v>
      </c>
      <c r="H338" s="126">
        <v>1.0</v>
      </c>
      <c r="I338" s="126" t="s">
        <v>276</v>
      </c>
      <c r="J338" s="126" t="s">
        <v>276</v>
      </c>
      <c r="K338" s="126" t="s">
        <v>1454</v>
      </c>
      <c r="L338" s="126"/>
      <c r="M338" s="126" t="s">
        <v>285</v>
      </c>
      <c r="N338" s="149">
        <v>44981.0</v>
      </c>
      <c r="O338" s="150">
        <v>0.1531</v>
      </c>
      <c r="P338" s="150">
        <v>0.0657</v>
      </c>
      <c r="Q338" s="149">
        <v>44781.0</v>
      </c>
      <c r="R338" s="126" t="s">
        <v>286</v>
      </c>
      <c r="S338" s="150">
        <v>-0.0051</v>
      </c>
      <c r="T338" s="126" t="s">
        <v>276</v>
      </c>
      <c r="U338" s="126" t="s">
        <v>276</v>
      </c>
      <c r="V338" s="150">
        <v>0.0</v>
      </c>
      <c r="W338" s="126" t="s">
        <v>2771</v>
      </c>
      <c r="X338" s="151">
        <v>31461.0</v>
      </c>
      <c r="Y338" s="115"/>
      <c r="Z338" s="115"/>
    </row>
    <row r="339">
      <c r="A339" s="126" t="s">
        <v>224</v>
      </c>
      <c r="B339" s="126" t="s">
        <v>2309</v>
      </c>
      <c r="C339" s="126" t="s">
        <v>2772</v>
      </c>
      <c r="D339" s="126" t="s">
        <v>2768</v>
      </c>
      <c r="E339" s="126" t="s">
        <v>281</v>
      </c>
      <c r="F339" s="126" t="s">
        <v>2773</v>
      </c>
      <c r="G339" s="126" t="s">
        <v>2774</v>
      </c>
      <c r="H339" s="126">
        <v>0.98</v>
      </c>
      <c r="I339" s="126" t="s">
        <v>276</v>
      </c>
      <c r="J339" s="126" t="s">
        <v>276</v>
      </c>
      <c r="K339" s="126" t="s">
        <v>488</v>
      </c>
      <c r="L339" s="126"/>
      <c r="M339" s="126" t="s">
        <v>285</v>
      </c>
      <c r="N339" s="149">
        <v>44981.0</v>
      </c>
      <c r="O339" s="150">
        <v>0.1334</v>
      </c>
      <c r="P339" s="150">
        <v>0.1495</v>
      </c>
      <c r="Q339" s="149">
        <v>44484.0</v>
      </c>
      <c r="R339" s="126" t="s">
        <v>286</v>
      </c>
      <c r="S339" s="150">
        <v>-0.032</v>
      </c>
      <c r="T339" s="126" t="s">
        <v>276</v>
      </c>
      <c r="U339" s="126" t="s">
        <v>276</v>
      </c>
      <c r="V339" s="150">
        <v>0.0038</v>
      </c>
      <c r="W339" s="126" t="s">
        <v>2775</v>
      </c>
      <c r="X339" s="151">
        <v>44488.0</v>
      </c>
      <c r="Y339" s="115"/>
      <c r="Z339" s="115"/>
    </row>
    <row r="340">
      <c r="A340" s="126" t="s">
        <v>225</v>
      </c>
      <c r="B340" s="126" t="s">
        <v>2776</v>
      </c>
      <c r="C340" s="126" t="s">
        <v>2777</v>
      </c>
      <c r="D340" s="126" t="s">
        <v>2768</v>
      </c>
      <c r="E340" s="126" t="s">
        <v>328</v>
      </c>
      <c r="F340" s="126" t="s">
        <v>2778</v>
      </c>
      <c r="G340" s="126" t="s">
        <v>2779</v>
      </c>
      <c r="H340" s="126">
        <v>1.0</v>
      </c>
      <c r="I340" s="126" t="s">
        <v>276</v>
      </c>
      <c r="J340" s="126" t="s">
        <v>276</v>
      </c>
      <c r="K340" s="126" t="s">
        <v>790</v>
      </c>
      <c r="L340" s="126"/>
      <c r="M340" s="126" t="s">
        <v>285</v>
      </c>
      <c r="N340" s="149">
        <v>44981.0</v>
      </c>
      <c r="O340" s="150">
        <v>0.0944</v>
      </c>
      <c r="P340" s="150">
        <v>0.1074</v>
      </c>
      <c r="Q340" s="153">
        <v>44319.0</v>
      </c>
      <c r="R340" s="126" t="s">
        <v>286</v>
      </c>
      <c r="S340" s="150">
        <v>-0.0204</v>
      </c>
      <c r="T340" s="126" t="s">
        <v>276</v>
      </c>
      <c r="U340" s="126" t="s">
        <v>276</v>
      </c>
      <c r="V340" s="150">
        <v>0.0023</v>
      </c>
      <c r="W340" s="126" t="s">
        <v>2780</v>
      </c>
      <c r="X340" s="151">
        <v>33268.0</v>
      </c>
      <c r="Y340" s="115"/>
      <c r="Z340" s="115"/>
    </row>
    <row r="341">
      <c r="A341" s="126" t="s">
        <v>2781</v>
      </c>
      <c r="B341" s="126" t="s">
        <v>2782</v>
      </c>
      <c r="C341" s="126" t="s">
        <v>2783</v>
      </c>
      <c r="D341" s="126" t="s">
        <v>2768</v>
      </c>
      <c r="E341" s="126" t="s">
        <v>528</v>
      </c>
      <c r="F341" s="126" t="s">
        <v>2784</v>
      </c>
      <c r="G341" s="126" t="s">
        <v>2785</v>
      </c>
      <c r="H341" s="126">
        <v>0.63</v>
      </c>
      <c r="I341" s="126" t="s">
        <v>2786</v>
      </c>
      <c r="J341" s="126" t="s">
        <v>2787</v>
      </c>
      <c r="K341" s="126" t="s">
        <v>2788</v>
      </c>
      <c r="L341" s="126" t="s">
        <v>2789</v>
      </c>
      <c r="M341" s="126" t="s">
        <v>2790</v>
      </c>
      <c r="N341" s="149">
        <v>44951.0</v>
      </c>
      <c r="O341" s="150">
        <v>0.1132</v>
      </c>
      <c r="P341" s="150">
        <v>0.1272</v>
      </c>
      <c r="Q341" s="149">
        <v>44281.0</v>
      </c>
      <c r="R341" s="126" t="s">
        <v>286</v>
      </c>
      <c r="S341" s="150">
        <v>-0.0233</v>
      </c>
      <c r="T341" s="150">
        <v>0.0</v>
      </c>
      <c r="U341" s="126" t="s">
        <v>276</v>
      </c>
      <c r="V341" s="150">
        <v>0.0</v>
      </c>
      <c r="W341" s="126" t="s">
        <v>2791</v>
      </c>
      <c r="X341" s="151">
        <v>3940.0</v>
      </c>
      <c r="Y341" s="115"/>
      <c r="Z341" s="115"/>
    </row>
    <row r="342">
      <c r="A342" s="126" t="s">
        <v>2792</v>
      </c>
      <c r="B342" s="126" t="s">
        <v>2793</v>
      </c>
      <c r="C342" s="126" t="s">
        <v>2794</v>
      </c>
      <c r="D342" s="126" t="s">
        <v>2795</v>
      </c>
      <c r="E342" s="126" t="s">
        <v>335</v>
      </c>
      <c r="F342" s="126" t="s">
        <v>2796</v>
      </c>
      <c r="G342" s="126" t="s">
        <v>2797</v>
      </c>
      <c r="H342" s="126">
        <v>1.23</v>
      </c>
      <c r="I342" s="126" t="s">
        <v>276</v>
      </c>
      <c r="J342" s="126" t="s">
        <v>276</v>
      </c>
      <c r="K342" s="126" t="s">
        <v>2798</v>
      </c>
      <c r="L342" s="126"/>
      <c r="M342" s="126" t="s">
        <v>285</v>
      </c>
      <c r="N342" s="149">
        <v>44964.0</v>
      </c>
      <c r="O342" s="150">
        <v>0.0971</v>
      </c>
      <c r="P342" s="150">
        <v>0.0839</v>
      </c>
      <c r="Q342" s="149">
        <v>43970.0</v>
      </c>
      <c r="R342" s="126" t="s">
        <v>320</v>
      </c>
      <c r="S342" s="150">
        <v>0.0</v>
      </c>
      <c r="T342" s="126" t="s">
        <v>276</v>
      </c>
      <c r="U342" s="126" t="s">
        <v>276</v>
      </c>
      <c r="V342" s="150">
        <v>0.0</v>
      </c>
      <c r="W342" s="126"/>
      <c r="X342" s="151">
        <v>52.0</v>
      </c>
      <c r="Y342" s="115"/>
      <c r="Z342" s="115"/>
    </row>
    <row r="343">
      <c r="A343" s="126" t="s">
        <v>2799</v>
      </c>
      <c r="B343" s="126" t="s">
        <v>318</v>
      </c>
      <c r="C343" s="126" t="s">
        <v>2800</v>
      </c>
      <c r="D343" s="126" t="s">
        <v>2801</v>
      </c>
      <c r="E343" s="126" t="s">
        <v>267</v>
      </c>
      <c r="F343" s="126" t="s">
        <v>318</v>
      </c>
      <c r="G343" s="126" t="s">
        <v>2802</v>
      </c>
      <c r="H343" s="126">
        <v>0.0</v>
      </c>
      <c r="I343" s="126" t="s">
        <v>276</v>
      </c>
      <c r="J343" s="126" t="s">
        <v>276</v>
      </c>
      <c r="K343" s="126" t="s">
        <v>2803</v>
      </c>
      <c r="L343" s="126"/>
      <c r="M343" s="126" t="s">
        <v>285</v>
      </c>
      <c r="N343" s="149">
        <v>44964.0</v>
      </c>
      <c r="O343" s="150"/>
      <c r="P343" s="150"/>
      <c r="Q343" s="149">
        <v>42716.0</v>
      </c>
      <c r="R343" s="126" t="s">
        <v>320</v>
      </c>
      <c r="S343" s="126" t="s">
        <v>276</v>
      </c>
      <c r="T343" s="150">
        <v>0.047</v>
      </c>
      <c r="U343" s="126" t="s">
        <v>276</v>
      </c>
      <c r="V343" s="150">
        <v>0.0</v>
      </c>
      <c r="W343" s="126"/>
      <c r="X343" s="151">
        <v>1.0</v>
      </c>
      <c r="Y343" s="115"/>
      <c r="Z343" s="115"/>
    </row>
    <row r="344">
      <c r="A344" s="126" t="s">
        <v>46</v>
      </c>
      <c r="B344" s="126" t="s">
        <v>2804</v>
      </c>
      <c r="C344" s="126" t="s">
        <v>2805</v>
      </c>
      <c r="D344" s="126" t="s">
        <v>1899</v>
      </c>
      <c r="E344" s="126" t="s">
        <v>301</v>
      </c>
      <c r="F344" s="126" t="s">
        <v>2806</v>
      </c>
      <c r="G344" s="126" t="s">
        <v>2807</v>
      </c>
      <c r="H344" s="126">
        <v>0.7</v>
      </c>
      <c r="I344" s="126" t="s">
        <v>2808</v>
      </c>
      <c r="J344" s="126" t="s">
        <v>2809</v>
      </c>
      <c r="K344" s="126" t="s">
        <v>2324</v>
      </c>
      <c r="L344" s="126" t="s">
        <v>2810</v>
      </c>
      <c r="M344" s="126" t="s">
        <v>2811</v>
      </c>
      <c r="N344" s="149">
        <v>44964.0</v>
      </c>
      <c r="O344" s="150">
        <v>0.1371</v>
      </c>
      <c r="P344" s="150">
        <v>0.1246</v>
      </c>
      <c r="Q344" s="149">
        <v>41345.0</v>
      </c>
      <c r="R344" s="126" t="s">
        <v>286</v>
      </c>
      <c r="S344" s="150">
        <v>-0.0434</v>
      </c>
      <c r="T344" s="150">
        <v>0.0</v>
      </c>
      <c r="U344" s="126" t="s">
        <v>276</v>
      </c>
      <c r="V344" s="150">
        <v>0.0</v>
      </c>
      <c r="W344" s="126" t="s">
        <v>2812</v>
      </c>
      <c r="X344" s="151">
        <v>32144.0</v>
      </c>
      <c r="Y344" s="115"/>
      <c r="Z344" s="115"/>
    </row>
    <row r="345">
      <c r="A345" s="126" t="s">
        <v>2813</v>
      </c>
      <c r="B345" s="126" t="s">
        <v>318</v>
      </c>
      <c r="C345" s="126" t="s">
        <v>2814</v>
      </c>
      <c r="D345" s="126"/>
      <c r="E345" s="126" t="s">
        <v>267</v>
      </c>
      <c r="F345" s="126" t="s">
        <v>318</v>
      </c>
      <c r="G345" s="126" t="s">
        <v>2815</v>
      </c>
      <c r="H345" s="126">
        <v>0.0</v>
      </c>
      <c r="I345" s="126" t="s">
        <v>318</v>
      </c>
      <c r="J345" s="126" t="s">
        <v>2816</v>
      </c>
      <c r="K345" s="126" t="s">
        <v>2817</v>
      </c>
      <c r="L345" s="126" t="s">
        <v>2818</v>
      </c>
      <c r="M345" s="126" t="s">
        <v>2819</v>
      </c>
      <c r="N345" s="149">
        <v>44971.0</v>
      </c>
      <c r="O345" s="150"/>
      <c r="P345" s="150"/>
      <c r="Q345" s="126" t="s">
        <v>276</v>
      </c>
      <c r="R345" s="126" t="s">
        <v>286</v>
      </c>
      <c r="S345" s="126" t="s">
        <v>276</v>
      </c>
      <c r="T345" s="126" t="s">
        <v>276</v>
      </c>
      <c r="U345" s="153">
        <v>44957.0</v>
      </c>
      <c r="V345" s="150">
        <v>0.0</v>
      </c>
      <c r="W345" s="126"/>
      <c r="X345" s="151">
        <v>31.0</v>
      </c>
      <c r="Y345" s="115"/>
      <c r="Z345" s="115"/>
    </row>
    <row r="346">
      <c r="A346" s="126" t="s">
        <v>2820</v>
      </c>
      <c r="B346" s="126" t="s">
        <v>2821</v>
      </c>
      <c r="C346" s="126" t="s">
        <v>2822</v>
      </c>
      <c r="D346" s="126" t="s">
        <v>2823</v>
      </c>
      <c r="E346" s="126" t="s">
        <v>335</v>
      </c>
      <c r="F346" s="126" t="s">
        <v>2824</v>
      </c>
      <c r="G346" s="126" t="s">
        <v>2825</v>
      </c>
      <c r="H346" s="126">
        <v>0.86</v>
      </c>
      <c r="I346" s="126" t="s">
        <v>276</v>
      </c>
      <c r="J346" s="126" t="s">
        <v>276</v>
      </c>
      <c r="K346" s="126" t="s">
        <v>418</v>
      </c>
      <c r="L346" s="126"/>
      <c r="M346" s="126" t="s">
        <v>285</v>
      </c>
      <c r="N346" s="149">
        <v>44971.0</v>
      </c>
      <c r="O346" s="150">
        <v>0.1418</v>
      </c>
      <c r="P346" s="150">
        <v>0.0466</v>
      </c>
      <c r="Q346" s="149">
        <v>44782.0</v>
      </c>
      <c r="R346" s="126" t="s">
        <v>286</v>
      </c>
      <c r="S346" s="150">
        <v>-0.1429</v>
      </c>
      <c r="T346" s="126" t="s">
        <v>276</v>
      </c>
      <c r="U346" s="126" t="s">
        <v>276</v>
      </c>
      <c r="V346" s="150">
        <v>0.0</v>
      </c>
      <c r="W346" s="126" t="s">
        <v>2826</v>
      </c>
      <c r="X346" s="151">
        <v>1829.0</v>
      </c>
      <c r="Y346" s="115"/>
      <c r="Z346" s="115"/>
    </row>
    <row r="347">
      <c r="A347" s="126" t="s">
        <v>2827</v>
      </c>
      <c r="B347" s="126" t="s">
        <v>2828</v>
      </c>
      <c r="C347" s="126" t="s">
        <v>2829</v>
      </c>
      <c r="D347" s="126" t="s">
        <v>2830</v>
      </c>
      <c r="E347" s="126" t="s">
        <v>281</v>
      </c>
      <c r="F347" s="126" t="s">
        <v>2831</v>
      </c>
      <c r="G347" s="126" t="s">
        <v>2832</v>
      </c>
      <c r="H347" s="126">
        <v>9.46</v>
      </c>
      <c r="I347" s="126" t="s">
        <v>276</v>
      </c>
      <c r="J347" s="126" t="s">
        <v>276</v>
      </c>
      <c r="K347" s="126" t="s">
        <v>318</v>
      </c>
      <c r="L347" s="126"/>
      <c r="M347" s="126" t="s">
        <v>285</v>
      </c>
      <c r="N347" s="149">
        <v>44964.0</v>
      </c>
      <c r="O347" s="150">
        <v>0.0</v>
      </c>
      <c r="P347" s="150">
        <v>0.0286</v>
      </c>
      <c r="Q347" s="149">
        <v>44566.0</v>
      </c>
      <c r="R347" s="126" t="s">
        <v>2833</v>
      </c>
      <c r="S347" s="150">
        <v>-0.1358</v>
      </c>
      <c r="T347" s="126" t="s">
        <v>276</v>
      </c>
      <c r="U347" s="126" t="s">
        <v>276</v>
      </c>
      <c r="V347" s="150">
        <v>0.0</v>
      </c>
      <c r="W347" s="126" t="s">
        <v>2834</v>
      </c>
      <c r="X347" s="151">
        <v>99.0</v>
      </c>
      <c r="Y347" s="115"/>
      <c r="Z347" s="115"/>
    </row>
    <row r="348">
      <c r="A348" s="126" t="s">
        <v>201</v>
      </c>
      <c r="B348" s="126" t="s">
        <v>318</v>
      </c>
      <c r="C348" s="126" t="s">
        <v>2835</v>
      </c>
      <c r="D348" s="126" t="s">
        <v>2836</v>
      </c>
      <c r="E348" s="126" t="s">
        <v>267</v>
      </c>
      <c r="F348" s="126" t="s">
        <v>2837</v>
      </c>
      <c r="G348" s="126" t="s">
        <v>2838</v>
      </c>
      <c r="H348" s="126">
        <v>0.98</v>
      </c>
      <c r="I348" s="126" t="s">
        <v>2839</v>
      </c>
      <c r="J348" s="126" t="s">
        <v>2840</v>
      </c>
      <c r="K348" s="126" t="s">
        <v>2841</v>
      </c>
      <c r="L348" s="126" t="s">
        <v>2842</v>
      </c>
      <c r="M348" s="126" t="s">
        <v>2843</v>
      </c>
      <c r="N348" s="149">
        <v>44964.0</v>
      </c>
      <c r="O348" s="150">
        <v>0.0751</v>
      </c>
      <c r="P348" s="150">
        <v>0.0639</v>
      </c>
      <c r="Q348" s="126" t="s">
        <v>276</v>
      </c>
      <c r="R348" s="126" t="s">
        <v>2844</v>
      </c>
      <c r="S348" s="150">
        <v>-0.0049</v>
      </c>
      <c r="T348" s="126" t="s">
        <v>276</v>
      </c>
      <c r="U348" s="126" t="s">
        <v>276</v>
      </c>
      <c r="V348" s="150">
        <v>0.0</v>
      </c>
      <c r="W348" s="126"/>
      <c r="X348" s="151">
        <v>55.0</v>
      </c>
      <c r="Y348" s="115"/>
      <c r="Z348" s="115"/>
    </row>
    <row r="349">
      <c r="A349" s="126" t="s">
        <v>2845</v>
      </c>
      <c r="B349" s="126" t="s">
        <v>2846</v>
      </c>
      <c r="C349" s="126" t="s">
        <v>2847</v>
      </c>
      <c r="D349" s="126" t="s">
        <v>2848</v>
      </c>
      <c r="E349" s="126" t="s">
        <v>301</v>
      </c>
      <c r="F349" s="126" t="s">
        <v>2849</v>
      </c>
      <c r="G349" s="126" t="s">
        <v>2850</v>
      </c>
      <c r="H349" s="126">
        <v>1.03</v>
      </c>
      <c r="I349" s="126" t="s">
        <v>276</v>
      </c>
      <c r="J349" s="126" t="s">
        <v>276</v>
      </c>
      <c r="K349" s="126" t="s">
        <v>318</v>
      </c>
      <c r="L349" s="126"/>
      <c r="M349" s="126" t="s">
        <v>285</v>
      </c>
      <c r="N349" s="149">
        <v>44966.0</v>
      </c>
      <c r="O349" s="150">
        <v>0.0</v>
      </c>
      <c r="P349" s="150"/>
      <c r="Q349" s="126" t="s">
        <v>276</v>
      </c>
      <c r="R349" s="126" t="s">
        <v>286</v>
      </c>
      <c r="S349" s="150">
        <v>1.0E-4</v>
      </c>
      <c r="T349" s="126" t="s">
        <v>276</v>
      </c>
      <c r="U349" s="126" t="s">
        <v>276</v>
      </c>
      <c r="V349" s="150">
        <v>0.0</v>
      </c>
      <c r="W349" s="126" t="s">
        <v>2851</v>
      </c>
      <c r="X349" s="151">
        <v>133.0</v>
      </c>
      <c r="Y349" s="115"/>
      <c r="Z349" s="115"/>
    </row>
    <row r="350">
      <c r="A350" s="126" t="s">
        <v>2852</v>
      </c>
      <c r="B350" s="126" t="s">
        <v>318</v>
      </c>
      <c r="C350" s="126" t="s">
        <v>2853</v>
      </c>
      <c r="D350" s="126" t="s">
        <v>2848</v>
      </c>
      <c r="E350" s="126" t="s">
        <v>301</v>
      </c>
      <c r="F350" s="126" t="s">
        <v>318</v>
      </c>
      <c r="G350" s="126" t="s">
        <v>276</v>
      </c>
      <c r="H350" s="126" t="s">
        <v>276</v>
      </c>
      <c r="I350" s="126" t="s">
        <v>276</v>
      </c>
      <c r="J350" s="126" t="s">
        <v>276</v>
      </c>
      <c r="K350" s="126"/>
      <c r="L350" s="126"/>
      <c r="M350" s="126" t="s">
        <v>285</v>
      </c>
      <c r="N350" s="149"/>
      <c r="O350" s="150"/>
      <c r="P350" s="150"/>
      <c r="Q350" s="126" t="s">
        <v>276</v>
      </c>
      <c r="R350" s="126" t="s">
        <v>286</v>
      </c>
      <c r="S350" s="150">
        <v>0.0</v>
      </c>
      <c r="T350" s="126" t="s">
        <v>276</v>
      </c>
      <c r="U350" s="126" t="s">
        <v>276</v>
      </c>
      <c r="V350" s="150">
        <v>0.0</v>
      </c>
      <c r="W350" s="126"/>
      <c r="X350" s="151"/>
      <c r="Y350" s="115"/>
      <c r="Z350" s="115"/>
    </row>
    <row r="351">
      <c r="A351" s="126" t="s">
        <v>2854</v>
      </c>
      <c r="B351" s="126" t="s">
        <v>318</v>
      </c>
      <c r="C351" s="126" t="s">
        <v>2855</v>
      </c>
      <c r="D351" s="126" t="s">
        <v>2856</v>
      </c>
      <c r="E351" s="126" t="s">
        <v>367</v>
      </c>
      <c r="F351" s="126" t="s">
        <v>2857</v>
      </c>
      <c r="G351" s="126" t="s">
        <v>2858</v>
      </c>
      <c r="H351" s="126">
        <v>0.61</v>
      </c>
      <c r="I351" s="126" t="s">
        <v>276</v>
      </c>
      <c r="J351" s="126" t="s">
        <v>276</v>
      </c>
      <c r="K351" s="126" t="s">
        <v>2859</v>
      </c>
      <c r="L351" s="126"/>
      <c r="M351" s="126" t="s">
        <v>285</v>
      </c>
      <c r="N351" s="149">
        <v>44971.0</v>
      </c>
      <c r="O351" s="150">
        <v>0.2658</v>
      </c>
      <c r="P351" s="150">
        <v>0.2431</v>
      </c>
      <c r="Q351" s="153">
        <v>43614.0</v>
      </c>
      <c r="R351" s="126" t="s">
        <v>286</v>
      </c>
      <c r="S351" s="150">
        <v>0.0</v>
      </c>
      <c r="T351" s="126" t="s">
        <v>276</v>
      </c>
      <c r="U351" s="126" t="s">
        <v>276</v>
      </c>
      <c r="V351" s="150">
        <v>0.0</v>
      </c>
      <c r="W351" s="126"/>
      <c r="X351" s="151">
        <v>51.0</v>
      </c>
      <c r="Y351" s="115"/>
      <c r="Z351" s="115"/>
    </row>
    <row r="352">
      <c r="A352" s="126" t="s">
        <v>2860</v>
      </c>
      <c r="B352" s="126" t="s">
        <v>318</v>
      </c>
      <c r="C352" s="126" t="s">
        <v>2861</v>
      </c>
      <c r="D352" s="126" t="s">
        <v>2862</v>
      </c>
      <c r="E352" s="126" t="s">
        <v>528</v>
      </c>
      <c r="F352" s="126" t="s">
        <v>318</v>
      </c>
      <c r="G352" s="126" t="s">
        <v>2863</v>
      </c>
      <c r="H352" s="126">
        <v>0.0</v>
      </c>
      <c r="I352" s="126" t="s">
        <v>276</v>
      </c>
      <c r="J352" s="126" t="s">
        <v>276</v>
      </c>
      <c r="K352" s="126" t="s">
        <v>318</v>
      </c>
      <c r="L352" s="126"/>
      <c r="M352" s="126" t="s">
        <v>285</v>
      </c>
      <c r="N352" s="149">
        <v>44408.0</v>
      </c>
      <c r="O352" s="150"/>
      <c r="P352" s="150"/>
      <c r="Q352" s="126" t="s">
        <v>276</v>
      </c>
      <c r="R352" s="126" t="s">
        <v>2844</v>
      </c>
      <c r="S352" s="126" t="s">
        <v>276</v>
      </c>
      <c r="T352" s="126" t="s">
        <v>276</v>
      </c>
      <c r="U352" s="126" t="s">
        <v>276</v>
      </c>
      <c r="V352" s="150">
        <v>0.0</v>
      </c>
      <c r="W352" s="126"/>
      <c r="X352" s="151">
        <v>2.0</v>
      </c>
      <c r="Y352" s="115"/>
      <c r="Z352" s="115"/>
    </row>
    <row r="353">
      <c r="A353" s="126" t="s">
        <v>2864</v>
      </c>
      <c r="B353" s="126" t="s">
        <v>318</v>
      </c>
      <c r="C353" s="126" t="s">
        <v>2865</v>
      </c>
      <c r="D353" s="126" t="s">
        <v>2862</v>
      </c>
      <c r="E353" s="126" t="s">
        <v>328</v>
      </c>
      <c r="F353" s="126" t="s">
        <v>318</v>
      </c>
      <c r="G353" s="126" t="s">
        <v>276</v>
      </c>
      <c r="H353" s="126" t="s">
        <v>276</v>
      </c>
      <c r="I353" s="126" t="s">
        <v>276</v>
      </c>
      <c r="J353" s="126" t="s">
        <v>276</v>
      </c>
      <c r="K353" s="126"/>
      <c r="L353" s="126"/>
      <c r="M353" s="126" t="s">
        <v>285</v>
      </c>
      <c r="N353" s="153"/>
      <c r="O353" s="150"/>
      <c r="P353" s="150"/>
      <c r="Q353" s="126" t="s">
        <v>276</v>
      </c>
      <c r="R353" s="126" t="s">
        <v>318</v>
      </c>
      <c r="S353" s="126" t="s">
        <v>276</v>
      </c>
      <c r="T353" s="126" t="s">
        <v>276</v>
      </c>
      <c r="U353" s="126" t="s">
        <v>276</v>
      </c>
      <c r="V353" s="150">
        <v>0.0</v>
      </c>
      <c r="W353" s="126"/>
      <c r="X353" s="151"/>
      <c r="Y353" s="115"/>
      <c r="Z353" s="115"/>
    </row>
    <row r="354">
      <c r="A354" s="126" t="s">
        <v>123</v>
      </c>
      <c r="B354" s="126" t="s">
        <v>2168</v>
      </c>
      <c r="C354" s="126" t="s">
        <v>2866</v>
      </c>
      <c r="D354" s="126" t="s">
        <v>2862</v>
      </c>
      <c r="E354" s="126" t="s">
        <v>301</v>
      </c>
      <c r="F354" s="126" t="s">
        <v>2867</v>
      </c>
      <c r="G354" s="126" t="s">
        <v>2868</v>
      </c>
      <c r="H354" s="126">
        <v>0.69</v>
      </c>
      <c r="I354" s="126" t="s">
        <v>2869</v>
      </c>
      <c r="J354" s="126" t="s">
        <v>2870</v>
      </c>
      <c r="K354" s="126" t="s">
        <v>1729</v>
      </c>
      <c r="L354" s="126" t="s">
        <v>2871</v>
      </c>
      <c r="M354" s="126" t="s">
        <v>2872</v>
      </c>
      <c r="N354" s="149">
        <v>44971.0</v>
      </c>
      <c r="O354" s="150">
        <v>0.093</v>
      </c>
      <c r="P354" s="150">
        <v>0.0899</v>
      </c>
      <c r="Q354" s="149">
        <v>43734.0</v>
      </c>
      <c r="R354" s="126" t="s">
        <v>286</v>
      </c>
      <c r="S354" s="150">
        <v>-0.0172</v>
      </c>
      <c r="T354" s="150">
        <v>0.0608</v>
      </c>
      <c r="U354" s="153">
        <v>44957.0</v>
      </c>
      <c r="V354" s="150">
        <v>0.0026</v>
      </c>
      <c r="W354" s="126" t="s">
        <v>2873</v>
      </c>
      <c r="X354" s="151">
        <v>10170.0</v>
      </c>
      <c r="Y354" s="115"/>
      <c r="Z354" s="115"/>
    </row>
    <row r="355">
      <c r="A355" s="126" t="s">
        <v>226</v>
      </c>
      <c r="B355" s="126" t="s">
        <v>2874</v>
      </c>
      <c r="C355" s="126" t="s">
        <v>2875</v>
      </c>
      <c r="D355" s="126" t="s">
        <v>2876</v>
      </c>
      <c r="E355" s="126" t="s">
        <v>335</v>
      </c>
      <c r="F355" s="126" t="s">
        <v>2877</v>
      </c>
      <c r="G355" s="126" t="s">
        <v>2878</v>
      </c>
      <c r="H355" s="126">
        <v>0.87</v>
      </c>
      <c r="I355" s="126" t="s">
        <v>2879</v>
      </c>
      <c r="J355" s="126" t="s">
        <v>2880</v>
      </c>
      <c r="K355" s="126" t="s">
        <v>1782</v>
      </c>
      <c r="L355" s="126" t="s">
        <v>2881</v>
      </c>
      <c r="M355" s="126" t="s">
        <v>2882</v>
      </c>
      <c r="N355" s="149">
        <v>44965.0</v>
      </c>
      <c r="O355" s="150">
        <v>0.1436</v>
      </c>
      <c r="P355" s="150">
        <v>0.1509</v>
      </c>
      <c r="Q355" s="149">
        <v>42920.0</v>
      </c>
      <c r="R355" s="126" t="s">
        <v>286</v>
      </c>
      <c r="S355" s="150">
        <v>-0.0525</v>
      </c>
      <c r="T355" s="126" t="s">
        <v>276</v>
      </c>
      <c r="U355" s="126" t="s">
        <v>276</v>
      </c>
      <c r="V355" s="150">
        <v>0.0153</v>
      </c>
      <c r="W355" s="126" t="s">
        <v>2883</v>
      </c>
      <c r="X355" s="151">
        <v>97653.0</v>
      </c>
      <c r="Y355" s="115"/>
      <c r="Z355" s="115"/>
    </row>
    <row r="356">
      <c r="A356" s="126" t="s">
        <v>2884</v>
      </c>
      <c r="B356" s="126" t="s">
        <v>318</v>
      </c>
      <c r="C356" s="126" t="s">
        <v>2885</v>
      </c>
      <c r="D356" s="126" t="s">
        <v>638</v>
      </c>
      <c r="E356" s="126" t="s">
        <v>301</v>
      </c>
      <c r="F356" s="126" t="s">
        <v>2886</v>
      </c>
      <c r="G356" s="126" t="s">
        <v>2887</v>
      </c>
      <c r="H356" s="126">
        <v>0.94</v>
      </c>
      <c r="I356" s="126" t="s">
        <v>2888</v>
      </c>
      <c r="J356" s="126" t="s">
        <v>2889</v>
      </c>
      <c r="K356" s="126" t="s">
        <v>2890</v>
      </c>
      <c r="L356" s="126" t="s">
        <v>2891</v>
      </c>
      <c r="M356" s="126" t="s">
        <v>2892</v>
      </c>
      <c r="N356" s="149">
        <v>44985.0</v>
      </c>
      <c r="O356" s="150">
        <v>0.1284</v>
      </c>
      <c r="P356" s="150">
        <v>0.1164</v>
      </c>
      <c r="Q356" s="126" t="s">
        <v>276</v>
      </c>
      <c r="R356" s="126" t="s">
        <v>318</v>
      </c>
      <c r="S356" s="126" t="s">
        <v>276</v>
      </c>
      <c r="T356" s="150">
        <v>0.0</v>
      </c>
      <c r="U356" s="126" t="s">
        <v>276</v>
      </c>
      <c r="V356" s="150">
        <v>0.0</v>
      </c>
      <c r="W356" s="126"/>
      <c r="X356" s="151">
        <v>52.0</v>
      </c>
      <c r="Y356" s="115"/>
      <c r="Z356" s="115"/>
    </row>
    <row r="357">
      <c r="A357" s="126" t="s">
        <v>37</v>
      </c>
      <c r="B357" s="126" t="s">
        <v>2893</v>
      </c>
      <c r="C357" s="126" t="s">
        <v>2894</v>
      </c>
      <c r="D357" s="126" t="s">
        <v>2830</v>
      </c>
      <c r="E357" s="126" t="s">
        <v>335</v>
      </c>
      <c r="F357" s="126" t="s">
        <v>2895</v>
      </c>
      <c r="G357" s="126" t="s">
        <v>2896</v>
      </c>
      <c r="H357" s="126">
        <v>0.39</v>
      </c>
      <c r="I357" s="126" t="s">
        <v>276</v>
      </c>
      <c r="J357" s="126" t="s">
        <v>276</v>
      </c>
      <c r="K357" s="126" t="s">
        <v>404</v>
      </c>
      <c r="L357" s="126"/>
      <c r="M357" s="126" t="s">
        <v>285</v>
      </c>
      <c r="N357" s="149">
        <v>44971.0</v>
      </c>
      <c r="O357" s="150">
        <v>0.1149</v>
      </c>
      <c r="P357" s="150">
        <v>0.1621</v>
      </c>
      <c r="Q357" s="149">
        <v>43924.0</v>
      </c>
      <c r="R357" s="126" t="s">
        <v>296</v>
      </c>
      <c r="S357" s="150">
        <v>-0.2531</v>
      </c>
      <c r="T357" s="126" t="s">
        <v>276</v>
      </c>
      <c r="U357" s="126" t="s">
        <v>276</v>
      </c>
      <c r="V357" s="150">
        <v>0.0024</v>
      </c>
      <c r="W357" s="126" t="s">
        <v>2897</v>
      </c>
      <c r="X357" s="151">
        <v>109225.0</v>
      </c>
      <c r="Y357" s="115"/>
      <c r="Z357" s="115"/>
    </row>
    <row r="358">
      <c r="A358" s="126" t="s">
        <v>2898</v>
      </c>
      <c r="B358" s="126" t="s">
        <v>318</v>
      </c>
      <c r="C358" s="126" t="s">
        <v>2899</v>
      </c>
      <c r="D358" s="126" t="s">
        <v>1092</v>
      </c>
      <c r="E358" s="126" t="s">
        <v>367</v>
      </c>
      <c r="F358" s="126" t="s">
        <v>318</v>
      </c>
      <c r="G358" s="126" t="s">
        <v>318</v>
      </c>
      <c r="H358" s="126" t="s">
        <v>276</v>
      </c>
      <c r="I358" s="126" t="s">
        <v>276</v>
      </c>
      <c r="J358" s="126" t="s">
        <v>276</v>
      </c>
      <c r="K358" s="126" t="s">
        <v>318</v>
      </c>
      <c r="L358" s="126"/>
      <c r="M358" s="126" t="s">
        <v>285</v>
      </c>
      <c r="N358" s="149">
        <v>44498.0</v>
      </c>
      <c r="O358" s="150"/>
      <c r="P358" s="150"/>
      <c r="Q358" s="153">
        <v>42727.0</v>
      </c>
      <c r="R358" s="126" t="s">
        <v>286</v>
      </c>
      <c r="S358" s="126" t="s">
        <v>276</v>
      </c>
      <c r="T358" s="126" t="s">
        <v>276</v>
      </c>
      <c r="U358" s="126" t="s">
        <v>276</v>
      </c>
      <c r="V358" s="150">
        <v>0.0</v>
      </c>
      <c r="W358" s="126"/>
      <c r="X358" s="151">
        <v>272.0</v>
      </c>
      <c r="Y358" s="115"/>
      <c r="Z358" s="115"/>
    </row>
    <row r="359">
      <c r="A359" s="126" t="s">
        <v>238</v>
      </c>
      <c r="B359" s="126" t="s">
        <v>2900</v>
      </c>
      <c r="C359" s="126" t="s">
        <v>2901</v>
      </c>
      <c r="D359" s="126"/>
      <c r="E359" s="126" t="s">
        <v>367</v>
      </c>
      <c r="F359" s="126" t="s">
        <v>318</v>
      </c>
      <c r="G359" s="126" t="s">
        <v>318</v>
      </c>
      <c r="H359" s="126" t="s">
        <v>276</v>
      </c>
      <c r="I359" s="126" t="s">
        <v>276</v>
      </c>
      <c r="J359" s="126" t="s">
        <v>276</v>
      </c>
      <c r="K359" s="126" t="s">
        <v>2371</v>
      </c>
      <c r="L359" s="126"/>
      <c r="M359" s="126" t="s">
        <v>285</v>
      </c>
      <c r="N359" s="149">
        <v>44544.0</v>
      </c>
      <c r="O359" s="150">
        <v>0.3854</v>
      </c>
      <c r="P359" s="150"/>
      <c r="Q359" s="153">
        <v>43495.0</v>
      </c>
      <c r="R359" s="126" t="s">
        <v>286</v>
      </c>
      <c r="S359" s="150">
        <v>0.0</v>
      </c>
      <c r="T359" s="126" t="s">
        <v>276</v>
      </c>
      <c r="U359" s="126" t="s">
        <v>276</v>
      </c>
      <c r="V359" s="150">
        <v>0.0</v>
      </c>
      <c r="W359" s="126"/>
      <c r="X359" s="151">
        <v>675.0</v>
      </c>
      <c r="Y359" s="115"/>
      <c r="Z359" s="115"/>
    </row>
    <row r="360">
      <c r="A360" s="126" t="s">
        <v>167</v>
      </c>
      <c r="B360" s="126" t="s">
        <v>2902</v>
      </c>
      <c r="C360" s="126" t="s">
        <v>2903</v>
      </c>
      <c r="D360" s="126" t="s">
        <v>313</v>
      </c>
      <c r="E360" s="126" t="s">
        <v>301</v>
      </c>
      <c r="F360" s="126" t="s">
        <v>2904</v>
      </c>
      <c r="G360" s="126" t="s">
        <v>2905</v>
      </c>
      <c r="H360" s="126">
        <v>0.62</v>
      </c>
      <c r="I360" s="126" t="s">
        <v>2906</v>
      </c>
      <c r="J360" s="126" t="s">
        <v>2907</v>
      </c>
      <c r="K360" s="126" t="s">
        <v>2908</v>
      </c>
      <c r="L360" s="126" t="s">
        <v>2909</v>
      </c>
      <c r="M360" s="126" t="s">
        <v>2910</v>
      </c>
      <c r="N360" s="149">
        <v>44974.0</v>
      </c>
      <c r="O360" s="150">
        <v>0.0401</v>
      </c>
      <c r="P360" s="150">
        <v>0.0375</v>
      </c>
      <c r="Q360" s="153">
        <v>38139.0</v>
      </c>
      <c r="R360" s="126" t="s">
        <v>286</v>
      </c>
      <c r="S360" s="150">
        <v>-0.024</v>
      </c>
      <c r="T360" s="150">
        <v>0.4163</v>
      </c>
      <c r="U360" s="126" t="s">
        <v>276</v>
      </c>
      <c r="V360" s="150">
        <v>0.0</v>
      </c>
      <c r="W360" s="126" t="s">
        <v>2911</v>
      </c>
      <c r="X360" s="151">
        <v>716.0</v>
      </c>
      <c r="Y360" s="115"/>
      <c r="Z360" s="115"/>
    </row>
    <row r="361">
      <c r="A361" s="126" t="s">
        <v>104</v>
      </c>
      <c r="B361" s="126" t="s">
        <v>2912</v>
      </c>
      <c r="C361" s="126" t="s">
        <v>2913</v>
      </c>
      <c r="D361" s="126" t="s">
        <v>2914</v>
      </c>
      <c r="E361" s="126" t="s">
        <v>528</v>
      </c>
      <c r="F361" s="126" t="s">
        <v>2915</v>
      </c>
      <c r="G361" s="126" t="s">
        <v>2916</v>
      </c>
      <c r="H361" s="126">
        <v>1.14</v>
      </c>
      <c r="I361" s="126" t="s">
        <v>276</v>
      </c>
      <c r="J361" s="126" t="s">
        <v>276</v>
      </c>
      <c r="K361" s="126" t="s">
        <v>418</v>
      </c>
      <c r="L361" s="126"/>
      <c r="M361" s="126" t="s">
        <v>285</v>
      </c>
      <c r="N361" s="149">
        <v>44971.0</v>
      </c>
      <c r="O361" s="150">
        <v>0.0857</v>
      </c>
      <c r="P361" s="150">
        <v>0.083</v>
      </c>
      <c r="Q361" s="153">
        <v>44049.0</v>
      </c>
      <c r="R361" s="126" t="s">
        <v>286</v>
      </c>
      <c r="S361" s="150">
        <v>0.0556</v>
      </c>
      <c r="T361" s="126" t="s">
        <v>276</v>
      </c>
      <c r="U361" s="126" t="s">
        <v>276</v>
      </c>
      <c r="V361" s="150">
        <v>0.0</v>
      </c>
      <c r="W361" s="126" t="s">
        <v>2917</v>
      </c>
      <c r="X361" s="151">
        <v>188.0</v>
      </c>
      <c r="Y361" s="115"/>
      <c r="Z361" s="115"/>
    </row>
    <row r="362">
      <c r="A362" s="126" t="s">
        <v>100</v>
      </c>
      <c r="B362" s="126" t="s">
        <v>1956</v>
      </c>
      <c r="C362" s="126" t="s">
        <v>2918</v>
      </c>
      <c r="D362" s="126" t="s">
        <v>2914</v>
      </c>
      <c r="E362" s="126" t="s">
        <v>335</v>
      </c>
      <c r="F362" s="126" t="s">
        <v>2919</v>
      </c>
      <c r="G362" s="126" t="s">
        <v>2920</v>
      </c>
      <c r="H362" s="126">
        <v>1.0</v>
      </c>
      <c r="I362" s="126" t="s">
        <v>2921</v>
      </c>
      <c r="J362" s="126" t="s">
        <v>2922</v>
      </c>
      <c r="K362" s="126" t="s">
        <v>1660</v>
      </c>
      <c r="L362" s="126" t="s">
        <v>2923</v>
      </c>
      <c r="M362" s="126" t="s">
        <v>2924</v>
      </c>
      <c r="N362" s="149">
        <v>44971.0</v>
      </c>
      <c r="O362" s="150">
        <v>0.1026</v>
      </c>
      <c r="P362" s="150">
        <v>0.1019</v>
      </c>
      <c r="Q362" s="149">
        <v>43488.0</v>
      </c>
      <c r="R362" s="126" t="s">
        <v>286</v>
      </c>
      <c r="S362" s="150">
        <v>-0.011</v>
      </c>
      <c r="T362" s="150">
        <v>0.0</v>
      </c>
      <c r="U362" s="153">
        <v>44957.0</v>
      </c>
      <c r="V362" s="150">
        <v>0.0103</v>
      </c>
      <c r="W362" s="126" t="s">
        <v>2925</v>
      </c>
      <c r="X362" s="151">
        <v>83057.0</v>
      </c>
      <c r="Y362" s="115"/>
      <c r="Z362" s="115"/>
    </row>
    <row r="363">
      <c r="A363" s="126" t="s">
        <v>2926</v>
      </c>
      <c r="B363" s="126" t="s">
        <v>2927</v>
      </c>
      <c r="C363" s="126" t="s">
        <v>2928</v>
      </c>
      <c r="D363" s="126" t="s">
        <v>2929</v>
      </c>
      <c r="E363" s="126" t="s">
        <v>301</v>
      </c>
      <c r="F363" s="126" t="s">
        <v>2930</v>
      </c>
      <c r="G363" s="126" t="s">
        <v>2931</v>
      </c>
      <c r="H363" s="126">
        <v>1.02</v>
      </c>
      <c r="I363" s="126" t="s">
        <v>2932</v>
      </c>
      <c r="J363" s="126" t="s">
        <v>2933</v>
      </c>
      <c r="K363" s="126" t="s">
        <v>2934</v>
      </c>
      <c r="L363" s="126" t="s">
        <v>2935</v>
      </c>
      <c r="M363" s="126" t="s">
        <v>2936</v>
      </c>
      <c r="N363" s="149">
        <v>44971.0</v>
      </c>
      <c r="O363" s="150">
        <v>0.1265</v>
      </c>
      <c r="P363" s="150">
        <v>0.1076</v>
      </c>
      <c r="Q363" s="149">
        <v>44286.0</v>
      </c>
      <c r="R363" s="126" t="s">
        <v>286</v>
      </c>
      <c r="S363" s="150">
        <v>-0.0357</v>
      </c>
      <c r="T363" s="150">
        <v>0.0</v>
      </c>
      <c r="U363" s="126" t="s">
        <v>276</v>
      </c>
      <c r="V363" s="150">
        <v>0.0</v>
      </c>
      <c r="W363" s="126" t="s">
        <v>2937</v>
      </c>
      <c r="X363" s="151">
        <v>26.0</v>
      </c>
      <c r="Y363" s="115"/>
      <c r="Z363" s="115"/>
    </row>
    <row r="364">
      <c r="A364" s="126" t="s">
        <v>2938</v>
      </c>
      <c r="B364" s="126" t="s">
        <v>318</v>
      </c>
      <c r="C364" s="126" t="s">
        <v>2939</v>
      </c>
      <c r="D364" s="126" t="s">
        <v>1735</v>
      </c>
      <c r="E364" s="126" t="s">
        <v>367</v>
      </c>
      <c r="F364" s="126" t="s">
        <v>318</v>
      </c>
      <c r="G364" s="126" t="s">
        <v>2940</v>
      </c>
      <c r="H364" s="126">
        <v>0.0</v>
      </c>
      <c r="I364" s="126" t="s">
        <v>276</v>
      </c>
      <c r="J364" s="126" t="s">
        <v>276</v>
      </c>
      <c r="K364" s="126" t="s">
        <v>318</v>
      </c>
      <c r="L364" s="126"/>
      <c r="M364" s="126" t="s">
        <v>285</v>
      </c>
      <c r="N364" s="149">
        <v>42338.0</v>
      </c>
      <c r="O364" s="150"/>
      <c r="P364" s="150"/>
      <c r="Q364" s="149">
        <v>41793.0</v>
      </c>
      <c r="R364" s="126" t="s">
        <v>286</v>
      </c>
      <c r="S364" s="126" t="s">
        <v>276</v>
      </c>
      <c r="T364" s="126" t="s">
        <v>276</v>
      </c>
      <c r="U364" s="126" t="s">
        <v>276</v>
      </c>
      <c r="V364" s="150">
        <v>0.0</v>
      </c>
      <c r="W364" s="126"/>
      <c r="X364" s="151"/>
      <c r="Y364" s="115"/>
      <c r="Z364" s="115"/>
    </row>
    <row r="365">
      <c r="A365" s="126" t="s">
        <v>32</v>
      </c>
      <c r="B365" s="126" t="s">
        <v>2941</v>
      </c>
      <c r="C365" s="126" t="s">
        <v>2942</v>
      </c>
      <c r="D365" s="126" t="s">
        <v>2943</v>
      </c>
      <c r="E365" s="126" t="s">
        <v>281</v>
      </c>
      <c r="F365" s="126" t="s">
        <v>2944</v>
      </c>
      <c r="G365" s="126" t="s">
        <v>2945</v>
      </c>
      <c r="H365" s="126">
        <v>1.0</v>
      </c>
      <c r="I365" s="126" t="s">
        <v>276</v>
      </c>
      <c r="J365" s="126" t="s">
        <v>276</v>
      </c>
      <c r="K365" s="126" t="s">
        <v>1776</v>
      </c>
      <c r="L365" s="126"/>
      <c r="M365" s="126" t="s">
        <v>285</v>
      </c>
      <c r="N365" s="149">
        <v>44971.0</v>
      </c>
      <c r="O365" s="150">
        <v>0.162</v>
      </c>
      <c r="P365" s="150">
        <v>0.1794</v>
      </c>
      <c r="Q365" s="149">
        <v>44070.0</v>
      </c>
      <c r="R365" s="126" t="s">
        <v>286</v>
      </c>
      <c r="S365" s="150">
        <v>-0.0179</v>
      </c>
      <c r="T365" s="126" t="s">
        <v>276</v>
      </c>
      <c r="U365" s="126" t="s">
        <v>276</v>
      </c>
      <c r="V365" s="150">
        <v>0.0107</v>
      </c>
      <c r="W365" s="126" t="s">
        <v>2946</v>
      </c>
      <c r="X365" s="151">
        <v>92541.0</v>
      </c>
      <c r="Y365" s="115"/>
      <c r="Z365" s="115"/>
    </row>
    <row r="366">
      <c r="A366" s="126" t="s">
        <v>59</v>
      </c>
      <c r="B366" s="126" t="s">
        <v>2947</v>
      </c>
      <c r="C366" s="126" t="s">
        <v>2948</v>
      </c>
      <c r="D366" s="126" t="s">
        <v>2949</v>
      </c>
      <c r="E366" s="126" t="s">
        <v>281</v>
      </c>
      <c r="F366" s="126" t="s">
        <v>2950</v>
      </c>
      <c r="G366" s="126" t="s">
        <v>2951</v>
      </c>
      <c r="H366" s="126">
        <v>0.93</v>
      </c>
      <c r="I366" s="126" t="s">
        <v>276</v>
      </c>
      <c r="J366" s="126" t="s">
        <v>276</v>
      </c>
      <c r="K366" s="126" t="s">
        <v>1743</v>
      </c>
      <c r="L366" s="126"/>
      <c r="M366" s="126" t="s">
        <v>285</v>
      </c>
      <c r="N366" s="149">
        <v>44970.0</v>
      </c>
      <c r="O366" s="150">
        <v>0.1582</v>
      </c>
      <c r="P366" s="150">
        <v>0.1295</v>
      </c>
      <c r="Q366" s="149">
        <v>43858.0</v>
      </c>
      <c r="R366" s="126" t="s">
        <v>286</v>
      </c>
      <c r="S366" s="150">
        <v>-0.0307</v>
      </c>
      <c r="T366" s="126" t="s">
        <v>276</v>
      </c>
      <c r="U366" s="126" t="s">
        <v>276</v>
      </c>
      <c r="V366" s="150">
        <v>0.0121</v>
      </c>
      <c r="W366" s="126" t="s">
        <v>2952</v>
      </c>
      <c r="X366" s="151">
        <v>13874.0</v>
      </c>
      <c r="Y366" s="115"/>
      <c r="Z366" s="115"/>
    </row>
    <row r="367">
      <c r="A367" s="126" t="s">
        <v>2953</v>
      </c>
      <c r="B367" s="126" t="s">
        <v>2954</v>
      </c>
      <c r="C367" s="126" t="s">
        <v>2955</v>
      </c>
      <c r="D367" s="126" t="s">
        <v>2949</v>
      </c>
      <c r="E367" s="126" t="s">
        <v>292</v>
      </c>
      <c r="F367" s="126" t="s">
        <v>2956</v>
      </c>
      <c r="G367" s="126" t="s">
        <v>2957</v>
      </c>
      <c r="H367" s="126">
        <v>1.04</v>
      </c>
      <c r="I367" s="126" t="s">
        <v>276</v>
      </c>
      <c r="J367" s="126" t="s">
        <v>276</v>
      </c>
      <c r="K367" s="126" t="s">
        <v>2958</v>
      </c>
      <c r="L367" s="126"/>
      <c r="M367" s="126" t="s">
        <v>285</v>
      </c>
      <c r="N367" s="149">
        <v>44970.0</v>
      </c>
      <c r="O367" s="150">
        <v>0.1837</v>
      </c>
      <c r="P367" s="150">
        <v>0.1066</v>
      </c>
      <c r="Q367" s="153">
        <v>44559.0</v>
      </c>
      <c r="R367" s="126" t="s">
        <v>286</v>
      </c>
      <c r="S367" s="150">
        <v>-0.0045</v>
      </c>
      <c r="T367" s="126" t="s">
        <v>276</v>
      </c>
      <c r="U367" s="126" t="s">
        <v>276</v>
      </c>
      <c r="V367" s="150">
        <v>0.0</v>
      </c>
      <c r="W367" s="126" t="s">
        <v>2959</v>
      </c>
      <c r="X367" s="151">
        <v>2431.0</v>
      </c>
      <c r="Y367" s="115"/>
      <c r="Z367" s="115"/>
    </row>
    <row r="368">
      <c r="A368" s="126" t="s">
        <v>2960</v>
      </c>
      <c r="B368" s="126" t="s">
        <v>2961</v>
      </c>
      <c r="C368" s="126" t="s">
        <v>2962</v>
      </c>
      <c r="D368" s="126" t="s">
        <v>2963</v>
      </c>
      <c r="E368" s="126" t="s">
        <v>281</v>
      </c>
      <c r="F368" s="126" t="s">
        <v>2964</v>
      </c>
      <c r="G368" s="126" t="s">
        <v>2965</v>
      </c>
      <c r="H368" s="126">
        <v>0.91</v>
      </c>
      <c r="I368" s="126" t="s">
        <v>276</v>
      </c>
      <c r="J368" s="126" t="s">
        <v>276</v>
      </c>
      <c r="K368" s="126" t="s">
        <v>687</v>
      </c>
      <c r="L368" s="126"/>
      <c r="M368" s="126" t="s">
        <v>285</v>
      </c>
      <c r="N368" s="149">
        <v>44971.0</v>
      </c>
      <c r="O368" s="150">
        <v>0.1646</v>
      </c>
      <c r="P368" s="150">
        <v>0.1353</v>
      </c>
      <c r="Q368" s="149">
        <v>44697.0</v>
      </c>
      <c r="R368" s="126" t="s">
        <v>296</v>
      </c>
      <c r="S368" s="150">
        <v>-0.0518</v>
      </c>
      <c r="T368" s="126" t="s">
        <v>276</v>
      </c>
      <c r="U368" s="126" t="s">
        <v>276</v>
      </c>
      <c r="V368" s="150">
        <v>0.0</v>
      </c>
      <c r="W368" s="126" t="s">
        <v>2966</v>
      </c>
      <c r="X368" s="151">
        <v>6565.0</v>
      </c>
      <c r="Y368" s="115"/>
      <c r="Z368" s="115"/>
    </row>
    <row r="369">
      <c r="A369" s="126" t="s">
        <v>202</v>
      </c>
      <c r="B369" s="126" t="s">
        <v>318</v>
      </c>
      <c r="C369" s="126" t="s">
        <v>2967</v>
      </c>
      <c r="D369" s="126" t="s">
        <v>2968</v>
      </c>
      <c r="E369" s="126" t="s">
        <v>301</v>
      </c>
      <c r="F369" s="126" t="s">
        <v>2969</v>
      </c>
      <c r="G369" s="126" t="s">
        <v>2970</v>
      </c>
      <c r="H369" s="126">
        <v>0.64</v>
      </c>
      <c r="I369" s="126" t="s">
        <v>2971</v>
      </c>
      <c r="J369" s="126" t="s">
        <v>2972</v>
      </c>
      <c r="K369" s="126" t="s">
        <v>2973</v>
      </c>
      <c r="L369" s="126" t="s">
        <v>2974</v>
      </c>
      <c r="M369" s="126" t="s">
        <v>2975</v>
      </c>
      <c r="N369" s="149">
        <v>44967.0</v>
      </c>
      <c r="O369" s="150">
        <v>0.1219</v>
      </c>
      <c r="P369" s="150">
        <v>0.1571</v>
      </c>
      <c r="Q369" s="149">
        <v>41642.0</v>
      </c>
      <c r="R369" s="126" t="s">
        <v>286</v>
      </c>
      <c r="S369" s="150">
        <v>-0.0194</v>
      </c>
      <c r="T369" s="126" t="s">
        <v>276</v>
      </c>
      <c r="U369" s="126" t="s">
        <v>276</v>
      </c>
      <c r="V369" s="150">
        <v>0.0</v>
      </c>
      <c r="W369" s="126"/>
      <c r="X369" s="151">
        <v>54.0</v>
      </c>
      <c r="Y369" s="115"/>
      <c r="Z369" s="115"/>
    </row>
    <row r="370">
      <c r="A370" s="126" t="s">
        <v>227</v>
      </c>
      <c r="B370" s="126" t="s">
        <v>2976</v>
      </c>
      <c r="C370" s="126" t="s">
        <v>2977</v>
      </c>
      <c r="D370" s="126" t="s">
        <v>2978</v>
      </c>
      <c r="E370" s="126" t="s">
        <v>281</v>
      </c>
      <c r="F370" s="126" t="s">
        <v>2979</v>
      </c>
      <c r="G370" s="126" t="s">
        <v>2980</v>
      </c>
      <c r="H370" s="126">
        <v>0.99</v>
      </c>
      <c r="I370" s="126" t="s">
        <v>276</v>
      </c>
      <c r="J370" s="126" t="s">
        <v>276</v>
      </c>
      <c r="K370" s="126" t="s">
        <v>362</v>
      </c>
      <c r="L370" s="126"/>
      <c r="M370" s="126" t="s">
        <v>285</v>
      </c>
      <c r="N370" s="149">
        <v>44964.0</v>
      </c>
      <c r="O370" s="150">
        <v>0.1408</v>
      </c>
      <c r="P370" s="150">
        <v>0.1556</v>
      </c>
      <c r="Q370" s="149">
        <v>44256.0</v>
      </c>
      <c r="R370" s="126" t="s">
        <v>296</v>
      </c>
      <c r="S370" s="150">
        <v>-0.0362</v>
      </c>
      <c r="T370" s="126" t="s">
        <v>276</v>
      </c>
      <c r="U370" s="126" t="s">
        <v>276</v>
      </c>
      <c r="V370" s="150">
        <v>0.0062</v>
      </c>
      <c r="W370" s="126" t="s">
        <v>2981</v>
      </c>
      <c r="X370" s="151">
        <v>225496.0</v>
      </c>
      <c r="Y370" s="115"/>
      <c r="Z370" s="115"/>
    </row>
    <row r="371">
      <c r="A371" s="126" t="s">
        <v>2982</v>
      </c>
      <c r="B371" s="126" t="s">
        <v>2983</v>
      </c>
      <c r="C371" s="126" t="s">
        <v>2984</v>
      </c>
      <c r="D371" s="126" t="s">
        <v>2978</v>
      </c>
      <c r="E371" s="126" t="s">
        <v>292</v>
      </c>
      <c r="F371" s="126" t="s">
        <v>2985</v>
      </c>
      <c r="G371" s="126" t="s">
        <v>2986</v>
      </c>
      <c r="H371" s="126">
        <v>1.03</v>
      </c>
      <c r="I371" s="126" t="s">
        <v>276</v>
      </c>
      <c r="J371" s="126" t="s">
        <v>276</v>
      </c>
      <c r="K371" s="126" t="s">
        <v>448</v>
      </c>
      <c r="L371" s="126"/>
      <c r="M371" s="126" t="s">
        <v>285</v>
      </c>
      <c r="N371" s="149">
        <v>44974.0</v>
      </c>
      <c r="O371" s="150">
        <v>0.2002</v>
      </c>
      <c r="P371" s="150">
        <v>0.187</v>
      </c>
      <c r="Q371" s="149">
        <v>44524.0</v>
      </c>
      <c r="R371" s="126" t="s">
        <v>296</v>
      </c>
      <c r="S371" s="150">
        <v>-0.0091</v>
      </c>
      <c r="T371" s="126" t="s">
        <v>276</v>
      </c>
      <c r="U371" s="126" t="s">
        <v>276</v>
      </c>
      <c r="V371" s="150">
        <v>0.0</v>
      </c>
      <c r="W371" s="126" t="s">
        <v>2987</v>
      </c>
      <c r="X371" s="151">
        <v>47820.0</v>
      </c>
      <c r="Y371" s="115"/>
      <c r="Z371" s="115"/>
    </row>
    <row r="372">
      <c r="A372" s="126" t="s">
        <v>2988</v>
      </c>
      <c r="B372" s="126" t="s">
        <v>318</v>
      </c>
      <c r="C372" s="126" t="s">
        <v>2989</v>
      </c>
      <c r="D372" s="126" t="s">
        <v>2978</v>
      </c>
      <c r="E372" s="126" t="s">
        <v>281</v>
      </c>
      <c r="F372" s="126" t="s">
        <v>318</v>
      </c>
      <c r="G372" s="126" t="s">
        <v>276</v>
      </c>
      <c r="H372" s="126" t="s">
        <v>276</v>
      </c>
      <c r="I372" s="126" t="s">
        <v>276</v>
      </c>
      <c r="J372" s="126" t="s">
        <v>276</v>
      </c>
      <c r="K372" s="126"/>
      <c r="L372" s="126"/>
      <c r="M372" s="126" t="s">
        <v>285</v>
      </c>
      <c r="N372" s="149"/>
      <c r="O372" s="150"/>
      <c r="P372" s="150"/>
      <c r="Q372" s="126" t="s">
        <v>276</v>
      </c>
      <c r="R372" s="126" t="s">
        <v>286</v>
      </c>
      <c r="S372" s="126" t="s">
        <v>276</v>
      </c>
      <c r="T372" s="126" t="s">
        <v>276</v>
      </c>
      <c r="U372" s="126" t="s">
        <v>276</v>
      </c>
      <c r="V372" s="150">
        <v>0.0</v>
      </c>
      <c r="W372" s="126"/>
      <c r="X372" s="151"/>
      <c r="Y372" s="115"/>
      <c r="Z372" s="115"/>
    </row>
    <row r="373">
      <c r="A373" s="126" t="s">
        <v>50</v>
      </c>
      <c r="B373" s="126" t="s">
        <v>2990</v>
      </c>
      <c r="C373" s="126" t="s">
        <v>2991</v>
      </c>
      <c r="D373" s="126" t="s">
        <v>2978</v>
      </c>
      <c r="E373" s="126" t="s">
        <v>281</v>
      </c>
      <c r="F373" s="126" t="s">
        <v>2992</v>
      </c>
      <c r="G373" s="126" t="s">
        <v>2993</v>
      </c>
      <c r="H373" s="126">
        <v>0.91</v>
      </c>
      <c r="I373" s="126" t="s">
        <v>276</v>
      </c>
      <c r="J373" s="126" t="s">
        <v>276</v>
      </c>
      <c r="K373" s="126" t="s">
        <v>503</v>
      </c>
      <c r="L373" s="126"/>
      <c r="M373" s="126" t="s">
        <v>285</v>
      </c>
      <c r="N373" s="149">
        <v>44974.0</v>
      </c>
      <c r="O373" s="150">
        <v>0.1234</v>
      </c>
      <c r="P373" s="150">
        <v>0.1491</v>
      </c>
      <c r="Q373" s="153">
        <v>43910.0</v>
      </c>
      <c r="R373" s="126" t="s">
        <v>286</v>
      </c>
      <c r="S373" s="150">
        <v>-0.0446</v>
      </c>
      <c r="T373" s="126" t="s">
        <v>276</v>
      </c>
      <c r="U373" s="126" t="s">
        <v>276</v>
      </c>
      <c r="V373" s="150">
        <v>0.0093</v>
      </c>
      <c r="W373" s="126" t="s">
        <v>2994</v>
      </c>
      <c r="X373" s="151">
        <v>86311.0</v>
      </c>
      <c r="Y373" s="115"/>
      <c r="Z373" s="115"/>
    </row>
    <row r="374">
      <c r="A374" s="126" t="s">
        <v>143</v>
      </c>
      <c r="B374" s="126" t="s">
        <v>2995</v>
      </c>
      <c r="C374" s="126" t="s">
        <v>2996</v>
      </c>
      <c r="D374" s="126" t="s">
        <v>2978</v>
      </c>
      <c r="E374" s="126" t="s">
        <v>281</v>
      </c>
      <c r="F374" s="126" t="s">
        <v>2997</v>
      </c>
      <c r="G374" s="126" t="s">
        <v>2998</v>
      </c>
      <c r="H374" s="126">
        <v>1.01</v>
      </c>
      <c r="I374" s="126" t="s">
        <v>276</v>
      </c>
      <c r="J374" s="126" t="s">
        <v>276</v>
      </c>
      <c r="K374" s="126" t="s">
        <v>374</v>
      </c>
      <c r="L374" s="126"/>
      <c r="M374" s="126" t="s">
        <v>285</v>
      </c>
      <c r="N374" s="149">
        <v>44974.0</v>
      </c>
      <c r="O374" s="150">
        <v>0.1734</v>
      </c>
      <c r="P374" s="150">
        <v>0.1547</v>
      </c>
      <c r="Q374" s="149">
        <v>43312.0</v>
      </c>
      <c r="R374" s="126" t="s">
        <v>296</v>
      </c>
      <c r="S374" s="150">
        <v>-0.0162</v>
      </c>
      <c r="T374" s="126" t="s">
        <v>276</v>
      </c>
      <c r="U374" s="126" t="s">
        <v>276</v>
      </c>
      <c r="V374" s="150">
        <v>0.0093</v>
      </c>
      <c r="W374" s="126" t="s">
        <v>2999</v>
      </c>
      <c r="X374" s="151">
        <v>127271.0</v>
      </c>
      <c r="Y374" s="115"/>
      <c r="Z374" s="115"/>
    </row>
    <row r="375">
      <c r="A375" s="126" t="s">
        <v>3000</v>
      </c>
      <c r="B375" s="126" t="s">
        <v>318</v>
      </c>
      <c r="C375" s="126" t="s">
        <v>3001</v>
      </c>
      <c r="D375" s="126" t="s">
        <v>3002</v>
      </c>
      <c r="E375" s="126" t="s">
        <v>367</v>
      </c>
      <c r="F375" s="126" t="s">
        <v>318</v>
      </c>
      <c r="G375" s="126" t="s">
        <v>3003</v>
      </c>
      <c r="H375" s="126">
        <v>0.0</v>
      </c>
      <c r="I375" s="126" t="s">
        <v>276</v>
      </c>
      <c r="J375" s="126" t="s">
        <v>276</v>
      </c>
      <c r="K375" s="126" t="s">
        <v>318</v>
      </c>
      <c r="L375" s="126"/>
      <c r="M375" s="126" t="s">
        <v>285</v>
      </c>
      <c r="N375" s="149">
        <v>44074.0</v>
      </c>
      <c r="O375" s="150"/>
      <c r="P375" s="150"/>
      <c r="Q375" s="126" t="s">
        <v>276</v>
      </c>
      <c r="R375" s="126" t="s">
        <v>320</v>
      </c>
      <c r="S375" s="126" t="s">
        <v>276</v>
      </c>
      <c r="T375" s="126" t="s">
        <v>276</v>
      </c>
      <c r="U375" s="126" t="s">
        <v>276</v>
      </c>
      <c r="V375" s="150">
        <v>0.0</v>
      </c>
      <c r="W375" s="126"/>
      <c r="X375" s="151">
        <v>199.0</v>
      </c>
      <c r="Y375" s="115"/>
      <c r="Z375" s="115"/>
    </row>
    <row r="376">
      <c r="A376" s="126" t="s">
        <v>103</v>
      </c>
      <c r="B376" s="126" t="s">
        <v>3004</v>
      </c>
      <c r="C376" s="126" t="s">
        <v>3005</v>
      </c>
      <c r="D376" s="126" t="s">
        <v>2963</v>
      </c>
      <c r="E376" s="126" t="s">
        <v>328</v>
      </c>
      <c r="F376" s="126" t="s">
        <v>3006</v>
      </c>
      <c r="G376" s="126" t="s">
        <v>3007</v>
      </c>
      <c r="H376" s="126">
        <v>0.78</v>
      </c>
      <c r="I376" s="126" t="s">
        <v>276</v>
      </c>
      <c r="J376" s="126" t="s">
        <v>276</v>
      </c>
      <c r="K376" s="126" t="s">
        <v>552</v>
      </c>
      <c r="L376" s="126"/>
      <c r="M376" s="126" t="s">
        <v>285</v>
      </c>
      <c r="N376" s="149">
        <v>44971.0</v>
      </c>
      <c r="O376" s="150">
        <v>0.1221</v>
      </c>
      <c r="P376" s="150">
        <v>0.1101</v>
      </c>
      <c r="Q376" s="149">
        <v>43882.0</v>
      </c>
      <c r="R376" s="126" t="s">
        <v>296</v>
      </c>
      <c r="S376" s="150">
        <v>-0.0358</v>
      </c>
      <c r="T376" s="126" t="s">
        <v>276</v>
      </c>
      <c r="U376" s="126" t="s">
        <v>276</v>
      </c>
      <c r="V376" s="150">
        <v>0.0</v>
      </c>
      <c r="W376" s="126" t="s">
        <v>3008</v>
      </c>
      <c r="X376" s="151">
        <v>6929.0</v>
      </c>
      <c r="Y376" s="115"/>
      <c r="Z376" s="115"/>
    </row>
    <row r="377">
      <c r="A377" s="126" t="s">
        <v>149</v>
      </c>
      <c r="B377" s="126" t="s">
        <v>3009</v>
      </c>
      <c r="C377" s="126" t="s">
        <v>3010</v>
      </c>
      <c r="D377" s="126" t="s">
        <v>2963</v>
      </c>
      <c r="E377" s="126" t="s">
        <v>528</v>
      </c>
      <c r="F377" s="126" t="s">
        <v>3011</v>
      </c>
      <c r="G377" s="126" t="s">
        <v>3012</v>
      </c>
      <c r="H377" s="126">
        <v>0.79</v>
      </c>
      <c r="I377" s="126" t="s">
        <v>3013</v>
      </c>
      <c r="J377" s="126" t="s">
        <v>3014</v>
      </c>
      <c r="K377" s="126" t="s">
        <v>3015</v>
      </c>
      <c r="L377" s="126" t="s">
        <v>3016</v>
      </c>
      <c r="M377" s="126" t="s">
        <v>3017</v>
      </c>
      <c r="N377" s="153">
        <v>44971.0</v>
      </c>
      <c r="O377" s="150">
        <v>0.095</v>
      </c>
      <c r="P377" s="150">
        <v>0.096</v>
      </c>
      <c r="Q377" s="149">
        <v>43444.0</v>
      </c>
      <c r="R377" s="126" t="s">
        <v>286</v>
      </c>
      <c r="S377" s="150">
        <v>-0.1164</v>
      </c>
      <c r="T377" s="150">
        <v>0.0</v>
      </c>
      <c r="U377" s="153">
        <v>44957.0</v>
      </c>
      <c r="V377" s="150">
        <v>0.0137</v>
      </c>
      <c r="W377" s="126" t="s">
        <v>3018</v>
      </c>
      <c r="X377" s="151">
        <v>157293.0</v>
      </c>
      <c r="Y377" s="115"/>
      <c r="Z377" s="115"/>
    </row>
    <row r="378">
      <c r="A378" s="126" t="s">
        <v>84</v>
      </c>
      <c r="B378" s="126" t="s">
        <v>3019</v>
      </c>
      <c r="C378" s="126" t="s">
        <v>3020</v>
      </c>
      <c r="D378" s="126" t="s">
        <v>2963</v>
      </c>
      <c r="E378" s="126" t="s">
        <v>301</v>
      </c>
      <c r="F378" s="126" t="s">
        <v>3021</v>
      </c>
      <c r="G378" s="126" t="s">
        <v>3022</v>
      </c>
      <c r="H378" s="126">
        <v>0.75</v>
      </c>
      <c r="I378" s="126" t="s">
        <v>3023</v>
      </c>
      <c r="J378" s="126" t="s">
        <v>3024</v>
      </c>
      <c r="K378" s="126" t="s">
        <v>3025</v>
      </c>
      <c r="L378" s="126" t="s">
        <v>1603</v>
      </c>
      <c r="M378" s="126" t="s">
        <v>3026</v>
      </c>
      <c r="N378" s="149">
        <v>44971.0</v>
      </c>
      <c r="O378" s="150">
        <v>0.0944</v>
      </c>
      <c r="P378" s="150">
        <v>0.0986</v>
      </c>
      <c r="Q378" s="149">
        <v>43797.0</v>
      </c>
      <c r="R378" s="126" t="s">
        <v>3027</v>
      </c>
      <c r="S378" s="150">
        <v>-0.1368</v>
      </c>
      <c r="T378" s="150">
        <v>0.023</v>
      </c>
      <c r="U378" s="126" t="s">
        <v>276</v>
      </c>
      <c r="V378" s="150">
        <v>0.0072</v>
      </c>
      <c r="W378" s="126" t="s">
        <v>3028</v>
      </c>
      <c r="X378" s="151">
        <v>124619.0</v>
      </c>
      <c r="Y378" s="115"/>
      <c r="Z378" s="115"/>
    </row>
    <row r="379">
      <c r="A379" s="126" t="s">
        <v>142</v>
      </c>
      <c r="B379" s="126" t="s">
        <v>3029</v>
      </c>
      <c r="C379" s="126" t="s">
        <v>3030</v>
      </c>
      <c r="D379" s="126" t="s">
        <v>2963</v>
      </c>
      <c r="E379" s="126" t="s">
        <v>267</v>
      </c>
      <c r="F379" s="126" t="s">
        <v>3031</v>
      </c>
      <c r="G379" s="126" t="s">
        <v>3032</v>
      </c>
      <c r="H379" s="126">
        <v>0.84</v>
      </c>
      <c r="I379" s="126" t="s">
        <v>3033</v>
      </c>
      <c r="J379" s="126" t="s">
        <v>3034</v>
      </c>
      <c r="K379" s="126" t="s">
        <v>1503</v>
      </c>
      <c r="L379" s="126" t="s">
        <v>3035</v>
      </c>
      <c r="M379" s="126" t="s">
        <v>3036</v>
      </c>
      <c r="N379" s="153">
        <v>44971.0</v>
      </c>
      <c r="O379" s="150">
        <v>0.0988</v>
      </c>
      <c r="P379" s="150">
        <v>0.0847</v>
      </c>
      <c r="Q379" s="149">
        <v>41708.0</v>
      </c>
      <c r="R379" s="126" t="s">
        <v>286</v>
      </c>
      <c r="S379" s="150">
        <v>-0.0209</v>
      </c>
      <c r="T379" s="150">
        <v>0.056</v>
      </c>
      <c r="U379" s="126" t="s">
        <v>276</v>
      </c>
      <c r="V379" s="150">
        <v>0.018</v>
      </c>
      <c r="W379" s="126" t="s">
        <v>3037</v>
      </c>
      <c r="X379" s="151">
        <v>238692.0</v>
      </c>
      <c r="Y379" s="115"/>
      <c r="Z379" s="115"/>
    </row>
    <row r="380">
      <c r="A380" s="126" t="s">
        <v>229</v>
      </c>
      <c r="B380" s="126" t="s">
        <v>3038</v>
      </c>
      <c r="C380" s="126" t="s">
        <v>3039</v>
      </c>
      <c r="D380" s="126" t="s">
        <v>2963</v>
      </c>
      <c r="E380" s="126" t="s">
        <v>335</v>
      </c>
      <c r="F380" s="126" t="s">
        <v>3040</v>
      </c>
      <c r="G380" s="126" t="s">
        <v>3041</v>
      </c>
      <c r="H380" s="126">
        <v>0.73</v>
      </c>
      <c r="I380" s="126" t="s">
        <v>3042</v>
      </c>
      <c r="J380" s="126" t="s">
        <v>3043</v>
      </c>
      <c r="K380" s="126" t="s">
        <v>552</v>
      </c>
      <c r="L380" s="126" t="s">
        <v>3044</v>
      </c>
      <c r="M380" s="126" t="s">
        <v>3045</v>
      </c>
      <c r="N380" s="149">
        <v>44971.0</v>
      </c>
      <c r="O380" s="150">
        <v>0.136</v>
      </c>
      <c r="P380" s="150">
        <v>0.1282</v>
      </c>
      <c r="Q380" s="149">
        <v>44347.0</v>
      </c>
      <c r="R380" s="126" t="s">
        <v>296</v>
      </c>
      <c r="S380" s="150">
        <v>-0.149</v>
      </c>
      <c r="T380" s="150">
        <v>0.0</v>
      </c>
      <c r="U380" s="126" t="s">
        <v>276</v>
      </c>
      <c r="V380" s="150">
        <v>0.0019</v>
      </c>
      <c r="W380" s="126" t="s">
        <v>3046</v>
      </c>
      <c r="X380" s="151">
        <v>13081.0</v>
      </c>
      <c r="Y380" s="115"/>
      <c r="Z380" s="115"/>
    </row>
    <row r="381">
      <c r="A381" s="126" t="s">
        <v>3047</v>
      </c>
      <c r="B381" s="126" t="s">
        <v>318</v>
      </c>
      <c r="C381" s="126" t="s">
        <v>3048</v>
      </c>
      <c r="D381" s="126" t="s">
        <v>451</v>
      </c>
      <c r="E381" s="126" t="s">
        <v>335</v>
      </c>
      <c r="F381" s="126" t="s">
        <v>318</v>
      </c>
      <c r="G381" s="126" t="s">
        <v>3049</v>
      </c>
      <c r="H381" s="126">
        <v>0.0</v>
      </c>
      <c r="I381" s="126" t="s">
        <v>276</v>
      </c>
      <c r="J381" s="126" t="s">
        <v>276</v>
      </c>
      <c r="K381" s="126" t="s">
        <v>1653</v>
      </c>
      <c r="L381" s="126"/>
      <c r="M381" s="126" t="s">
        <v>285</v>
      </c>
      <c r="N381" s="149">
        <v>44971.0</v>
      </c>
      <c r="O381" s="150"/>
      <c r="P381" s="150"/>
      <c r="Q381" s="126" t="s">
        <v>276</v>
      </c>
      <c r="R381" s="126" t="s">
        <v>318</v>
      </c>
      <c r="S381" s="126" t="s">
        <v>276</v>
      </c>
      <c r="T381" s="126" t="s">
        <v>276</v>
      </c>
      <c r="U381" s="126" t="s">
        <v>276</v>
      </c>
      <c r="V381" s="150">
        <v>0.0</v>
      </c>
      <c r="W381" s="126"/>
      <c r="X381" s="151">
        <v>97.0</v>
      </c>
      <c r="Y381" s="115"/>
      <c r="Z381" s="115"/>
    </row>
    <row r="382">
      <c r="A382" s="126" t="s">
        <v>3050</v>
      </c>
      <c r="B382" s="126" t="s">
        <v>318</v>
      </c>
      <c r="C382" s="126" t="s">
        <v>3051</v>
      </c>
      <c r="D382" s="126" t="s">
        <v>3052</v>
      </c>
      <c r="E382" s="126" t="s">
        <v>301</v>
      </c>
      <c r="F382" s="126" t="s">
        <v>318</v>
      </c>
      <c r="G382" s="126" t="s">
        <v>3053</v>
      </c>
      <c r="H382" s="126">
        <v>0.0</v>
      </c>
      <c r="I382" s="126" t="s">
        <v>318</v>
      </c>
      <c r="J382" s="126" t="s">
        <v>3054</v>
      </c>
      <c r="K382" s="126" t="s">
        <v>318</v>
      </c>
      <c r="L382" s="126" t="s">
        <v>318</v>
      </c>
      <c r="M382" s="126" t="s">
        <v>3055</v>
      </c>
      <c r="N382" s="149">
        <v>44704.0</v>
      </c>
      <c r="O382" s="150"/>
      <c r="P382" s="150"/>
      <c r="Q382" s="149">
        <v>41610.0</v>
      </c>
      <c r="R382" s="126" t="s">
        <v>320</v>
      </c>
      <c r="S382" s="126" t="s">
        <v>276</v>
      </c>
      <c r="T382" s="126" t="s">
        <v>276</v>
      </c>
      <c r="U382" s="126" t="s">
        <v>276</v>
      </c>
      <c r="V382" s="150">
        <v>0.0</v>
      </c>
      <c r="W382" s="126"/>
      <c r="X382" s="151">
        <v>9.0</v>
      </c>
      <c r="Y382" s="115"/>
      <c r="Z382" s="115"/>
    </row>
    <row r="383">
      <c r="A383" s="126" t="s">
        <v>170</v>
      </c>
      <c r="B383" s="126" t="s">
        <v>3056</v>
      </c>
      <c r="C383" s="126" t="s">
        <v>3057</v>
      </c>
      <c r="D383" s="126" t="s">
        <v>874</v>
      </c>
      <c r="E383" s="126" t="s">
        <v>301</v>
      </c>
      <c r="F383" s="126" t="s">
        <v>3058</v>
      </c>
      <c r="G383" s="126" t="s">
        <v>3059</v>
      </c>
      <c r="H383" s="126">
        <v>0.86</v>
      </c>
      <c r="I383" s="126" t="s">
        <v>3060</v>
      </c>
      <c r="J383" s="126" t="s">
        <v>3061</v>
      </c>
      <c r="K383" s="126" t="s">
        <v>852</v>
      </c>
      <c r="L383" s="126" t="s">
        <v>3062</v>
      </c>
      <c r="M383" s="126" t="s">
        <v>3063</v>
      </c>
      <c r="N383" s="153">
        <v>44971.0</v>
      </c>
      <c r="O383" s="150">
        <v>0.0795</v>
      </c>
      <c r="P383" s="150">
        <v>0.0739</v>
      </c>
      <c r="Q383" s="149">
        <v>41135.0</v>
      </c>
      <c r="R383" s="126" t="s">
        <v>286</v>
      </c>
      <c r="S383" s="150">
        <v>-0.0298</v>
      </c>
      <c r="T383" s="150">
        <v>0.0</v>
      </c>
      <c r="U383" s="126" t="s">
        <v>276</v>
      </c>
      <c r="V383" s="150">
        <v>0.0</v>
      </c>
      <c r="W383" s="126" t="s">
        <v>3064</v>
      </c>
      <c r="X383" s="151">
        <v>3167.0</v>
      </c>
      <c r="Y383" s="115"/>
      <c r="Z383" s="115"/>
    </row>
    <row r="384">
      <c r="A384" s="126" t="s">
        <v>173</v>
      </c>
      <c r="B384" s="126" t="s">
        <v>3065</v>
      </c>
      <c r="C384" s="126" t="s">
        <v>3066</v>
      </c>
      <c r="D384" s="126" t="s">
        <v>461</v>
      </c>
      <c r="E384" s="126" t="s">
        <v>281</v>
      </c>
      <c r="F384" s="126" t="s">
        <v>3067</v>
      </c>
      <c r="G384" s="126" t="s">
        <v>3068</v>
      </c>
      <c r="H384" s="126">
        <v>0.91</v>
      </c>
      <c r="I384" s="126" t="s">
        <v>276</v>
      </c>
      <c r="J384" s="126" t="s">
        <v>276</v>
      </c>
      <c r="K384" s="126" t="s">
        <v>1743</v>
      </c>
      <c r="L384" s="126"/>
      <c r="M384" s="126" t="s">
        <v>285</v>
      </c>
      <c r="N384" s="149">
        <v>44971.0</v>
      </c>
      <c r="O384" s="150">
        <v>0.1638</v>
      </c>
      <c r="P384" s="150">
        <v>0.1527</v>
      </c>
      <c r="Q384" s="149">
        <v>43300.0</v>
      </c>
      <c r="R384" s="126" t="s">
        <v>286</v>
      </c>
      <c r="S384" s="150">
        <v>0.0241</v>
      </c>
      <c r="T384" s="126" t="s">
        <v>276</v>
      </c>
      <c r="U384" s="126" t="s">
        <v>276</v>
      </c>
      <c r="V384" s="150">
        <v>0.0</v>
      </c>
      <c r="W384" s="126" t="s">
        <v>3069</v>
      </c>
      <c r="X384" s="151">
        <v>567.0</v>
      </c>
      <c r="Y384" s="115"/>
      <c r="Z384" s="115"/>
    </row>
    <row r="385">
      <c r="A385" s="126" t="s">
        <v>3070</v>
      </c>
      <c r="B385" s="126" t="s">
        <v>318</v>
      </c>
      <c r="C385" s="126" t="s">
        <v>3071</v>
      </c>
      <c r="D385" s="126" t="s">
        <v>461</v>
      </c>
      <c r="E385" s="126" t="s">
        <v>267</v>
      </c>
      <c r="F385" s="126" t="s">
        <v>318</v>
      </c>
      <c r="G385" s="126" t="s">
        <v>3072</v>
      </c>
      <c r="H385" s="126">
        <v>0.0</v>
      </c>
      <c r="I385" s="126" t="s">
        <v>318</v>
      </c>
      <c r="J385" s="126" t="s">
        <v>3073</v>
      </c>
      <c r="K385" s="126" t="s">
        <v>2563</v>
      </c>
      <c r="L385" s="126" t="s">
        <v>3074</v>
      </c>
      <c r="M385" s="126" t="s">
        <v>3075</v>
      </c>
      <c r="N385" s="149">
        <v>44964.0</v>
      </c>
      <c r="O385" s="150"/>
      <c r="P385" s="150"/>
      <c r="Q385" s="149">
        <v>41768.0</v>
      </c>
      <c r="R385" s="126" t="s">
        <v>296</v>
      </c>
      <c r="S385" s="150">
        <v>-1.0</v>
      </c>
      <c r="T385" s="126" t="s">
        <v>276</v>
      </c>
      <c r="U385" s="126" t="s">
        <v>276</v>
      </c>
      <c r="V385" s="150">
        <v>0.0</v>
      </c>
      <c r="W385" s="126"/>
      <c r="X385" s="151">
        <v>53.0</v>
      </c>
      <c r="Y385" s="115"/>
      <c r="Z385" s="115"/>
    </row>
    <row r="386">
      <c r="A386" s="126" t="s">
        <v>64</v>
      </c>
      <c r="B386" s="126" t="s">
        <v>3076</v>
      </c>
      <c r="C386" s="126" t="s">
        <v>3077</v>
      </c>
      <c r="D386" s="126" t="s">
        <v>3078</v>
      </c>
      <c r="E386" s="126" t="s">
        <v>281</v>
      </c>
      <c r="F386" s="126" t="s">
        <v>3079</v>
      </c>
      <c r="G386" s="126" t="s">
        <v>3080</v>
      </c>
      <c r="H386" s="126">
        <v>0.96</v>
      </c>
      <c r="I386" s="126" t="s">
        <v>276</v>
      </c>
      <c r="J386" s="126" t="s">
        <v>276</v>
      </c>
      <c r="K386" s="126" t="s">
        <v>488</v>
      </c>
      <c r="L386" s="126"/>
      <c r="M386" s="126" t="s">
        <v>285</v>
      </c>
      <c r="N386" s="153">
        <v>44972.0</v>
      </c>
      <c r="O386" s="150">
        <v>0.1462</v>
      </c>
      <c r="P386" s="150">
        <v>0.1493</v>
      </c>
      <c r="Q386" s="149">
        <v>40544.0</v>
      </c>
      <c r="R386" s="126" t="s">
        <v>286</v>
      </c>
      <c r="S386" s="150">
        <v>-0.016</v>
      </c>
      <c r="T386" s="126" t="s">
        <v>276</v>
      </c>
      <c r="U386" s="126" t="s">
        <v>276</v>
      </c>
      <c r="V386" s="150">
        <v>0.0126</v>
      </c>
      <c r="W386" s="126" t="s">
        <v>3081</v>
      </c>
      <c r="X386" s="151">
        <v>119228.0</v>
      </c>
      <c r="Y386" s="115"/>
      <c r="Z386" s="115"/>
    </row>
    <row r="387">
      <c r="A387" s="126" t="s">
        <v>166</v>
      </c>
      <c r="B387" s="126" t="s">
        <v>3082</v>
      </c>
      <c r="C387" s="126" t="s">
        <v>3083</v>
      </c>
      <c r="D387" s="126" t="s">
        <v>451</v>
      </c>
      <c r="E387" s="126" t="s">
        <v>281</v>
      </c>
      <c r="F387" s="126" t="s">
        <v>3084</v>
      </c>
      <c r="G387" s="126" t="s">
        <v>3085</v>
      </c>
      <c r="H387" s="126">
        <v>0.44</v>
      </c>
      <c r="I387" s="126" t="s">
        <v>276</v>
      </c>
      <c r="J387" s="126" t="s">
        <v>276</v>
      </c>
      <c r="K387" s="126" t="s">
        <v>374</v>
      </c>
      <c r="L387" s="126"/>
      <c r="M387" s="126" t="s">
        <v>285</v>
      </c>
      <c r="N387" s="149">
        <v>44987.0</v>
      </c>
      <c r="O387" s="150">
        <v>0.036</v>
      </c>
      <c r="P387" s="150">
        <v>0.085</v>
      </c>
      <c r="Q387" s="149">
        <v>44013.0</v>
      </c>
      <c r="R387" s="126" t="s">
        <v>286</v>
      </c>
      <c r="S387" s="150">
        <v>-0.0486</v>
      </c>
      <c r="T387" s="126" t="s">
        <v>276</v>
      </c>
      <c r="U387" s="126" t="s">
        <v>276</v>
      </c>
      <c r="V387" s="150">
        <v>0.0</v>
      </c>
      <c r="W387" s="126"/>
      <c r="X387" s="151">
        <v>65.0</v>
      </c>
      <c r="Y387" s="115"/>
      <c r="Z387" s="115"/>
    </row>
    <row r="388">
      <c r="A388" s="126" t="s">
        <v>188</v>
      </c>
      <c r="B388" s="126" t="s">
        <v>3086</v>
      </c>
      <c r="C388" s="126" t="s">
        <v>3087</v>
      </c>
      <c r="D388" s="126" t="s">
        <v>451</v>
      </c>
      <c r="E388" s="126" t="s">
        <v>267</v>
      </c>
      <c r="F388" s="126" t="s">
        <v>3088</v>
      </c>
      <c r="G388" s="126" t="s">
        <v>3089</v>
      </c>
      <c r="H388" s="126">
        <v>0.64</v>
      </c>
      <c r="I388" s="126" t="s">
        <v>3090</v>
      </c>
      <c r="J388" s="126" t="s">
        <v>3091</v>
      </c>
      <c r="K388" s="126" t="s">
        <v>790</v>
      </c>
      <c r="L388" s="126" t="s">
        <v>3092</v>
      </c>
      <c r="M388" s="126" t="s">
        <v>3093</v>
      </c>
      <c r="N388" s="153">
        <v>44965.0</v>
      </c>
      <c r="O388" s="150">
        <v>0.1298</v>
      </c>
      <c r="P388" s="150">
        <v>0.1134</v>
      </c>
      <c r="Q388" s="149">
        <v>43437.0</v>
      </c>
      <c r="R388" s="126" t="s">
        <v>286</v>
      </c>
      <c r="S388" s="150">
        <v>-0.069</v>
      </c>
      <c r="T388" s="150">
        <v>0.116</v>
      </c>
      <c r="U388" s="126" t="s">
        <v>276</v>
      </c>
      <c r="V388" s="150">
        <v>0.0</v>
      </c>
      <c r="W388" s="126" t="s">
        <v>3094</v>
      </c>
      <c r="X388" s="151">
        <v>2710.0</v>
      </c>
      <c r="Y388" s="115"/>
      <c r="Z388" s="115"/>
    </row>
    <row r="389">
      <c r="A389" s="126" t="s">
        <v>228</v>
      </c>
      <c r="B389" s="126" t="s">
        <v>3095</v>
      </c>
      <c r="C389" s="126" t="s">
        <v>3096</v>
      </c>
      <c r="D389" s="126" t="s">
        <v>2830</v>
      </c>
      <c r="E389" s="126" t="s">
        <v>281</v>
      </c>
      <c r="F389" s="126" t="s">
        <v>3097</v>
      </c>
      <c r="G389" s="126" t="s">
        <v>3098</v>
      </c>
      <c r="H389" s="126">
        <v>0.76</v>
      </c>
      <c r="I389" s="126" t="s">
        <v>276</v>
      </c>
      <c r="J389" s="126" t="s">
        <v>276</v>
      </c>
      <c r="K389" s="126" t="s">
        <v>687</v>
      </c>
      <c r="L389" s="126"/>
      <c r="M389" s="126" t="s">
        <v>285</v>
      </c>
      <c r="N389" s="153">
        <v>44971.0</v>
      </c>
      <c r="O389" s="150">
        <v>0.1781</v>
      </c>
      <c r="P389" s="150">
        <v>0.1626</v>
      </c>
      <c r="Q389" s="149">
        <v>44204.0</v>
      </c>
      <c r="R389" s="126" t="s">
        <v>296</v>
      </c>
      <c r="S389" s="150">
        <v>-0.1199</v>
      </c>
      <c r="T389" s="126" t="s">
        <v>276</v>
      </c>
      <c r="U389" s="126" t="s">
        <v>276</v>
      </c>
      <c r="V389" s="150">
        <v>0.0025</v>
      </c>
      <c r="W389" s="126" t="s">
        <v>3099</v>
      </c>
      <c r="X389" s="151">
        <v>92564.0</v>
      </c>
      <c r="Y389" s="115"/>
      <c r="Z389" s="115"/>
    </row>
    <row r="390">
      <c r="A390" s="126" t="s">
        <v>93</v>
      </c>
      <c r="B390" s="126" t="s">
        <v>3100</v>
      </c>
      <c r="C390" s="126" t="s">
        <v>3101</v>
      </c>
      <c r="D390" s="126" t="s">
        <v>461</v>
      </c>
      <c r="E390" s="126" t="s">
        <v>528</v>
      </c>
      <c r="F390" s="126" t="s">
        <v>3102</v>
      </c>
      <c r="G390" s="126" t="s">
        <v>3103</v>
      </c>
      <c r="H390" s="126">
        <v>0.88</v>
      </c>
      <c r="I390" s="126" t="s">
        <v>3104</v>
      </c>
      <c r="J390" s="126" t="s">
        <v>3105</v>
      </c>
      <c r="K390" s="126" t="s">
        <v>2841</v>
      </c>
      <c r="L390" s="126" t="s">
        <v>3106</v>
      </c>
      <c r="M390" s="126" t="s">
        <v>3107</v>
      </c>
      <c r="N390" s="149">
        <v>44965.0</v>
      </c>
      <c r="O390" s="150">
        <v>0.1258</v>
      </c>
      <c r="P390" s="150">
        <v>0.1129</v>
      </c>
      <c r="Q390" s="153">
        <v>43213.0</v>
      </c>
      <c r="R390" s="126" t="s">
        <v>286</v>
      </c>
      <c r="S390" s="150">
        <v>-0.0517</v>
      </c>
      <c r="T390" s="150">
        <v>0.0</v>
      </c>
      <c r="U390" s="153">
        <v>44957.0</v>
      </c>
      <c r="V390" s="150">
        <v>0.0018</v>
      </c>
      <c r="W390" s="126" t="s">
        <v>3108</v>
      </c>
      <c r="X390" s="151">
        <v>6280.0</v>
      </c>
      <c r="Y390" s="115"/>
      <c r="Z390" s="115"/>
    </row>
    <row r="391">
      <c r="A391" s="126" t="s">
        <v>3109</v>
      </c>
      <c r="B391" s="126" t="s">
        <v>318</v>
      </c>
      <c r="C391" s="126" t="s">
        <v>3110</v>
      </c>
      <c r="D391" s="126" t="s">
        <v>451</v>
      </c>
      <c r="E391" s="126" t="s">
        <v>301</v>
      </c>
      <c r="F391" s="126" t="s">
        <v>318</v>
      </c>
      <c r="G391" s="126" t="s">
        <v>3111</v>
      </c>
      <c r="H391" s="126">
        <v>0.0</v>
      </c>
      <c r="I391" s="126" t="s">
        <v>318</v>
      </c>
      <c r="J391" s="126" t="s">
        <v>3112</v>
      </c>
      <c r="K391" s="126"/>
      <c r="L391" s="126"/>
      <c r="M391" s="126" t="s">
        <v>3113</v>
      </c>
      <c r="N391" s="153"/>
      <c r="O391" s="150"/>
      <c r="P391" s="150"/>
      <c r="Q391" s="126" t="s">
        <v>276</v>
      </c>
      <c r="R391" s="126" t="s">
        <v>286</v>
      </c>
      <c r="S391" s="126" t="s">
        <v>276</v>
      </c>
      <c r="T391" s="126" t="s">
        <v>276</v>
      </c>
      <c r="U391" s="126" t="s">
        <v>276</v>
      </c>
      <c r="V391" s="150">
        <v>0.0</v>
      </c>
      <c r="W391" s="126"/>
      <c r="X391" s="151">
        <v>1.0</v>
      </c>
      <c r="Y391" s="115"/>
      <c r="Z391" s="115"/>
    </row>
    <row r="392">
      <c r="A392" s="126" t="s">
        <v>3114</v>
      </c>
      <c r="B392" s="126" t="s">
        <v>318</v>
      </c>
      <c r="C392" s="126" t="s">
        <v>3115</v>
      </c>
      <c r="D392" s="126"/>
      <c r="E392" s="126" t="s">
        <v>528</v>
      </c>
      <c r="F392" s="126" t="s">
        <v>318</v>
      </c>
      <c r="G392" s="126" t="s">
        <v>3116</v>
      </c>
      <c r="H392" s="126">
        <v>0.0</v>
      </c>
      <c r="I392" s="126" t="s">
        <v>276</v>
      </c>
      <c r="J392" s="126" t="s">
        <v>276</v>
      </c>
      <c r="K392" s="126" t="s">
        <v>318</v>
      </c>
      <c r="L392" s="126"/>
      <c r="M392" s="126" t="s">
        <v>285</v>
      </c>
      <c r="N392" s="153">
        <v>44964.0</v>
      </c>
      <c r="O392" s="150"/>
      <c r="P392" s="150"/>
      <c r="Q392" s="126" t="s">
        <v>276</v>
      </c>
      <c r="R392" s="126" t="s">
        <v>286</v>
      </c>
      <c r="S392" s="126" t="s">
        <v>276</v>
      </c>
      <c r="T392" s="126" t="s">
        <v>276</v>
      </c>
      <c r="U392" s="126" t="s">
        <v>276</v>
      </c>
      <c r="V392" s="150">
        <v>0.0</v>
      </c>
      <c r="W392" s="126"/>
      <c r="X392" s="151">
        <v>53.0</v>
      </c>
      <c r="Y392" s="115"/>
      <c r="Z392" s="115"/>
    </row>
    <row r="393">
      <c r="A393" s="126" t="s">
        <v>3117</v>
      </c>
      <c r="B393" s="126" t="s">
        <v>318</v>
      </c>
      <c r="C393" s="126" t="s">
        <v>3118</v>
      </c>
      <c r="D393" s="126" t="s">
        <v>451</v>
      </c>
      <c r="E393" s="126" t="s">
        <v>267</v>
      </c>
      <c r="F393" s="126" t="s">
        <v>318</v>
      </c>
      <c r="G393" s="126" t="s">
        <v>3119</v>
      </c>
      <c r="H393" s="126">
        <v>0.0</v>
      </c>
      <c r="I393" s="126" t="s">
        <v>318</v>
      </c>
      <c r="J393" s="126" t="s">
        <v>3120</v>
      </c>
      <c r="K393" s="126"/>
      <c r="L393" s="126"/>
      <c r="M393" s="126" t="s">
        <v>3121</v>
      </c>
      <c r="N393" s="153"/>
      <c r="O393" s="150"/>
      <c r="P393" s="150"/>
      <c r="Q393" s="126" t="s">
        <v>276</v>
      </c>
      <c r="R393" s="126" t="s">
        <v>286</v>
      </c>
      <c r="S393" s="126" t="s">
        <v>276</v>
      </c>
      <c r="T393" s="126" t="s">
        <v>276</v>
      </c>
      <c r="U393" s="126" t="s">
        <v>276</v>
      </c>
      <c r="V393" s="150">
        <v>0.0</v>
      </c>
      <c r="W393" s="126"/>
      <c r="X393" s="151">
        <v>1.0</v>
      </c>
      <c r="Y393" s="115"/>
      <c r="Z393" s="115"/>
    </row>
    <row r="394">
      <c r="A394" s="126" t="s">
        <v>3122</v>
      </c>
      <c r="B394" s="126" t="s">
        <v>318</v>
      </c>
      <c r="C394" s="126" t="s">
        <v>3123</v>
      </c>
      <c r="D394" s="126" t="s">
        <v>461</v>
      </c>
      <c r="E394" s="126" t="s">
        <v>367</v>
      </c>
      <c r="F394" s="126" t="s">
        <v>318</v>
      </c>
      <c r="G394" s="126" t="s">
        <v>3124</v>
      </c>
      <c r="H394" s="126">
        <v>0.0</v>
      </c>
      <c r="I394" s="126" t="s">
        <v>276</v>
      </c>
      <c r="J394" s="126" t="s">
        <v>276</v>
      </c>
      <c r="K394" s="126"/>
      <c r="L394" s="126"/>
      <c r="M394" s="126" t="s">
        <v>285</v>
      </c>
      <c r="N394" s="153"/>
      <c r="O394" s="150"/>
      <c r="P394" s="150"/>
      <c r="Q394" s="126" t="s">
        <v>276</v>
      </c>
      <c r="R394" s="126" t="s">
        <v>286</v>
      </c>
      <c r="S394" s="126" t="s">
        <v>276</v>
      </c>
      <c r="T394" s="126" t="s">
        <v>276</v>
      </c>
      <c r="U394" s="126" t="s">
        <v>276</v>
      </c>
      <c r="V394" s="150">
        <v>0.0</v>
      </c>
      <c r="W394" s="126"/>
      <c r="X394" s="151">
        <v>2.0</v>
      </c>
      <c r="Y394" s="115"/>
      <c r="Z394" s="115"/>
    </row>
    <row r="395">
      <c r="A395" s="126" t="s">
        <v>3125</v>
      </c>
      <c r="B395" s="126" t="s">
        <v>3126</v>
      </c>
      <c r="C395" s="126" t="s">
        <v>3127</v>
      </c>
      <c r="D395" s="126" t="s">
        <v>3128</v>
      </c>
      <c r="E395" s="126" t="s">
        <v>301</v>
      </c>
      <c r="F395" s="126" t="s">
        <v>3129</v>
      </c>
      <c r="G395" s="126" t="s">
        <v>3130</v>
      </c>
      <c r="H395" s="126">
        <v>0.63</v>
      </c>
      <c r="I395" s="126" t="s">
        <v>3131</v>
      </c>
      <c r="J395" s="126" t="s">
        <v>3132</v>
      </c>
      <c r="K395" s="126" t="s">
        <v>318</v>
      </c>
      <c r="L395" s="126" t="s">
        <v>318</v>
      </c>
      <c r="M395" s="126" t="s">
        <v>3133</v>
      </c>
      <c r="N395" s="153">
        <v>44965.0</v>
      </c>
      <c r="O395" s="150">
        <v>0.0</v>
      </c>
      <c r="P395" s="150"/>
      <c r="Q395" s="153">
        <v>41226.0</v>
      </c>
      <c r="R395" s="126" t="s">
        <v>286</v>
      </c>
      <c r="S395" s="150">
        <v>-0.0588</v>
      </c>
      <c r="T395" s="150">
        <v>0.0</v>
      </c>
      <c r="U395" s="149">
        <v>44804.0</v>
      </c>
      <c r="V395" s="150">
        <v>0.0</v>
      </c>
      <c r="W395" s="126" t="s">
        <v>3134</v>
      </c>
      <c r="X395" s="151">
        <v>3984.0</v>
      </c>
      <c r="Y395" s="115"/>
      <c r="Z395" s="115"/>
    </row>
    <row r="396">
      <c r="A396" s="126" t="s">
        <v>203</v>
      </c>
      <c r="B396" s="126" t="s">
        <v>3135</v>
      </c>
      <c r="C396" s="126" t="s">
        <v>3136</v>
      </c>
      <c r="D396" s="126" t="s">
        <v>1671</v>
      </c>
      <c r="E396" s="126" t="s">
        <v>367</v>
      </c>
      <c r="F396" s="126" t="s">
        <v>3137</v>
      </c>
      <c r="G396" s="126" t="s">
        <v>3138</v>
      </c>
      <c r="H396" s="126">
        <v>1.03</v>
      </c>
      <c r="I396" s="126" t="s">
        <v>276</v>
      </c>
      <c r="J396" s="126" t="s">
        <v>276</v>
      </c>
      <c r="K396" s="126" t="s">
        <v>318</v>
      </c>
      <c r="L396" s="126"/>
      <c r="M396" s="126" t="s">
        <v>285</v>
      </c>
      <c r="N396" s="153">
        <v>44957.0</v>
      </c>
      <c r="O396" s="150">
        <v>0.0</v>
      </c>
      <c r="P396" s="150"/>
      <c r="Q396" s="126" t="s">
        <v>276</v>
      </c>
      <c r="R396" s="126" t="s">
        <v>286</v>
      </c>
      <c r="S396" s="150">
        <v>0.0135</v>
      </c>
      <c r="T396" s="126" t="s">
        <v>276</v>
      </c>
      <c r="U396" s="126" t="s">
        <v>276</v>
      </c>
      <c r="V396" s="150">
        <v>0.0</v>
      </c>
      <c r="W396" s="126" t="s">
        <v>3139</v>
      </c>
      <c r="X396" s="151">
        <v>22.0</v>
      </c>
      <c r="Y396" s="115"/>
      <c r="Z396" s="115"/>
    </row>
    <row r="397">
      <c r="A397" s="126" t="s">
        <v>3140</v>
      </c>
      <c r="B397" s="126" t="s">
        <v>3141</v>
      </c>
      <c r="C397" s="126" t="s">
        <v>3142</v>
      </c>
      <c r="D397" s="126" t="s">
        <v>3143</v>
      </c>
      <c r="E397" s="126" t="s">
        <v>335</v>
      </c>
      <c r="F397" s="126" t="s">
        <v>3144</v>
      </c>
      <c r="G397" s="126" t="s">
        <v>3145</v>
      </c>
      <c r="H397" s="126">
        <v>0.86</v>
      </c>
      <c r="I397" s="126" t="s">
        <v>276</v>
      </c>
      <c r="J397" s="126" t="s">
        <v>276</v>
      </c>
      <c r="K397" s="126" t="s">
        <v>362</v>
      </c>
      <c r="L397" s="126"/>
      <c r="M397" s="126" t="s">
        <v>285</v>
      </c>
      <c r="N397" s="153">
        <v>44971.0</v>
      </c>
      <c r="O397" s="150">
        <v>0.1494</v>
      </c>
      <c r="P397" s="150">
        <v>0.0863</v>
      </c>
      <c r="Q397" s="149">
        <v>44714.0</v>
      </c>
      <c r="R397" s="126" t="s">
        <v>296</v>
      </c>
      <c r="S397" s="150">
        <v>-0.0115</v>
      </c>
      <c r="T397" s="126" t="s">
        <v>276</v>
      </c>
      <c r="U397" s="126" t="s">
        <v>276</v>
      </c>
      <c r="V397" s="150">
        <v>0.002</v>
      </c>
      <c r="W397" s="126" t="s">
        <v>3146</v>
      </c>
      <c r="X397" s="151">
        <v>3559.0</v>
      </c>
      <c r="Y397" s="115"/>
      <c r="Z397" s="115"/>
    </row>
    <row r="398">
      <c r="A398" s="126" t="s">
        <v>204</v>
      </c>
      <c r="B398" s="126" t="s">
        <v>3147</v>
      </c>
      <c r="C398" s="126" t="s">
        <v>3148</v>
      </c>
      <c r="D398" s="126" t="s">
        <v>399</v>
      </c>
      <c r="E398" s="126" t="s">
        <v>267</v>
      </c>
      <c r="F398" s="126" t="s">
        <v>3149</v>
      </c>
      <c r="G398" s="126" t="s">
        <v>3150</v>
      </c>
      <c r="H398" s="126">
        <v>0.8</v>
      </c>
      <c r="I398" s="126" t="s">
        <v>3151</v>
      </c>
      <c r="J398" s="126" t="s">
        <v>3152</v>
      </c>
      <c r="K398" s="126" t="s">
        <v>1439</v>
      </c>
      <c r="L398" s="126" t="s">
        <v>3153</v>
      </c>
      <c r="M398" s="126" t="s">
        <v>3154</v>
      </c>
      <c r="N398" s="153">
        <v>44971.0</v>
      </c>
      <c r="O398" s="150">
        <v>0.0798</v>
      </c>
      <c r="P398" s="150">
        <v>0.0742</v>
      </c>
      <c r="Q398" s="153">
        <v>39672.0</v>
      </c>
      <c r="R398" s="126" t="s">
        <v>286</v>
      </c>
      <c r="S398" s="150">
        <v>-0.1331</v>
      </c>
      <c r="T398" s="150">
        <v>0.114</v>
      </c>
      <c r="U398" s="126" t="s">
        <v>276</v>
      </c>
      <c r="V398" s="150">
        <v>0.0</v>
      </c>
      <c r="W398" s="126" t="s">
        <v>3155</v>
      </c>
      <c r="X398" s="151">
        <v>1835.0</v>
      </c>
      <c r="Y398" s="115"/>
      <c r="Z398" s="115"/>
    </row>
    <row r="399">
      <c r="A399" s="126" t="s">
        <v>3156</v>
      </c>
      <c r="B399" s="126" t="s">
        <v>3157</v>
      </c>
      <c r="C399" s="126" t="s">
        <v>3158</v>
      </c>
      <c r="D399" s="126" t="s">
        <v>3159</v>
      </c>
      <c r="E399" s="126" t="s">
        <v>281</v>
      </c>
      <c r="F399" s="126" t="s">
        <v>3160</v>
      </c>
      <c r="G399" s="126" t="s">
        <v>3161</v>
      </c>
      <c r="H399" s="126">
        <v>0.92</v>
      </c>
      <c r="I399" s="126" t="s">
        <v>276</v>
      </c>
      <c r="J399" s="126" t="s">
        <v>276</v>
      </c>
      <c r="K399" s="126" t="s">
        <v>869</v>
      </c>
      <c r="L399" s="126"/>
      <c r="M399" s="126" t="s">
        <v>285</v>
      </c>
      <c r="N399" s="153">
        <v>44973.0</v>
      </c>
      <c r="O399" s="150">
        <v>0.1506</v>
      </c>
      <c r="P399" s="150">
        <v>0.0422</v>
      </c>
      <c r="Q399" s="149">
        <v>44847.0</v>
      </c>
      <c r="R399" s="126" t="s">
        <v>286</v>
      </c>
      <c r="S399" s="150">
        <v>-0.0312</v>
      </c>
      <c r="T399" s="126" t="s">
        <v>276</v>
      </c>
      <c r="U399" s="126" t="s">
        <v>276</v>
      </c>
      <c r="V399" s="150">
        <v>0.0</v>
      </c>
      <c r="W399" s="126" t="s">
        <v>3162</v>
      </c>
      <c r="X399" s="151">
        <v>455.0</v>
      </c>
      <c r="Y399" s="115"/>
      <c r="Z399" s="115"/>
    </row>
    <row r="400">
      <c r="A400" s="126" t="s">
        <v>185</v>
      </c>
      <c r="B400" s="126" t="s">
        <v>3163</v>
      </c>
      <c r="C400" s="126" t="s">
        <v>3164</v>
      </c>
      <c r="D400" s="126" t="s">
        <v>2109</v>
      </c>
      <c r="E400" s="126" t="s">
        <v>301</v>
      </c>
      <c r="F400" s="126" t="s">
        <v>3165</v>
      </c>
      <c r="G400" s="126" t="s">
        <v>3166</v>
      </c>
      <c r="H400" s="126">
        <v>0.41</v>
      </c>
      <c r="I400" s="126" t="s">
        <v>3167</v>
      </c>
      <c r="J400" s="126" t="s">
        <v>3168</v>
      </c>
      <c r="K400" s="126" t="s">
        <v>3169</v>
      </c>
      <c r="L400" s="126" t="s">
        <v>3170</v>
      </c>
      <c r="M400" s="126" t="s">
        <v>3171</v>
      </c>
      <c r="N400" s="153">
        <v>44980.0</v>
      </c>
      <c r="O400" s="150">
        <v>0.0828</v>
      </c>
      <c r="P400" s="150">
        <v>0.0443</v>
      </c>
      <c r="Q400" s="149">
        <v>43276.0</v>
      </c>
      <c r="R400" s="126" t="s">
        <v>3172</v>
      </c>
      <c r="S400" s="150">
        <v>-0.2102</v>
      </c>
      <c r="T400" s="126" t="s">
        <v>276</v>
      </c>
      <c r="U400" s="126" t="s">
        <v>276</v>
      </c>
      <c r="V400" s="150">
        <v>0.0</v>
      </c>
      <c r="W400" s="126" t="s">
        <v>3173</v>
      </c>
      <c r="X400" s="151">
        <v>203.0</v>
      </c>
      <c r="Y400" s="115"/>
      <c r="Z400" s="115"/>
    </row>
    <row r="401">
      <c r="A401" s="126" t="s">
        <v>3174</v>
      </c>
      <c r="B401" s="126" t="s">
        <v>318</v>
      </c>
      <c r="C401" s="126" t="s">
        <v>3175</v>
      </c>
      <c r="D401" s="126" t="s">
        <v>2830</v>
      </c>
      <c r="E401" s="126" t="s">
        <v>328</v>
      </c>
      <c r="F401" s="126" t="s">
        <v>318</v>
      </c>
      <c r="G401" s="126" t="s">
        <v>3176</v>
      </c>
      <c r="H401" s="126">
        <v>0.0</v>
      </c>
      <c r="I401" s="126" t="s">
        <v>276</v>
      </c>
      <c r="J401" s="126" t="s">
        <v>276</v>
      </c>
      <c r="K401" s="126" t="s">
        <v>318</v>
      </c>
      <c r="L401" s="126"/>
      <c r="M401" s="126" t="s">
        <v>285</v>
      </c>
      <c r="N401" s="149">
        <v>44970.0</v>
      </c>
      <c r="O401" s="150"/>
      <c r="P401" s="150"/>
      <c r="Q401" s="126" t="s">
        <v>276</v>
      </c>
      <c r="R401" s="126" t="s">
        <v>318</v>
      </c>
      <c r="S401" s="126" t="s">
        <v>276</v>
      </c>
      <c r="T401" s="126" t="s">
        <v>276</v>
      </c>
      <c r="U401" s="126" t="s">
        <v>276</v>
      </c>
      <c r="V401" s="150">
        <v>0.0</v>
      </c>
      <c r="W401" s="126"/>
      <c r="X401" s="151">
        <v>6.0</v>
      </c>
      <c r="Y401" s="115"/>
      <c r="Z401" s="115"/>
    </row>
    <row r="402">
      <c r="A402" s="126" t="s">
        <v>3177</v>
      </c>
      <c r="B402" s="126" t="s">
        <v>3178</v>
      </c>
      <c r="C402" s="126" t="s">
        <v>3179</v>
      </c>
      <c r="D402" s="126" t="s">
        <v>2032</v>
      </c>
      <c r="E402" s="126" t="s">
        <v>292</v>
      </c>
      <c r="F402" s="126" t="s">
        <v>3180</v>
      </c>
      <c r="G402" s="126" t="s">
        <v>3181</v>
      </c>
      <c r="H402" s="126">
        <v>1.04</v>
      </c>
      <c r="I402" s="126" t="s">
        <v>276</v>
      </c>
      <c r="J402" s="126" t="s">
        <v>276</v>
      </c>
      <c r="K402" s="126" t="s">
        <v>374</v>
      </c>
      <c r="L402" s="126"/>
      <c r="M402" s="126" t="s">
        <v>285</v>
      </c>
      <c r="N402" s="149">
        <v>44971.0</v>
      </c>
      <c r="O402" s="150">
        <v>0.1697</v>
      </c>
      <c r="P402" s="150">
        <v>0.1638</v>
      </c>
      <c r="Q402" s="149">
        <v>44517.0</v>
      </c>
      <c r="R402" s="126" t="s">
        <v>296</v>
      </c>
      <c r="S402" s="150">
        <v>0.0281</v>
      </c>
      <c r="T402" s="126" t="s">
        <v>276</v>
      </c>
      <c r="U402" s="126" t="s">
        <v>276</v>
      </c>
      <c r="V402" s="150">
        <v>0.0</v>
      </c>
      <c r="W402" s="126" t="s">
        <v>3182</v>
      </c>
      <c r="X402" s="151">
        <v>34955.0</v>
      </c>
      <c r="Y402" s="115"/>
      <c r="Z402" s="115"/>
    </row>
    <row r="403">
      <c r="A403" s="126" t="s">
        <v>57</v>
      </c>
      <c r="B403" s="126" t="s">
        <v>3183</v>
      </c>
      <c r="C403" s="126" t="s">
        <v>3184</v>
      </c>
      <c r="D403" s="126" t="s">
        <v>2032</v>
      </c>
      <c r="E403" s="126" t="s">
        <v>281</v>
      </c>
      <c r="F403" s="126" t="s">
        <v>3185</v>
      </c>
      <c r="G403" s="126" t="s">
        <v>3186</v>
      </c>
      <c r="H403" s="126">
        <v>0.87</v>
      </c>
      <c r="I403" s="126" t="s">
        <v>276</v>
      </c>
      <c r="J403" s="126" t="s">
        <v>276</v>
      </c>
      <c r="K403" s="126" t="s">
        <v>2637</v>
      </c>
      <c r="L403" s="149"/>
      <c r="M403" s="126" t="s">
        <v>285</v>
      </c>
      <c r="N403" s="149">
        <v>44971.0</v>
      </c>
      <c r="O403" s="150">
        <v>0.1564</v>
      </c>
      <c r="P403" s="150">
        <v>0.1458</v>
      </c>
      <c r="Q403" s="149">
        <v>43816.0</v>
      </c>
      <c r="R403" s="126" t="s">
        <v>286</v>
      </c>
      <c r="S403" s="150">
        <v>-0.0306</v>
      </c>
      <c r="T403" s="126" t="s">
        <v>276</v>
      </c>
      <c r="U403" s="126" t="s">
        <v>276</v>
      </c>
      <c r="V403" s="150">
        <v>0.0064</v>
      </c>
      <c r="W403" s="126" t="s">
        <v>3187</v>
      </c>
      <c r="X403" s="151">
        <v>71969.0</v>
      </c>
      <c r="Y403" s="115"/>
      <c r="Z403" s="115"/>
    </row>
    <row r="404">
      <c r="A404" s="126" t="s">
        <v>49</v>
      </c>
      <c r="B404" s="126" t="s">
        <v>3188</v>
      </c>
      <c r="C404" s="126" t="s">
        <v>3189</v>
      </c>
      <c r="D404" s="126" t="s">
        <v>3190</v>
      </c>
      <c r="E404" s="126" t="s">
        <v>301</v>
      </c>
      <c r="F404" s="126" t="s">
        <v>3191</v>
      </c>
      <c r="G404" s="126" t="s">
        <v>3192</v>
      </c>
      <c r="H404" s="126">
        <v>0.34</v>
      </c>
      <c r="I404" s="126" t="s">
        <v>3193</v>
      </c>
      <c r="J404" s="126" t="s">
        <v>3194</v>
      </c>
      <c r="K404" s="126" t="s">
        <v>768</v>
      </c>
      <c r="L404" s="126" t="s">
        <v>3195</v>
      </c>
      <c r="M404" s="126" t="s">
        <v>3196</v>
      </c>
      <c r="N404" s="149">
        <v>44971.0</v>
      </c>
      <c r="O404" s="150">
        <v>0.1001</v>
      </c>
      <c r="P404" s="150">
        <v>0.1257</v>
      </c>
      <c r="Q404" s="149">
        <v>41341.0</v>
      </c>
      <c r="R404" s="126" t="s">
        <v>286</v>
      </c>
      <c r="S404" s="150">
        <v>0.0488</v>
      </c>
      <c r="T404" s="150">
        <v>0.85</v>
      </c>
      <c r="U404" s="149">
        <v>43312.0</v>
      </c>
      <c r="V404" s="150">
        <v>0.0</v>
      </c>
      <c r="W404" s="126" t="s">
        <v>3197</v>
      </c>
      <c r="X404" s="151">
        <v>27576.0</v>
      </c>
      <c r="Y404" s="115"/>
      <c r="Z404" s="115"/>
    </row>
    <row r="405">
      <c r="A405" s="126" t="s">
        <v>3198</v>
      </c>
      <c r="B405" s="126" t="s">
        <v>318</v>
      </c>
      <c r="C405" s="126" t="s">
        <v>3199</v>
      </c>
      <c r="D405" s="126" t="s">
        <v>2032</v>
      </c>
      <c r="E405" s="126" t="s">
        <v>528</v>
      </c>
      <c r="F405" s="126" t="s">
        <v>318</v>
      </c>
      <c r="G405" s="126" t="s">
        <v>3200</v>
      </c>
      <c r="H405" s="126">
        <v>0.0</v>
      </c>
      <c r="I405" s="126" t="s">
        <v>276</v>
      </c>
      <c r="J405" s="126" t="s">
        <v>276</v>
      </c>
      <c r="K405" s="115"/>
      <c r="L405" s="115"/>
      <c r="M405" s="126" t="s">
        <v>285</v>
      </c>
      <c r="N405" s="115"/>
      <c r="O405" s="115"/>
      <c r="P405" s="115"/>
      <c r="Q405" s="126" t="s">
        <v>276</v>
      </c>
      <c r="R405" s="126" t="s">
        <v>320</v>
      </c>
      <c r="S405" s="126" t="s">
        <v>276</v>
      </c>
      <c r="T405" s="126" t="s">
        <v>276</v>
      </c>
      <c r="U405" s="126" t="s">
        <v>276</v>
      </c>
      <c r="V405" s="150">
        <v>0.0</v>
      </c>
      <c r="W405" s="115"/>
      <c r="X405" s="151">
        <v>1058.0</v>
      </c>
      <c r="Y405" s="115"/>
      <c r="Z405" s="115"/>
    </row>
    <row r="406">
      <c r="A406" s="126" t="s">
        <v>205</v>
      </c>
      <c r="B406" s="126" t="s">
        <v>664</v>
      </c>
      <c r="C406" s="126" t="s">
        <v>3201</v>
      </c>
      <c r="D406" s="126" t="s">
        <v>2032</v>
      </c>
      <c r="E406" s="126" t="s">
        <v>391</v>
      </c>
      <c r="F406" s="126" t="s">
        <v>3202</v>
      </c>
      <c r="G406" s="126" t="s">
        <v>3203</v>
      </c>
      <c r="H406" s="126">
        <v>1.11</v>
      </c>
      <c r="I406" s="126" t="s">
        <v>3204</v>
      </c>
      <c r="J406" s="126" t="s">
        <v>3205</v>
      </c>
      <c r="K406" s="126" t="s">
        <v>1776</v>
      </c>
      <c r="L406" s="126" t="s">
        <v>3206</v>
      </c>
      <c r="M406" s="126" t="s">
        <v>3207</v>
      </c>
      <c r="N406" s="149">
        <v>44971.0</v>
      </c>
      <c r="O406" s="150">
        <v>0.1526</v>
      </c>
      <c r="P406" s="150">
        <v>0.0919</v>
      </c>
      <c r="Q406" s="149">
        <v>43579.0</v>
      </c>
      <c r="R406" s="126" t="s">
        <v>286</v>
      </c>
      <c r="S406" s="150">
        <v>-0.0625</v>
      </c>
      <c r="T406" s="150">
        <v>0.327</v>
      </c>
      <c r="U406" s="126" t="s">
        <v>276</v>
      </c>
      <c r="V406" s="150">
        <v>0.0</v>
      </c>
      <c r="W406" s="126" t="s">
        <v>3208</v>
      </c>
      <c r="X406" s="151">
        <v>1274.0</v>
      </c>
      <c r="Y406" s="115"/>
      <c r="Z406" s="115"/>
    </row>
    <row r="407">
      <c r="A407" s="126" t="s">
        <v>206</v>
      </c>
      <c r="B407" s="126" t="s">
        <v>3209</v>
      </c>
      <c r="C407" s="126" t="s">
        <v>3210</v>
      </c>
      <c r="D407" s="126" t="s">
        <v>2032</v>
      </c>
      <c r="E407" s="126" t="s">
        <v>391</v>
      </c>
      <c r="F407" s="126" t="s">
        <v>3211</v>
      </c>
      <c r="G407" s="126" t="s">
        <v>276</v>
      </c>
      <c r="H407" s="126" t="s">
        <v>276</v>
      </c>
      <c r="I407" s="126" t="s">
        <v>2474</v>
      </c>
      <c r="J407" s="126" t="s">
        <v>276</v>
      </c>
      <c r="K407" s="126" t="s">
        <v>318</v>
      </c>
      <c r="L407" s="126" t="s">
        <v>318</v>
      </c>
      <c r="M407" s="126" t="s">
        <v>3212</v>
      </c>
      <c r="N407" s="153">
        <v>44957.0</v>
      </c>
      <c r="O407" s="150">
        <v>0.0</v>
      </c>
      <c r="P407" s="115"/>
      <c r="Q407" s="149">
        <v>43579.0</v>
      </c>
      <c r="R407" s="126" t="s">
        <v>286</v>
      </c>
      <c r="S407" s="150">
        <v>-0.1324</v>
      </c>
      <c r="T407" s="126" t="s">
        <v>276</v>
      </c>
      <c r="U407" s="126" t="s">
        <v>276</v>
      </c>
      <c r="V407" s="150">
        <v>0.0</v>
      </c>
      <c r="W407" s="126" t="s">
        <v>3213</v>
      </c>
      <c r="X407" s="115"/>
      <c r="Y407" s="115"/>
      <c r="Z407" s="115"/>
    </row>
    <row r="408">
      <c r="A408" s="126" t="s">
        <v>132</v>
      </c>
      <c r="B408" s="126" t="s">
        <v>3214</v>
      </c>
      <c r="C408" s="126" t="s">
        <v>3215</v>
      </c>
      <c r="D408" s="126" t="s">
        <v>2032</v>
      </c>
      <c r="E408" s="126" t="s">
        <v>528</v>
      </c>
      <c r="F408" s="126" t="s">
        <v>3216</v>
      </c>
      <c r="G408" s="126" t="s">
        <v>3217</v>
      </c>
      <c r="H408" s="126">
        <v>0.69</v>
      </c>
      <c r="I408" s="126" t="s">
        <v>3218</v>
      </c>
      <c r="J408" s="126" t="s">
        <v>3219</v>
      </c>
      <c r="K408" s="126" t="s">
        <v>790</v>
      </c>
      <c r="L408" s="126" t="s">
        <v>3220</v>
      </c>
      <c r="M408" s="126" t="s">
        <v>3221</v>
      </c>
      <c r="N408" s="149">
        <v>44981.0</v>
      </c>
      <c r="O408" s="150">
        <v>0.1156</v>
      </c>
      <c r="P408" s="150">
        <v>0.1058</v>
      </c>
      <c r="Q408" s="149">
        <v>43272.0</v>
      </c>
      <c r="R408" s="126" t="s">
        <v>286</v>
      </c>
      <c r="S408" s="150">
        <v>-0.0382</v>
      </c>
      <c r="T408" s="150">
        <v>0.1326</v>
      </c>
      <c r="U408" s="153">
        <v>44925.0</v>
      </c>
      <c r="V408" s="150">
        <v>0.0049</v>
      </c>
      <c r="W408" s="126" t="s">
        <v>3222</v>
      </c>
      <c r="X408" s="151">
        <v>46043.0</v>
      </c>
      <c r="Y408" s="115"/>
      <c r="Z408" s="115"/>
    </row>
    <row r="409">
      <c r="A409" s="126" t="s">
        <v>156</v>
      </c>
      <c r="B409" s="126" t="s">
        <v>3223</v>
      </c>
      <c r="C409" s="126" t="s">
        <v>3224</v>
      </c>
      <c r="D409" s="126" t="s">
        <v>2032</v>
      </c>
      <c r="E409" s="126" t="s">
        <v>528</v>
      </c>
      <c r="F409" s="126" t="s">
        <v>3225</v>
      </c>
      <c r="G409" s="126" t="s">
        <v>3226</v>
      </c>
      <c r="H409" s="126">
        <v>0.82</v>
      </c>
      <c r="I409" s="126" t="s">
        <v>3227</v>
      </c>
      <c r="J409" s="126" t="s">
        <v>3228</v>
      </c>
      <c r="K409" s="126" t="s">
        <v>696</v>
      </c>
      <c r="L409" s="126" t="s">
        <v>3229</v>
      </c>
      <c r="M409" s="126" t="s">
        <v>3230</v>
      </c>
      <c r="N409" s="149">
        <v>44971.0</v>
      </c>
      <c r="O409" s="150">
        <v>0.0995</v>
      </c>
      <c r="P409" s="150">
        <v>0.0912</v>
      </c>
      <c r="Q409" s="149">
        <v>43256.0</v>
      </c>
      <c r="R409" s="126" t="s">
        <v>286</v>
      </c>
      <c r="S409" s="150">
        <v>-0.059</v>
      </c>
      <c r="T409" s="150">
        <v>0.068</v>
      </c>
      <c r="U409" s="153">
        <v>44957.0</v>
      </c>
      <c r="V409" s="150">
        <v>0.0245</v>
      </c>
      <c r="W409" s="126" t="s">
        <v>3231</v>
      </c>
      <c r="X409" s="151">
        <v>306167.0</v>
      </c>
      <c r="Y409" s="115"/>
      <c r="Z409" s="115"/>
    </row>
    <row r="410">
      <c r="A410" s="126" t="s">
        <v>179</v>
      </c>
      <c r="B410" s="126" t="s">
        <v>3232</v>
      </c>
      <c r="C410" s="126" t="s">
        <v>3233</v>
      </c>
      <c r="D410" s="126" t="s">
        <v>3234</v>
      </c>
      <c r="E410" s="126" t="s">
        <v>267</v>
      </c>
      <c r="F410" s="126" t="s">
        <v>3235</v>
      </c>
      <c r="G410" s="126" t="s">
        <v>3236</v>
      </c>
      <c r="H410" s="126">
        <v>0.97</v>
      </c>
      <c r="I410" s="126" t="s">
        <v>3237</v>
      </c>
      <c r="J410" s="126" t="s">
        <v>3238</v>
      </c>
      <c r="K410" s="126" t="s">
        <v>384</v>
      </c>
      <c r="L410" s="126" t="s">
        <v>3239</v>
      </c>
      <c r="M410" s="126" t="s">
        <v>3240</v>
      </c>
      <c r="N410" s="149">
        <v>44981.0</v>
      </c>
      <c r="O410" s="150">
        <v>0.0986</v>
      </c>
      <c r="P410" s="150">
        <v>0.0891</v>
      </c>
      <c r="Q410" s="153">
        <v>43097.0</v>
      </c>
      <c r="R410" s="126" t="s">
        <v>286</v>
      </c>
      <c r="S410" s="150">
        <v>0.0226</v>
      </c>
      <c r="T410" s="150">
        <v>0.032</v>
      </c>
      <c r="U410" s="126" t="s">
        <v>276</v>
      </c>
      <c r="V410" s="150">
        <v>0.0179</v>
      </c>
      <c r="W410" s="126" t="s">
        <v>3241</v>
      </c>
      <c r="X410" s="151">
        <v>300598.0</v>
      </c>
      <c r="Y410" s="115"/>
      <c r="Z410" s="115"/>
    </row>
    <row r="411">
      <c r="A411" s="126" t="s">
        <v>87</v>
      </c>
      <c r="B411" s="126" t="s">
        <v>3242</v>
      </c>
      <c r="C411" s="126" t="s">
        <v>3243</v>
      </c>
      <c r="D411" s="126" t="s">
        <v>2032</v>
      </c>
      <c r="E411" s="126" t="s">
        <v>301</v>
      </c>
      <c r="F411" s="126" t="s">
        <v>3244</v>
      </c>
      <c r="G411" s="126" t="s">
        <v>3245</v>
      </c>
      <c r="H411" s="126">
        <v>0.42</v>
      </c>
      <c r="I411" s="126" t="s">
        <v>3246</v>
      </c>
      <c r="J411" s="126" t="s">
        <v>3247</v>
      </c>
      <c r="K411" s="126" t="s">
        <v>3248</v>
      </c>
      <c r="L411" s="126" t="s">
        <v>3209</v>
      </c>
      <c r="M411" s="126" t="s">
        <v>3249</v>
      </c>
      <c r="N411" s="149">
        <v>44971.0</v>
      </c>
      <c r="O411" s="150">
        <v>0.121</v>
      </c>
      <c r="P411" s="150">
        <v>0.1371</v>
      </c>
      <c r="Q411" s="149">
        <v>43808.0</v>
      </c>
      <c r="R411" s="126" t="s">
        <v>286</v>
      </c>
      <c r="S411" s="150">
        <v>-0.0276</v>
      </c>
      <c r="T411" s="150">
        <v>0.45</v>
      </c>
      <c r="U411" s="153">
        <v>44957.0</v>
      </c>
      <c r="V411" s="150">
        <v>0.0021</v>
      </c>
      <c r="W411" s="126" t="s">
        <v>3250</v>
      </c>
      <c r="X411" s="151">
        <v>67546.0</v>
      </c>
      <c r="Y411" s="115"/>
      <c r="Z411" s="115"/>
    </row>
    <row r="412">
      <c r="A412" s="126" t="s">
        <v>68</v>
      </c>
      <c r="B412" s="126" t="s">
        <v>3251</v>
      </c>
      <c r="C412" s="126" t="s">
        <v>3252</v>
      </c>
      <c r="D412" s="126" t="s">
        <v>2032</v>
      </c>
      <c r="E412" s="126" t="s">
        <v>328</v>
      </c>
      <c r="F412" s="126" t="s">
        <v>3253</v>
      </c>
      <c r="G412" s="126" t="s">
        <v>3254</v>
      </c>
      <c r="H412" s="126">
        <v>0.88</v>
      </c>
      <c r="I412" s="126" t="s">
        <v>276</v>
      </c>
      <c r="J412" s="126" t="s">
        <v>276</v>
      </c>
      <c r="K412" s="126" t="s">
        <v>510</v>
      </c>
      <c r="L412" s="149"/>
      <c r="M412" s="126" t="s">
        <v>285</v>
      </c>
      <c r="N412" s="149">
        <v>44971.0</v>
      </c>
      <c r="O412" s="150">
        <v>0.1324</v>
      </c>
      <c r="P412" s="150">
        <v>0.1206</v>
      </c>
      <c r="Q412" s="149">
        <v>43513.0</v>
      </c>
      <c r="R412" s="126" t="s">
        <v>296</v>
      </c>
      <c r="S412" s="150">
        <v>-0.0526</v>
      </c>
      <c r="T412" s="126" t="s">
        <v>276</v>
      </c>
      <c r="U412" s="126" t="s">
        <v>276</v>
      </c>
      <c r="V412" s="150">
        <v>0.003</v>
      </c>
      <c r="W412" s="126" t="s">
        <v>3255</v>
      </c>
      <c r="X412" s="151">
        <v>38832.0</v>
      </c>
      <c r="Y412" s="115"/>
      <c r="Z412" s="115"/>
    </row>
    <row r="413">
      <c r="A413" s="126" t="s">
        <v>3256</v>
      </c>
      <c r="B413" s="126" t="s">
        <v>3257</v>
      </c>
      <c r="C413" s="126" t="s">
        <v>3258</v>
      </c>
      <c r="D413" s="126" t="s">
        <v>754</v>
      </c>
      <c r="E413" s="126" t="s">
        <v>755</v>
      </c>
      <c r="F413" s="126" t="s">
        <v>3259</v>
      </c>
      <c r="G413" s="126" t="s">
        <v>3260</v>
      </c>
      <c r="H413" s="126">
        <v>0.96</v>
      </c>
      <c r="I413" s="126" t="s">
        <v>276</v>
      </c>
      <c r="J413" s="126" t="s">
        <v>276</v>
      </c>
      <c r="K413" s="126" t="s">
        <v>318</v>
      </c>
      <c r="L413" s="115"/>
      <c r="M413" s="126" t="s">
        <v>285</v>
      </c>
      <c r="N413" s="153">
        <v>44957.0</v>
      </c>
      <c r="O413" s="150">
        <v>0.0</v>
      </c>
      <c r="P413" s="150">
        <v>0.0071</v>
      </c>
      <c r="Q413" s="149">
        <v>44377.0</v>
      </c>
      <c r="R413" s="126" t="s">
        <v>320</v>
      </c>
      <c r="S413" s="150">
        <v>-0.0122</v>
      </c>
      <c r="T413" s="126" t="s">
        <v>276</v>
      </c>
      <c r="U413" s="126" t="s">
        <v>276</v>
      </c>
      <c r="V413" s="150">
        <v>0.0</v>
      </c>
      <c r="W413" s="126" t="s">
        <v>3261</v>
      </c>
      <c r="X413" s="126">
        <v>62.0</v>
      </c>
      <c r="Y413" s="115"/>
      <c r="Z413" s="115"/>
    </row>
    <row r="414">
      <c r="A414" s="127"/>
      <c r="B414" s="115"/>
      <c r="C414" s="115"/>
      <c r="D414" s="115"/>
      <c r="E414" s="115"/>
      <c r="F414" s="115"/>
      <c r="G414" s="115"/>
      <c r="H414" s="115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</row>
    <row r="415">
      <c r="A415" s="115"/>
      <c r="B415" s="115"/>
      <c r="C415" s="115"/>
      <c r="D415" s="115"/>
      <c r="E415" s="115"/>
      <c r="F415" s="115"/>
      <c r="G415" s="115"/>
      <c r="H415" s="115"/>
      <c r="I415" s="115"/>
      <c r="J415" s="115"/>
      <c r="K415" s="115"/>
      <c r="L415" s="149"/>
      <c r="M415" s="150"/>
      <c r="N415" s="150"/>
      <c r="O415" s="149"/>
      <c r="P415" s="115"/>
      <c r="Q415" s="150"/>
      <c r="R415" s="150"/>
      <c r="S415" s="149"/>
      <c r="T415" s="150"/>
      <c r="U415" s="115"/>
      <c r="V415" s="151"/>
      <c r="W415" s="115"/>
      <c r="X415" s="115"/>
      <c r="Y415" s="115"/>
      <c r="Z415" s="115"/>
    </row>
    <row r="416">
      <c r="A416" s="115"/>
      <c r="B416" s="115"/>
      <c r="C416" s="115"/>
      <c r="D416" s="115"/>
      <c r="E416" s="115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</row>
    <row r="417">
      <c r="A417" s="127"/>
      <c r="B417" s="115"/>
      <c r="C417" s="115"/>
      <c r="D417" s="115"/>
      <c r="E417" s="115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</row>
    <row r="418">
      <c r="A418" s="115"/>
      <c r="B418" s="115"/>
      <c r="C418" s="115"/>
      <c r="D418" s="115"/>
      <c r="E418" s="115"/>
      <c r="F418" s="115"/>
      <c r="G418" s="115"/>
      <c r="H418" s="115"/>
      <c r="I418" s="115"/>
      <c r="J418" s="115"/>
      <c r="K418" s="115"/>
      <c r="L418" s="149"/>
      <c r="M418" s="150"/>
      <c r="N418" s="150"/>
      <c r="O418" s="115"/>
      <c r="P418" s="115"/>
      <c r="Q418" s="115"/>
      <c r="R418" s="115"/>
      <c r="S418" s="115"/>
      <c r="T418" s="150"/>
      <c r="U418" s="115"/>
      <c r="V418" s="115"/>
      <c r="W418" s="115"/>
      <c r="X418" s="115"/>
      <c r="Y418" s="115"/>
      <c r="Z418" s="115"/>
    </row>
    <row r="419">
      <c r="A419" s="115"/>
      <c r="B419" s="115"/>
      <c r="C419" s="115"/>
      <c r="D419" s="115"/>
      <c r="E419" s="115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</row>
    <row r="420">
      <c r="A420" s="127"/>
      <c r="B420" s="115"/>
      <c r="C420" s="115"/>
      <c r="D420" s="115"/>
      <c r="E420" s="115"/>
      <c r="F420" s="115"/>
      <c r="G420" s="115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</row>
    <row r="421">
      <c r="A421" s="115"/>
      <c r="B421" s="115"/>
      <c r="C421" s="115"/>
      <c r="D421" s="115"/>
      <c r="E421" s="115"/>
      <c r="F421" s="115"/>
      <c r="G421" s="115"/>
      <c r="H421" s="115"/>
      <c r="I421" s="115"/>
      <c r="J421" s="115"/>
      <c r="K421" s="115"/>
      <c r="L421" s="149"/>
      <c r="M421" s="150"/>
      <c r="N421" s="150"/>
      <c r="O421" s="149"/>
      <c r="P421" s="115"/>
      <c r="Q421" s="150"/>
      <c r="R421" s="150"/>
      <c r="S421" s="149"/>
      <c r="T421" s="150"/>
      <c r="U421" s="115"/>
      <c r="V421" s="151"/>
      <c r="W421" s="115"/>
      <c r="X421" s="115"/>
      <c r="Y421" s="115"/>
      <c r="Z421" s="115"/>
    </row>
    <row r="422">
      <c r="A422" s="115"/>
      <c r="B422" s="115"/>
      <c r="C422" s="115"/>
      <c r="D422" s="115"/>
      <c r="E422" s="115"/>
      <c r="F422" s="115"/>
      <c r="G422" s="115"/>
      <c r="H422" s="115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</row>
    <row r="423">
      <c r="A423" s="127"/>
      <c r="B423" s="115"/>
      <c r="C423" s="115"/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</row>
    <row r="424">
      <c r="A424" s="115"/>
      <c r="B424" s="115"/>
      <c r="C424" s="115"/>
      <c r="D424" s="115"/>
      <c r="E424" s="115"/>
      <c r="F424" s="115"/>
      <c r="G424" s="115"/>
      <c r="H424" s="115"/>
      <c r="I424" s="115"/>
      <c r="J424" s="115"/>
      <c r="K424" s="115"/>
      <c r="L424" s="149"/>
      <c r="M424" s="150"/>
      <c r="N424" s="150"/>
      <c r="O424" s="149"/>
      <c r="P424" s="115"/>
      <c r="Q424" s="150"/>
      <c r="R424" s="115"/>
      <c r="S424" s="115"/>
      <c r="T424" s="150"/>
      <c r="U424" s="115"/>
      <c r="V424" s="151"/>
      <c r="W424" s="115"/>
      <c r="X424" s="115"/>
      <c r="Y424" s="115"/>
      <c r="Z424" s="115"/>
    </row>
    <row r="425">
      <c r="A425" s="115"/>
      <c r="B425" s="115"/>
      <c r="C425" s="115"/>
      <c r="D425" s="115"/>
      <c r="E425" s="115"/>
      <c r="F425" s="115"/>
      <c r="G425" s="115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</row>
    <row r="426">
      <c r="A426" s="127"/>
      <c r="B426" s="115"/>
      <c r="C426" s="115"/>
      <c r="D426" s="115"/>
      <c r="E426" s="115"/>
      <c r="F426" s="115"/>
      <c r="G426" s="115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</row>
    <row r="427">
      <c r="A427" s="115"/>
      <c r="B427" s="115"/>
      <c r="C427" s="115"/>
      <c r="D427" s="115"/>
      <c r="E427" s="115"/>
      <c r="F427" s="115"/>
      <c r="G427" s="115"/>
      <c r="H427" s="115"/>
      <c r="I427" s="115"/>
      <c r="J427" s="115"/>
      <c r="K427" s="115"/>
      <c r="L427" s="149"/>
      <c r="M427" s="150"/>
      <c r="N427" s="150"/>
      <c r="O427" s="149"/>
      <c r="P427" s="115"/>
      <c r="Q427" s="150"/>
      <c r="R427" s="150"/>
      <c r="S427" s="149"/>
      <c r="T427" s="150"/>
      <c r="U427" s="115"/>
      <c r="V427" s="151"/>
      <c r="W427" s="115"/>
      <c r="X427" s="115"/>
      <c r="Y427" s="115"/>
      <c r="Z427" s="115"/>
    </row>
    <row r="428">
      <c r="A428" s="115"/>
      <c r="B428" s="115"/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</row>
    <row r="429">
      <c r="A429" s="127"/>
      <c r="B429" s="115"/>
      <c r="C429" s="115"/>
      <c r="D429" s="115"/>
      <c r="E429" s="115"/>
      <c r="F429" s="115"/>
      <c r="G429" s="115"/>
      <c r="H429" s="115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</row>
    <row r="430">
      <c r="A430" s="115"/>
      <c r="B430" s="115"/>
      <c r="C430" s="115"/>
      <c r="D430" s="115"/>
      <c r="E430" s="115"/>
      <c r="F430" s="115"/>
      <c r="G430" s="115"/>
      <c r="H430" s="115"/>
      <c r="I430" s="115"/>
      <c r="J430" s="115"/>
      <c r="K430" s="115"/>
      <c r="L430" s="149"/>
      <c r="M430" s="150"/>
      <c r="N430" s="150"/>
      <c r="O430" s="149"/>
      <c r="P430" s="115"/>
      <c r="Q430" s="150"/>
      <c r="R430" s="150"/>
      <c r="S430" s="149"/>
      <c r="T430" s="150"/>
      <c r="U430" s="115"/>
      <c r="V430" s="151"/>
      <c r="W430" s="115"/>
      <c r="X430" s="115"/>
      <c r="Y430" s="115"/>
      <c r="Z430" s="115"/>
    </row>
    <row r="431">
      <c r="A431" s="115"/>
      <c r="B431" s="115"/>
      <c r="C431" s="115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</row>
    <row r="432">
      <c r="A432" s="127"/>
      <c r="B432" s="115"/>
      <c r="C432" s="115"/>
      <c r="D432" s="115"/>
      <c r="E432" s="115"/>
      <c r="F432" s="115"/>
      <c r="G432" s="115"/>
      <c r="H432" s="115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</row>
    <row r="433">
      <c r="A433" s="115"/>
      <c r="B433" s="115"/>
      <c r="C433" s="115"/>
      <c r="D433" s="115"/>
      <c r="E433" s="115"/>
      <c r="F433" s="115"/>
      <c r="G433" s="115"/>
      <c r="H433" s="115"/>
      <c r="I433" s="115"/>
      <c r="J433" s="115"/>
      <c r="K433" s="115"/>
      <c r="L433" s="149"/>
      <c r="M433" s="150"/>
      <c r="N433" s="150"/>
      <c r="O433" s="149"/>
      <c r="P433" s="115"/>
      <c r="Q433" s="150"/>
      <c r="R433" s="150"/>
      <c r="S433" s="149"/>
      <c r="T433" s="150"/>
      <c r="U433" s="115"/>
      <c r="V433" s="151"/>
      <c r="W433" s="115"/>
      <c r="X433" s="115"/>
      <c r="Y433" s="115"/>
      <c r="Z433" s="115"/>
    </row>
    <row r="434">
      <c r="A434" s="115"/>
      <c r="B434" s="115"/>
      <c r="C434" s="115"/>
      <c r="D434" s="115"/>
      <c r="E434" s="115"/>
      <c r="F434" s="115"/>
      <c r="G434" s="115"/>
      <c r="H434" s="115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</row>
    <row r="435">
      <c r="A435" s="127"/>
      <c r="B435" s="115"/>
      <c r="C435" s="115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</row>
    <row r="436">
      <c r="A436" s="115"/>
      <c r="B436" s="115"/>
      <c r="C436" s="115"/>
      <c r="D436" s="115"/>
      <c r="E436" s="115"/>
      <c r="F436" s="115"/>
      <c r="G436" s="115"/>
      <c r="H436" s="115"/>
      <c r="I436" s="115"/>
      <c r="J436" s="115"/>
      <c r="K436" s="115"/>
      <c r="L436" s="149"/>
      <c r="M436" s="150"/>
      <c r="N436" s="150"/>
      <c r="O436" s="149"/>
      <c r="P436" s="115"/>
      <c r="Q436" s="150"/>
      <c r="R436" s="150"/>
      <c r="S436" s="149"/>
      <c r="T436" s="150"/>
      <c r="U436" s="115"/>
      <c r="V436" s="151"/>
      <c r="W436" s="115"/>
      <c r="X436" s="115"/>
      <c r="Y436" s="115"/>
      <c r="Z436" s="115"/>
    </row>
    <row r="437">
      <c r="A437" s="115"/>
      <c r="B437" s="115"/>
      <c r="C437" s="115"/>
      <c r="D437" s="115"/>
      <c r="E437" s="115"/>
      <c r="F437" s="115"/>
      <c r="G437" s="115"/>
      <c r="H437" s="115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</row>
    <row r="438">
      <c r="A438" s="127"/>
      <c r="B438" s="115"/>
      <c r="C438" s="115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</row>
    <row r="439">
      <c r="A439" s="115"/>
      <c r="B439" s="115"/>
      <c r="C439" s="115"/>
      <c r="D439" s="115"/>
      <c r="E439" s="115"/>
      <c r="F439" s="115"/>
      <c r="G439" s="115"/>
      <c r="H439" s="115"/>
      <c r="I439" s="115"/>
      <c r="J439" s="115"/>
      <c r="K439" s="115"/>
      <c r="L439" s="149"/>
      <c r="M439" s="150"/>
      <c r="N439" s="150"/>
      <c r="O439" s="149"/>
      <c r="P439" s="115"/>
      <c r="Q439" s="150"/>
      <c r="R439" s="150"/>
      <c r="S439" s="149"/>
      <c r="T439" s="150"/>
      <c r="U439" s="115"/>
      <c r="V439" s="151"/>
      <c r="W439" s="115"/>
      <c r="X439" s="115"/>
      <c r="Y439" s="115"/>
      <c r="Z439" s="115"/>
    </row>
    <row r="440">
      <c r="A440" s="115"/>
      <c r="B440" s="115"/>
      <c r="C440" s="115"/>
      <c r="D440" s="115"/>
      <c r="E440" s="115"/>
      <c r="F440" s="115"/>
      <c r="G440" s="115"/>
      <c r="H440" s="115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</row>
    <row r="441">
      <c r="A441" s="127"/>
      <c r="B441" s="115"/>
      <c r="C441" s="115"/>
      <c r="D441" s="115"/>
      <c r="E441" s="115"/>
      <c r="F441" s="115"/>
      <c r="G441" s="115"/>
      <c r="H441" s="115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</row>
    <row r="442">
      <c r="A442" s="115"/>
      <c r="B442" s="115"/>
      <c r="C442" s="115"/>
      <c r="D442" s="115"/>
      <c r="E442" s="115"/>
      <c r="F442" s="115"/>
      <c r="G442" s="115"/>
      <c r="H442" s="115"/>
      <c r="I442" s="115"/>
      <c r="J442" s="115"/>
      <c r="K442" s="115"/>
      <c r="L442" s="149"/>
      <c r="M442" s="150"/>
      <c r="N442" s="150"/>
      <c r="O442" s="153"/>
      <c r="P442" s="115"/>
      <c r="Q442" s="150"/>
      <c r="R442" s="150"/>
      <c r="S442" s="149"/>
      <c r="T442" s="150"/>
      <c r="U442" s="115"/>
      <c r="V442" s="151"/>
      <c r="W442" s="115"/>
      <c r="X442" s="115"/>
      <c r="Y442" s="115"/>
      <c r="Z442" s="115"/>
    </row>
    <row r="443">
      <c r="A443" s="115"/>
      <c r="B443" s="115"/>
      <c r="C443" s="115"/>
      <c r="D443" s="115"/>
      <c r="E443" s="115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</row>
    <row r="444">
      <c r="A444" s="127"/>
      <c r="B444" s="115"/>
      <c r="C444" s="115"/>
      <c r="D444" s="115"/>
      <c r="E444" s="115"/>
      <c r="F444" s="115"/>
      <c r="G444" s="115"/>
      <c r="H444" s="115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</row>
    <row r="445">
      <c r="A445" s="115"/>
      <c r="B445" s="115"/>
      <c r="C445" s="115"/>
      <c r="D445" s="115"/>
      <c r="E445" s="115"/>
      <c r="F445" s="115"/>
      <c r="G445" s="115"/>
      <c r="H445" s="115"/>
      <c r="I445" s="115"/>
      <c r="J445" s="115"/>
      <c r="K445" s="115"/>
      <c r="L445" s="149"/>
      <c r="M445" s="150"/>
      <c r="N445" s="150"/>
      <c r="O445" s="149"/>
      <c r="P445" s="115"/>
      <c r="Q445" s="150"/>
      <c r="R445" s="150"/>
      <c r="S445" s="149"/>
      <c r="T445" s="150"/>
      <c r="U445" s="115"/>
      <c r="V445" s="115"/>
      <c r="W445" s="115"/>
      <c r="X445" s="115"/>
      <c r="Y445" s="115"/>
      <c r="Z445" s="115"/>
    </row>
    <row r="446">
      <c r="A446" s="115"/>
      <c r="B446" s="115"/>
      <c r="C446" s="115"/>
      <c r="D446" s="115"/>
      <c r="E446" s="115"/>
      <c r="F446" s="115"/>
      <c r="G446" s="115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</row>
    <row r="447">
      <c r="A447" s="127"/>
      <c r="B447" s="115"/>
      <c r="C447" s="115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</row>
    <row r="448">
      <c r="A448" s="115"/>
      <c r="B448" s="115"/>
      <c r="C448" s="115"/>
      <c r="D448" s="115"/>
      <c r="E448" s="115"/>
      <c r="F448" s="115"/>
      <c r="G448" s="115"/>
      <c r="H448" s="115"/>
      <c r="I448" s="115"/>
      <c r="J448" s="115"/>
      <c r="K448" s="115"/>
      <c r="L448" s="149"/>
      <c r="M448" s="150"/>
      <c r="N448" s="150"/>
      <c r="O448" s="149"/>
      <c r="P448" s="115"/>
      <c r="Q448" s="150"/>
      <c r="R448" s="150"/>
      <c r="S448" s="149"/>
      <c r="T448" s="150"/>
      <c r="U448" s="115"/>
      <c r="V448" s="151"/>
      <c r="W448" s="115"/>
      <c r="X448" s="115"/>
      <c r="Y448" s="115"/>
      <c r="Z448" s="115"/>
    </row>
    <row r="449">
      <c r="A449" s="115"/>
      <c r="B449" s="115"/>
      <c r="C449" s="115"/>
      <c r="D449" s="115"/>
      <c r="E449" s="115"/>
      <c r="F449" s="115"/>
      <c r="G449" s="115"/>
      <c r="H449" s="115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</row>
    <row r="450">
      <c r="A450" s="127"/>
      <c r="B450" s="115"/>
      <c r="C450" s="115"/>
      <c r="D450" s="115"/>
      <c r="E450" s="115"/>
      <c r="F450" s="115"/>
      <c r="G450" s="115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</row>
    <row r="451">
      <c r="A451" s="115"/>
      <c r="B451" s="115"/>
      <c r="C451" s="115"/>
      <c r="D451" s="115"/>
      <c r="E451" s="115"/>
      <c r="F451" s="115"/>
      <c r="G451" s="115"/>
      <c r="H451" s="115"/>
      <c r="I451" s="115"/>
      <c r="J451" s="115"/>
      <c r="K451" s="115"/>
      <c r="L451" s="149"/>
      <c r="M451" s="150"/>
      <c r="N451" s="150"/>
      <c r="O451" s="149"/>
      <c r="P451" s="115"/>
      <c r="Q451" s="150"/>
      <c r="R451" s="150"/>
      <c r="S451" s="149"/>
      <c r="T451" s="150"/>
      <c r="U451" s="115"/>
      <c r="V451" s="151"/>
      <c r="W451" s="115"/>
      <c r="X451" s="115"/>
      <c r="Y451" s="115"/>
      <c r="Z451" s="115"/>
    </row>
    <row r="452">
      <c r="A452" s="115"/>
      <c r="B452" s="115"/>
      <c r="C452" s="115"/>
      <c r="D452" s="115"/>
      <c r="E452" s="115"/>
      <c r="F452" s="115"/>
      <c r="G452" s="115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</row>
    <row r="453">
      <c r="A453" s="127"/>
      <c r="B453" s="115"/>
      <c r="C453" s="115"/>
      <c r="D453" s="115"/>
      <c r="E453" s="115"/>
      <c r="F453" s="115"/>
      <c r="G453" s="115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</row>
    <row r="454">
      <c r="A454" s="115"/>
      <c r="B454" s="115"/>
      <c r="C454" s="115"/>
      <c r="D454" s="115"/>
      <c r="E454" s="115"/>
      <c r="F454" s="115"/>
      <c r="G454" s="115"/>
      <c r="H454" s="115"/>
      <c r="I454" s="115"/>
      <c r="J454" s="115"/>
      <c r="K454" s="115"/>
      <c r="L454" s="149"/>
      <c r="M454" s="150"/>
      <c r="N454" s="150"/>
      <c r="O454" s="153"/>
      <c r="P454" s="115"/>
      <c r="Q454" s="150"/>
      <c r="R454" s="150"/>
      <c r="S454" s="149"/>
      <c r="T454" s="150"/>
      <c r="U454" s="115"/>
      <c r="V454" s="151"/>
      <c r="W454" s="115"/>
      <c r="X454" s="115"/>
      <c r="Y454" s="115"/>
      <c r="Z454" s="115"/>
    </row>
    <row r="455">
      <c r="A455" s="115"/>
      <c r="B455" s="115"/>
      <c r="C455" s="115"/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</row>
    <row r="456">
      <c r="A456" s="127"/>
      <c r="B456" s="115"/>
      <c r="C456" s="115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</row>
    <row r="457">
      <c r="A457" s="115"/>
      <c r="B457" s="115"/>
      <c r="C457" s="115"/>
      <c r="D457" s="115"/>
      <c r="E457" s="115"/>
      <c r="F457" s="115"/>
      <c r="G457" s="115"/>
      <c r="H457" s="115"/>
      <c r="I457" s="115"/>
      <c r="J457" s="115"/>
      <c r="K457" s="115"/>
      <c r="L457" s="149"/>
      <c r="M457" s="150"/>
      <c r="N457" s="150"/>
      <c r="O457" s="149"/>
      <c r="P457" s="115"/>
      <c r="Q457" s="150"/>
      <c r="R457" s="150"/>
      <c r="S457" s="149"/>
      <c r="T457" s="150"/>
      <c r="U457" s="115"/>
      <c r="V457" s="151"/>
      <c r="W457" s="115"/>
      <c r="X457" s="115"/>
      <c r="Y457" s="115"/>
      <c r="Z457" s="115"/>
    </row>
    <row r="458">
      <c r="A458" s="115"/>
      <c r="B458" s="115"/>
      <c r="C458" s="115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</row>
    <row r="459">
      <c r="A459" s="127"/>
      <c r="B459" s="115"/>
      <c r="C459" s="115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</row>
    <row r="460">
      <c r="A460" s="115"/>
      <c r="B460" s="115"/>
      <c r="C460" s="115"/>
      <c r="D460" s="115"/>
      <c r="E460" s="115"/>
      <c r="F460" s="115"/>
      <c r="G460" s="115"/>
      <c r="H460" s="115"/>
      <c r="I460" s="115"/>
      <c r="J460" s="115"/>
      <c r="K460" s="115"/>
      <c r="L460" s="149"/>
      <c r="M460" s="150"/>
      <c r="N460" s="150"/>
      <c r="O460" s="153"/>
      <c r="P460" s="115"/>
      <c r="Q460" s="150"/>
      <c r="R460" s="150"/>
      <c r="S460" s="149"/>
      <c r="T460" s="150"/>
      <c r="U460" s="115"/>
      <c r="V460" s="151"/>
      <c r="W460" s="115"/>
      <c r="X460" s="115"/>
      <c r="Y460" s="115"/>
      <c r="Z460" s="115"/>
    </row>
    <row r="461">
      <c r="A461" s="115"/>
      <c r="B461" s="115"/>
      <c r="C461" s="115"/>
      <c r="D461" s="115"/>
      <c r="E461" s="115"/>
      <c r="F461" s="115"/>
      <c r="G461" s="115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</row>
    <row r="462">
      <c r="A462" s="127"/>
      <c r="B462" s="115"/>
      <c r="C462" s="115"/>
      <c r="D462" s="115"/>
      <c r="E462" s="115"/>
      <c r="F462" s="115"/>
      <c r="G462" s="115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</row>
    <row r="463">
      <c r="A463" s="115"/>
      <c r="B463" s="115"/>
      <c r="C463" s="115"/>
      <c r="D463" s="115"/>
      <c r="E463" s="115"/>
      <c r="F463" s="115"/>
      <c r="G463" s="115"/>
      <c r="H463" s="115"/>
      <c r="I463" s="115"/>
      <c r="J463" s="115"/>
      <c r="K463" s="115"/>
      <c r="L463" s="149"/>
      <c r="M463" s="150"/>
      <c r="N463" s="150"/>
      <c r="O463" s="153"/>
      <c r="P463" s="115"/>
      <c r="Q463" s="150"/>
      <c r="R463" s="150"/>
      <c r="S463" s="149"/>
      <c r="T463" s="150"/>
      <c r="U463" s="115"/>
      <c r="V463" s="151"/>
      <c r="W463" s="115"/>
      <c r="X463" s="115"/>
      <c r="Y463" s="115"/>
      <c r="Z463" s="115"/>
    </row>
    <row r="464">
      <c r="A464" s="115"/>
      <c r="B464" s="115"/>
      <c r="C464" s="115"/>
      <c r="D464" s="115"/>
      <c r="E464" s="115"/>
      <c r="F464" s="115"/>
      <c r="G464" s="115"/>
      <c r="H464" s="115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</row>
    <row r="465">
      <c r="A465" s="127"/>
      <c r="B465" s="115"/>
      <c r="C465" s="115"/>
      <c r="D465" s="115"/>
      <c r="E465" s="115"/>
      <c r="F465" s="115"/>
      <c r="G465" s="115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</row>
    <row r="466">
      <c r="A466" s="115"/>
      <c r="B466" s="115"/>
      <c r="C466" s="115"/>
      <c r="D466" s="115"/>
      <c r="E466" s="115"/>
      <c r="F466" s="115"/>
      <c r="G466" s="115"/>
      <c r="H466" s="115"/>
      <c r="I466" s="115"/>
      <c r="J466" s="115"/>
      <c r="K466" s="115"/>
      <c r="L466" s="149"/>
      <c r="M466" s="150"/>
      <c r="N466" s="150"/>
      <c r="O466" s="149"/>
      <c r="P466" s="115"/>
      <c r="Q466" s="150"/>
      <c r="R466" s="150"/>
      <c r="S466" s="149"/>
      <c r="T466" s="150"/>
      <c r="U466" s="115"/>
      <c r="V466" s="151"/>
      <c r="W466" s="115"/>
      <c r="X466" s="115"/>
      <c r="Y466" s="115"/>
      <c r="Z466" s="115"/>
    </row>
    <row r="467">
      <c r="A467" s="115"/>
      <c r="B467" s="115"/>
      <c r="C467" s="115"/>
      <c r="D467" s="115"/>
      <c r="E467" s="115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</row>
    <row r="468">
      <c r="A468" s="127"/>
      <c r="B468" s="115"/>
      <c r="C468" s="115"/>
      <c r="D468" s="115"/>
      <c r="E468" s="115"/>
      <c r="F468" s="115"/>
      <c r="G468" s="115"/>
      <c r="H468" s="115"/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</row>
    <row r="469">
      <c r="A469" s="115"/>
      <c r="B469" s="115"/>
      <c r="C469" s="115"/>
      <c r="D469" s="115"/>
      <c r="E469" s="115"/>
      <c r="F469" s="115"/>
      <c r="G469" s="115"/>
      <c r="H469" s="115"/>
      <c r="I469" s="115"/>
      <c r="J469" s="115"/>
      <c r="K469" s="115"/>
      <c r="L469" s="149"/>
      <c r="M469" s="150"/>
      <c r="N469" s="150"/>
      <c r="O469" s="149"/>
      <c r="P469" s="115"/>
      <c r="Q469" s="150"/>
      <c r="R469" s="150"/>
      <c r="S469" s="149"/>
      <c r="T469" s="150"/>
      <c r="U469" s="115"/>
      <c r="V469" s="115"/>
      <c r="W469" s="115"/>
      <c r="X469" s="115"/>
      <c r="Y469" s="115"/>
      <c r="Z469" s="115"/>
    </row>
    <row r="470">
      <c r="A470" s="115"/>
      <c r="B470" s="115"/>
      <c r="C470" s="115"/>
      <c r="D470" s="115"/>
      <c r="E470" s="115"/>
      <c r="F470" s="115"/>
      <c r="G470" s="115"/>
      <c r="H470" s="115"/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</row>
    <row r="471">
      <c r="A471" s="127"/>
      <c r="B471" s="115"/>
      <c r="C471" s="115"/>
      <c r="D471" s="115"/>
      <c r="E471" s="115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</row>
    <row r="472">
      <c r="A472" s="115"/>
      <c r="B472" s="115"/>
      <c r="C472" s="115"/>
      <c r="D472" s="115"/>
      <c r="E472" s="115"/>
      <c r="F472" s="115"/>
      <c r="G472" s="115"/>
      <c r="H472" s="115"/>
      <c r="I472" s="115"/>
      <c r="J472" s="115"/>
      <c r="K472" s="115"/>
      <c r="L472" s="149"/>
      <c r="M472" s="150"/>
      <c r="N472" s="150"/>
      <c r="O472" s="153"/>
      <c r="P472" s="115"/>
      <c r="Q472" s="150"/>
      <c r="R472" s="150"/>
      <c r="S472" s="149"/>
      <c r="T472" s="150"/>
      <c r="U472" s="115"/>
      <c r="V472" s="151"/>
      <c r="W472" s="115"/>
      <c r="X472" s="115"/>
      <c r="Y472" s="115"/>
      <c r="Z472" s="115"/>
    </row>
    <row r="473">
      <c r="A473" s="115"/>
      <c r="B473" s="115"/>
      <c r="C473" s="115"/>
      <c r="D473" s="115"/>
      <c r="E473" s="115"/>
      <c r="F473" s="115"/>
      <c r="G473" s="115"/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</row>
    <row r="474">
      <c r="A474" s="127"/>
      <c r="B474" s="115"/>
      <c r="C474" s="115"/>
      <c r="D474" s="115"/>
      <c r="E474" s="115"/>
      <c r="F474" s="115"/>
      <c r="G474" s="115"/>
      <c r="H474" s="115"/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</row>
    <row r="475">
      <c r="A475" s="115"/>
      <c r="B475" s="115"/>
      <c r="C475" s="115"/>
      <c r="D475" s="115"/>
      <c r="E475" s="115"/>
      <c r="F475" s="115"/>
      <c r="G475" s="115"/>
      <c r="H475" s="115"/>
      <c r="I475" s="115"/>
      <c r="J475" s="115"/>
      <c r="K475" s="115"/>
      <c r="L475" s="149"/>
      <c r="M475" s="150"/>
      <c r="N475" s="150"/>
      <c r="O475" s="149"/>
      <c r="P475" s="115"/>
      <c r="Q475" s="150"/>
      <c r="R475" s="150"/>
      <c r="S475" s="149"/>
      <c r="T475" s="150"/>
      <c r="U475" s="115"/>
      <c r="V475" s="151"/>
      <c r="W475" s="115"/>
      <c r="X475" s="115"/>
      <c r="Y475" s="115"/>
      <c r="Z475" s="115"/>
    </row>
    <row r="476">
      <c r="A476" s="115"/>
      <c r="B476" s="115"/>
      <c r="C476" s="115"/>
      <c r="D476" s="115"/>
      <c r="E476" s="115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</row>
    <row r="477">
      <c r="A477" s="127"/>
      <c r="B477" s="115"/>
      <c r="C477" s="115"/>
      <c r="D477" s="115"/>
      <c r="E477" s="115"/>
      <c r="F477" s="115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</row>
    <row r="478">
      <c r="A478" s="115"/>
      <c r="B478" s="115"/>
      <c r="C478" s="115"/>
      <c r="D478" s="115"/>
      <c r="E478" s="115"/>
      <c r="F478" s="115"/>
      <c r="G478" s="115"/>
      <c r="H478" s="115"/>
      <c r="I478" s="115"/>
      <c r="J478" s="115"/>
      <c r="K478" s="115"/>
      <c r="L478" s="149"/>
      <c r="M478" s="150"/>
      <c r="N478" s="150"/>
      <c r="O478" s="153"/>
      <c r="P478" s="115"/>
      <c r="Q478" s="150"/>
      <c r="R478" s="150"/>
      <c r="S478" s="149"/>
      <c r="T478" s="150"/>
      <c r="U478" s="115"/>
      <c r="V478" s="151"/>
      <c r="W478" s="115"/>
      <c r="X478" s="115"/>
      <c r="Y478" s="115"/>
      <c r="Z478" s="115"/>
    </row>
    <row r="479">
      <c r="A479" s="115"/>
      <c r="B479" s="115"/>
      <c r="C479" s="115"/>
      <c r="D479" s="115"/>
      <c r="E479" s="115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</row>
    <row r="480">
      <c r="A480" s="127"/>
      <c r="B480" s="115"/>
      <c r="C480" s="115"/>
      <c r="D480" s="115"/>
      <c r="E480" s="115"/>
      <c r="F480" s="115"/>
      <c r="G480" s="115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</row>
    <row r="481">
      <c r="A481" s="115"/>
      <c r="B481" s="115"/>
      <c r="C481" s="115"/>
      <c r="D481" s="115"/>
      <c r="E481" s="115"/>
      <c r="F481" s="115"/>
      <c r="G481" s="115"/>
      <c r="H481" s="115"/>
      <c r="I481" s="115"/>
      <c r="J481" s="115"/>
      <c r="K481" s="115"/>
      <c r="L481" s="149"/>
      <c r="M481" s="150"/>
      <c r="N481" s="150"/>
      <c r="O481" s="153"/>
      <c r="P481" s="115"/>
      <c r="Q481" s="150"/>
      <c r="R481" s="150"/>
      <c r="S481" s="149"/>
      <c r="T481" s="150"/>
      <c r="U481" s="115"/>
      <c r="V481" s="151"/>
      <c r="W481" s="115"/>
      <c r="X481" s="115"/>
      <c r="Y481" s="115"/>
      <c r="Z481" s="115"/>
    </row>
    <row r="482">
      <c r="A482" s="115"/>
      <c r="B482" s="115"/>
      <c r="C482" s="115"/>
      <c r="D482" s="115"/>
      <c r="E482" s="115"/>
      <c r="F482" s="115"/>
      <c r="G482" s="115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</row>
    <row r="483">
      <c r="A483" s="127"/>
      <c r="B483" s="115"/>
      <c r="C483" s="115"/>
      <c r="D483" s="115"/>
      <c r="E483" s="115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</row>
    <row r="484">
      <c r="A484" s="115"/>
      <c r="B484" s="115"/>
      <c r="C484" s="115"/>
      <c r="D484" s="115"/>
      <c r="E484" s="115"/>
      <c r="F484" s="115"/>
      <c r="G484" s="115"/>
      <c r="H484" s="115"/>
      <c r="I484" s="115"/>
      <c r="J484" s="115"/>
      <c r="K484" s="115"/>
      <c r="L484" s="149"/>
      <c r="M484" s="150"/>
      <c r="N484" s="150"/>
      <c r="O484" s="149"/>
      <c r="P484" s="115"/>
      <c r="Q484" s="150"/>
      <c r="R484" s="150"/>
      <c r="S484" s="149"/>
      <c r="T484" s="150"/>
      <c r="U484" s="115"/>
      <c r="V484" s="151"/>
      <c r="W484" s="115"/>
      <c r="X484" s="115"/>
      <c r="Y484" s="115"/>
      <c r="Z484" s="115"/>
    </row>
    <row r="485">
      <c r="A485" s="115"/>
      <c r="B485" s="115"/>
      <c r="C485" s="115"/>
      <c r="D485" s="115"/>
      <c r="E485" s="115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</row>
    <row r="486">
      <c r="A486" s="127"/>
      <c r="B486" s="115"/>
      <c r="C486" s="115"/>
      <c r="D486" s="115"/>
      <c r="E486" s="115"/>
      <c r="F486" s="115"/>
      <c r="G486" s="115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</row>
    <row r="487">
      <c r="A487" s="115"/>
      <c r="B487" s="115"/>
      <c r="C487" s="115"/>
      <c r="D487" s="115"/>
      <c r="E487" s="115"/>
      <c r="F487" s="115"/>
      <c r="G487" s="115"/>
      <c r="H487" s="115"/>
      <c r="I487" s="115"/>
      <c r="J487" s="115"/>
      <c r="K487" s="115"/>
      <c r="L487" s="149"/>
      <c r="M487" s="150"/>
      <c r="N487" s="150"/>
      <c r="O487" s="149"/>
      <c r="P487" s="115"/>
      <c r="Q487" s="150"/>
      <c r="R487" s="150"/>
      <c r="S487" s="149"/>
      <c r="T487" s="150"/>
      <c r="U487" s="115"/>
      <c r="V487" s="151"/>
      <c r="W487" s="115"/>
      <c r="X487" s="115"/>
      <c r="Y487" s="115"/>
      <c r="Z487" s="115"/>
    </row>
    <row r="488">
      <c r="A488" s="115"/>
      <c r="B488" s="115"/>
      <c r="C488" s="115"/>
      <c r="D488" s="115"/>
      <c r="E488" s="115"/>
      <c r="F488" s="115"/>
      <c r="G488" s="115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</row>
    <row r="489">
      <c r="A489" s="127"/>
      <c r="B489" s="115"/>
      <c r="C489" s="115"/>
      <c r="D489" s="115"/>
      <c r="E489" s="115"/>
      <c r="F489" s="115"/>
      <c r="G489" s="115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</row>
    <row r="490">
      <c r="A490" s="115"/>
      <c r="B490" s="115"/>
      <c r="C490" s="115"/>
      <c r="D490" s="115"/>
      <c r="E490" s="115"/>
      <c r="F490" s="115"/>
      <c r="G490" s="115"/>
      <c r="H490" s="115"/>
      <c r="I490" s="115"/>
      <c r="J490" s="115"/>
      <c r="K490" s="115"/>
      <c r="L490" s="149"/>
      <c r="M490" s="150"/>
      <c r="N490" s="150"/>
      <c r="O490" s="149"/>
      <c r="P490" s="115"/>
      <c r="Q490" s="150"/>
      <c r="R490" s="150"/>
      <c r="S490" s="149"/>
      <c r="T490" s="150"/>
      <c r="U490" s="115"/>
      <c r="V490" s="151"/>
      <c r="W490" s="115"/>
      <c r="X490" s="115"/>
      <c r="Y490" s="115"/>
      <c r="Z490" s="115"/>
    </row>
    <row r="491">
      <c r="A491" s="115"/>
      <c r="B491" s="115"/>
      <c r="C491" s="115"/>
      <c r="D491" s="115"/>
      <c r="E491" s="115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</row>
    <row r="492">
      <c r="A492" s="127"/>
      <c r="B492" s="115"/>
      <c r="C492" s="115"/>
      <c r="D492" s="115"/>
      <c r="E492" s="115"/>
      <c r="F492" s="115"/>
      <c r="G492" s="115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</row>
    <row r="493">
      <c r="A493" s="115"/>
      <c r="B493" s="115"/>
      <c r="C493" s="115"/>
      <c r="D493" s="115"/>
      <c r="E493" s="115"/>
      <c r="F493" s="115"/>
      <c r="G493" s="115"/>
      <c r="H493" s="115"/>
      <c r="I493" s="115"/>
      <c r="J493" s="115"/>
      <c r="K493" s="115"/>
      <c r="L493" s="149"/>
      <c r="M493" s="150"/>
      <c r="N493" s="150"/>
      <c r="O493" s="149"/>
      <c r="P493" s="115"/>
      <c r="Q493" s="150"/>
      <c r="R493" s="150"/>
      <c r="S493" s="149"/>
      <c r="T493" s="150"/>
      <c r="U493" s="115"/>
      <c r="V493" s="151"/>
      <c r="W493" s="115"/>
      <c r="X493" s="115"/>
      <c r="Y493" s="115"/>
      <c r="Z493" s="115"/>
    </row>
    <row r="494">
      <c r="A494" s="115"/>
      <c r="B494" s="115"/>
      <c r="C494" s="115"/>
      <c r="D494" s="115"/>
      <c r="E494" s="115"/>
      <c r="F494" s="115"/>
      <c r="G494" s="115"/>
      <c r="H494" s="115"/>
      <c r="I494" s="115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</row>
    <row r="495">
      <c r="A495" s="127"/>
      <c r="B495" s="115"/>
      <c r="C495" s="115"/>
      <c r="D495" s="115"/>
      <c r="E495" s="115"/>
      <c r="F495" s="115"/>
      <c r="G495" s="115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</row>
    <row r="496">
      <c r="A496" s="115"/>
      <c r="B496" s="115"/>
      <c r="C496" s="115"/>
      <c r="D496" s="115"/>
      <c r="E496" s="115"/>
      <c r="F496" s="115"/>
      <c r="G496" s="115"/>
      <c r="H496" s="115"/>
      <c r="I496" s="115"/>
      <c r="J496" s="115"/>
      <c r="K496" s="115"/>
      <c r="L496" s="149"/>
      <c r="M496" s="150"/>
      <c r="N496" s="150"/>
      <c r="O496" s="149"/>
      <c r="P496" s="115"/>
      <c r="Q496" s="150"/>
      <c r="R496" s="150"/>
      <c r="S496" s="149"/>
      <c r="T496" s="150"/>
      <c r="U496" s="115"/>
      <c r="V496" s="151"/>
      <c r="W496" s="115"/>
      <c r="X496" s="115"/>
      <c r="Y496" s="115"/>
      <c r="Z496" s="115"/>
    </row>
    <row r="497">
      <c r="A497" s="115"/>
      <c r="B497" s="115"/>
      <c r="C497" s="115"/>
      <c r="D497" s="115"/>
      <c r="E497" s="115"/>
      <c r="F497" s="115"/>
      <c r="G497" s="115"/>
      <c r="H497" s="115"/>
      <c r="I497" s="115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</row>
    <row r="498">
      <c r="A498" s="127"/>
      <c r="B498" s="115"/>
      <c r="C498" s="115"/>
      <c r="D498" s="115"/>
      <c r="E498" s="115"/>
      <c r="F498" s="115"/>
      <c r="G498" s="115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</row>
    <row r="499">
      <c r="A499" s="115"/>
      <c r="B499" s="115"/>
      <c r="C499" s="115"/>
      <c r="D499" s="115"/>
      <c r="E499" s="115"/>
      <c r="F499" s="115"/>
      <c r="G499" s="115"/>
      <c r="H499" s="115"/>
      <c r="I499" s="115"/>
      <c r="J499" s="115"/>
      <c r="K499" s="115"/>
      <c r="L499" s="149"/>
      <c r="M499" s="150"/>
      <c r="N499" s="150"/>
      <c r="O499" s="149"/>
      <c r="P499" s="115"/>
      <c r="Q499" s="115"/>
      <c r="R499" s="150"/>
      <c r="S499" s="149"/>
      <c r="T499" s="150"/>
      <c r="U499" s="115"/>
      <c r="V499" s="151"/>
      <c r="W499" s="115"/>
      <c r="X499" s="115"/>
      <c r="Y499" s="115"/>
      <c r="Z499" s="115"/>
    </row>
    <row r="500">
      <c r="A500" s="115"/>
      <c r="B500" s="115"/>
      <c r="C500" s="115"/>
      <c r="D500" s="115"/>
      <c r="E500" s="115"/>
      <c r="F500" s="115"/>
      <c r="G500" s="115"/>
      <c r="H500" s="115"/>
      <c r="I500" s="115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</row>
    <row r="501">
      <c r="A501" s="127"/>
      <c r="B501" s="115"/>
      <c r="C501" s="115"/>
      <c r="D501" s="115"/>
      <c r="E501" s="115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</row>
    <row r="502">
      <c r="A502" s="115"/>
      <c r="B502" s="115"/>
      <c r="C502" s="115"/>
      <c r="D502" s="115"/>
      <c r="E502" s="115"/>
      <c r="F502" s="115"/>
      <c r="G502" s="115"/>
      <c r="H502" s="115"/>
      <c r="I502" s="115"/>
      <c r="J502" s="115"/>
      <c r="K502" s="115"/>
      <c r="L502" s="149"/>
      <c r="M502" s="150"/>
      <c r="N502" s="150"/>
      <c r="O502" s="153"/>
      <c r="P502" s="115"/>
      <c r="Q502" s="150"/>
      <c r="R502" s="150"/>
      <c r="S502" s="149"/>
      <c r="T502" s="150"/>
      <c r="U502" s="115"/>
      <c r="V502" s="151"/>
      <c r="W502" s="115"/>
      <c r="X502" s="115"/>
      <c r="Y502" s="115"/>
      <c r="Z502" s="115"/>
    </row>
    <row r="503">
      <c r="A503" s="115"/>
      <c r="B503" s="115"/>
      <c r="C503" s="115"/>
      <c r="D503" s="115"/>
      <c r="E503" s="115"/>
      <c r="F503" s="115"/>
      <c r="G503" s="115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</row>
    <row r="504">
      <c r="A504" s="127"/>
      <c r="B504" s="115"/>
      <c r="C504" s="115"/>
      <c r="D504" s="115"/>
      <c r="E504" s="115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</row>
    <row r="505">
      <c r="A505" s="115"/>
      <c r="B505" s="115"/>
      <c r="C505" s="115"/>
      <c r="D505" s="115"/>
      <c r="E505" s="115"/>
      <c r="F505" s="115"/>
      <c r="G505" s="115"/>
      <c r="H505" s="115"/>
      <c r="I505" s="115"/>
      <c r="J505" s="115"/>
      <c r="K505" s="115"/>
      <c r="L505" s="149"/>
      <c r="M505" s="150"/>
      <c r="N505" s="150"/>
      <c r="O505" s="149"/>
      <c r="P505" s="115"/>
      <c r="Q505" s="150"/>
      <c r="R505" s="150"/>
      <c r="S505" s="149"/>
      <c r="T505" s="150"/>
      <c r="U505" s="115"/>
      <c r="V505" s="151"/>
      <c r="W505" s="115"/>
      <c r="X505" s="115"/>
      <c r="Y505" s="115"/>
      <c r="Z505" s="115"/>
    </row>
    <row r="506">
      <c r="A506" s="115"/>
      <c r="B506" s="115"/>
      <c r="C506" s="115"/>
      <c r="D506" s="115"/>
      <c r="E506" s="115"/>
      <c r="F506" s="115"/>
      <c r="G506" s="115"/>
      <c r="H506" s="115"/>
      <c r="I506" s="115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</row>
    <row r="507">
      <c r="A507" s="127"/>
      <c r="B507" s="115"/>
      <c r="C507" s="115"/>
      <c r="D507" s="115"/>
      <c r="E507" s="115"/>
      <c r="F507" s="115"/>
      <c r="G507" s="115"/>
      <c r="H507" s="115"/>
      <c r="I507" s="115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</row>
    <row r="508">
      <c r="A508" s="115"/>
      <c r="B508" s="115"/>
      <c r="C508" s="115"/>
      <c r="D508" s="115"/>
      <c r="E508" s="115"/>
      <c r="F508" s="115"/>
      <c r="G508" s="115"/>
      <c r="H508" s="115"/>
      <c r="I508" s="115"/>
      <c r="J508" s="115"/>
      <c r="K508" s="115"/>
      <c r="L508" s="149"/>
      <c r="M508" s="150"/>
      <c r="N508" s="150"/>
      <c r="O508" s="149"/>
      <c r="P508" s="115"/>
      <c r="Q508" s="150"/>
      <c r="R508" s="150"/>
      <c r="S508" s="149"/>
      <c r="T508" s="150"/>
      <c r="U508" s="115"/>
      <c r="V508" s="151"/>
      <c r="W508" s="115"/>
      <c r="X508" s="115"/>
      <c r="Y508" s="115"/>
      <c r="Z508" s="115"/>
    </row>
    <row r="509">
      <c r="A509" s="115"/>
      <c r="B509" s="115"/>
      <c r="C509" s="115"/>
      <c r="D509" s="115"/>
      <c r="E509" s="115"/>
      <c r="F509" s="115"/>
      <c r="G509" s="115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</row>
    <row r="510">
      <c r="A510" s="127"/>
      <c r="B510" s="115"/>
      <c r="C510" s="115"/>
      <c r="D510" s="115"/>
      <c r="E510" s="115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</row>
    <row r="511">
      <c r="A511" s="115"/>
      <c r="B511" s="115"/>
      <c r="C511" s="115"/>
      <c r="D511" s="115"/>
      <c r="E511" s="115"/>
      <c r="F511" s="115"/>
      <c r="G511" s="115"/>
      <c r="H511" s="115"/>
      <c r="I511" s="115"/>
      <c r="J511" s="115"/>
      <c r="K511" s="115"/>
      <c r="L511" s="149"/>
      <c r="M511" s="150"/>
      <c r="N511" s="150"/>
      <c r="O511" s="149"/>
      <c r="P511" s="115"/>
      <c r="Q511" s="150"/>
      <c r="R511" s="150"/>
      <c r="S511" s="149"/>
      <c r="T511" s="150"/>
      <c r="U511" s="115"/>
      <c r="V511" s="151"/>
      <c r="W511" s="115"/>
      <c r="X511" s="115"/>
      <c r="Y511" s="115"/>
      <c r="Z511" s="115"/>
    </row>
    <row r="512">
      <c r="A512" s="115"/>
      <c r="B512" s="115"/>
      <c r="C512" s="115"/>
      <c r="D512" s="115"/>
      <c r="E512" s="115"/>
      <c r="F512" s="115"/>
      <c r="G512" s="115"/>
      <c r="H512" s="115"/>
      <c r="I512" s="115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</row>
    <row r="513">
      <c r="A513" s="127"/>
      <c r="B513" s="115"/>
      <c r="C513" s="115"/>
      <c r="D513" s="115"/>
      <c r="E513" s="115"/>
      <c r="F513" s="115"/>
      <c r="G513" s="115"/>
      <c r="H513" s="115"/>
      <c r="I513" s="115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</row>
    <row r="514">
      <c r="A514" s="115"/>
      <c r="B514" s="115"/>
      <c r="C514" s="115"/>
      <c r="D514" s="115"/>
      <c r="E514" s="115"/>
      <c r="F514" s="115"/>
      <c r="G514" s="115"/>
      <c r="H514" s="115"/>
      <c r="I514" s="115"/>
      <c r="J514" s="115"/>
      <c r="K514" s="115"/>
      <c r="L514" s="149"/>
      <c r="M514" s="150"/>
      <c r="N514" s="150"/>
      <c r="O514" s="149"/>
      <c r="P514" s="115"/>
      <c r="Q514" s="150"/>
      <c r="R514" s="150"/>
      <c r="S514" s="149"/>
      <c r="T514" s="150"/>
      <c r="U514" s="115"/>
      <c r="V514" s="151"/>
      <c r="W514" s="115"/>
      <c r="X514" s="115"/>
      <c r="Y514" s="115"/>
      <c r="Z514" s="115"/>
    </row>
    <row r="515">
      <c r="A515" s="115"/>
      <c r="B515" s="115"/>
      <c r="C515" s="115"/>
      <c r="D515" s="115"/>
      <c r="E515" s="115"/>
      <c r="F515" s="115"/>
      <c r="G515" s="115"/>
      <c r="H515" s="115"/>
      <c r="I515" s="115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</row>
    <row r="516">
      <c r="A516" s="115"/>
      <c r="B516" s="115"/>
      <c r="C516" s="115"/>
      <c r="D516" s="115"/>
      <c r="E516" s="115"/>
      <c r="F516" s="115"/>
      <c r="G516" s="115"/>
      <c r="H516" s="115"/>
      <c r="I516" s="115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</row>
    <row r="517">
      <c r="A517" s="115"/>
      <c r="B517" s="115"/>
      <c r="C517" s="115"/>
      <c r="D517" s="115"/>
      <c r="E517" s="115"/>
      <c r="F517" s="115"/>
      <c r="G517" s="115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</row>
    <row r="518">
      <c r="A518" s="115"/>
      <c r="B518" s="115"/>
      <c r="C518" s="115"/>
      <c r="D518" s="115"/>
      <c r="E518" s="115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</row>
    <row r="519">
      <c r="A519" s="115"/>
      <c r="B519" s="115"/>
      <c r="C519" s="115"/>
      <c r="D519" s="115"/>
      <c r="E519" s="115"/>
      <c r="F519" s="115"/>
      <c r="G519" s="115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</row>
    <row r="520">
      <c r="A520" s="115"/>
      <c r="B520" s="115"/>
      <c r="C520" s="115"/>
      <c r="D520" s="115"/>
      <c r="E520" s="115"/>
      <c r="F520" s="115"/>
      <c r="G520" s="115"/>
      <c r="H520" s="115"/>
      <c r="I520" s="115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</row>
    <row r="521">
      <c r="A521" s="115"/>
      <c r="B521" s="115"/>
      <c r="C521" s="115"/>
      <c r="D521" s="115"/>
      <c r="E521" s="115"/>
      <c r="F521" s="115"/>
      <c r="G521" s="115"/>
      <c r="H521" s="115"/>
      <c r="I521" s="115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</row>
    <row r="522">
      <c r="A522" s="115"/>
      <c r="B522" s="115"/>
      <c r="C522" s="115"/>
      <c r="D522" s="115"/>
      <c r="E522" s="115"/>
      <c r="F522" s="115"/>
      <c r="G522" s="115"/>
      <c r="H522" s="115"/>
      <c r="I522" s="115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</row>
    <row r="523">
      <c r="A523" s="115"/>
      <c r="B523" s="115"/>
      <c r="C523" s="115"/>
      <c r="D523" s="115"/>
      <c r="E523" s="115"/>
      <c r="F523" s="115"/>
      <c r="G523" s="115"/>
      <c r="H523" s="115"/>
      <c r="I523" s="115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</row>
    <row r="524">
      <c r="A524" s="115"/>
      <c r="B524" s="115"/>
      <c r="C524" s="115"/>
      <c r="D524" s="115"/>
      <c r="E524" s="115"/>
      <c r="F524" s="115"/>
      <c r="G524" s="115"/>
      <c r="H524" s="115"/>
      <c r="I524" s="115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</row>
    <row r="525">
      <c r="A525" s="115"/>
      <c r="B525" s="115"/>
      <c r="C525" s="115"/>
      <c r="D525" s="115"/>
      <c r="E525" s="115"/>
      <c r="F525" s="115"/>
      <c r="G525" s="115"/>
      <c r="H525" s="115"/>
      <c r="I525" s="115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</row>
    <row r="526">
      <c r="A526" s="115"/>
      <c r="B526" s="115"/>
      <c r="C526" s="115"/>
      <c r="D526" s="115"/>
      <c r="E526" s="115"/>
      <c r="F526" s="115"/>
      <c r="G526" s="115"/>
      <c r="H526" s="115"/>
      <c r="I526" s="115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2" max="2" width="9.25"/>
    <col customWidth="1" min="3" max="3" width="16.13"/>
    <col customWidth="1" min="4" max="4" width="13.13"/>
    <col customWidth="1" min="5" max="5" width="10.5"/>
    <col customWidth="1" min="6" max="6" width="16.88"/>
    <col customWidth="1" min="7" max="8" width="10.5"/>
    <col customWidth="1" min="9" max="9" width="3.63"/>
    <col customWidth="1" min="10" max="10" width="3.75"/>
    <col customWidth="1" min="11" max="11" width="10.25"/>
    <col customWidth="1" min="12" max="12" width="3.5"/>
    <col customWidth="1" min="13" max="13" width="10.25"/>
    <col customWidth="1" min="14" max="14" width="16.13"/>
    <col customWidth="1" min="15" max="19" width="9.38"/>
    <col customWidth="1" min="20" max="20" width="3.88"/>
    <col customWidth="1" min="21" max="21" width="3.38"/>
    <col customWidth="1" min="22" max="22" width="10.25"/>
  </cols>
  <sheetData>
    <row r="1" ht="5.25" customHeight="1">
      <c r="A1" s="154" t="s">
        <v>3262</v>
      </c>
      <c r="B1" s="155"/>
      <c r="C1" s="156"/>
      <c r="D1" s="89"/>
      <c r="E1" s="89"/>
      <c r="F1" s="157"/>
      <c r="G1" s="89"/>
      <c r="H1" s="89"/>
      <c r="M1" s="155"/>
      <c r="N1" s="158"/>
      <c r="O1" s="159"/>
      <c r="P1" s="159"/>
      <c r="Q1" s="159"/>
      <c r="R1" s="160"/>
      <c r="S1" s="160"/>
    </row>
    <row r="2">
      <c r="A2" s="155"/>
      <c r="B2" s="155"/>
      <c r="C2" s="161" t="s">
        <v>3263</v>
      </c>
      <c r="D2" s="89"/>
      <c r="E2" s="89"/>
      <c r="F2" s="157"/>
      <c r="G2" s="89"/>
      <c r="H2" s="89"/>
      <c r="M2" s="155"/>
      <c r="N2" s="158"/>
      <c r="O2" s="159"/>
      <c r="P2" s="159"/>
      <c r="Q2" s="159"/>
      <c r="R2" s="160"/>
      <c r="S2" s="160"/>
    </row>
    <row r="3">
      <c r="A3" s="155"/>
      <c r="B3" s="162"/>
      <c r="C3" s="163">
        <v>100000.0</v>
      </c>
      <c r="D3" s="164" t="s">
        <v>3264</v>
      </c>
      <c r="E3" s="89"/>
      <c r="F3" s="165" t="s">
        <v>3265</v>
      </c>
      <c r="G3" s="89"/>
      <c r="H3" s="89"/>
      <c r="N3" s="166"/>
      <c r="O3" s="167"/>
      <c r="P3" s="167"/>
      <c r="Q3" s="167"/>
      <c r="R3" s="168"/>
      <c r="S3" s="168"/>
    </row>
    <row r="4" ht="5.25" customHeight="1">
      <c r="A4" s="155"/>
      <c r="C4" s="169"/>
      <c r="F4" s="170"/>
    </row>
    <row r="5">
      <c r="A5" s="155"/>
      <c r="B5" s="171" t="s">
        <v>3266</v>
      </c>
      <c r="C5" s="172" t="s">
        <v>3267</v>
      </c>
      <c r="D5" s="173" t="s">
        <v>3268</v>
      </c>
      <c r="E5" s="174" t="s">
        <v>3269</v>
      </c>
      <c r="F5" s="175" t="s">
        <v>3270</v>
      </c>
      <c r="G5" s="176" t="s">
        <v>3269</v>
      </c>
      <c r="H5" s="176" t="s">
        <v>3271</v>
      </c>
      <c r="J5" s="177" t="s">
        <v>3272</v>
      </c>
      <c r="K5" s="96"/>
      <c r="M5" s="171" t="s">
        <v>3266</v>
      </c>
      <c r="N5" s="174" t="s">
        <v>3267</v>
      </c>
      <c r="O5" s="173" t="s">
        <v>3273</v>
      </c>
      <c r="P5" s="174" t="s">
        <v>3269</v>
      </c>
      <c r="Q5" s="173" t="s">
        <v>3274</v>
      </c>
      <c r="R5" s="176" t="s">
        <v>3269</v>
      </c>
      <c r="S5" s="176" t="s">
        <v>3271</v>
      </c>
      <c r="U5" s="177" t="s">
        <v>3272</v>
      </c>
      <c r="V5" s="96"/>
    </row>
    <row r="6">
      <c r="A6" s="155"/>
      <c r="B6" s="178" t="s">
        <v>3275</v>
      </c>
      <c r="C6" s="179" t="str">
        <f>VLOOKUP(B6,'Dados ClubeFII'!$A:$Z,26,0)</f>
        <v>#N/A</v>
      </c>
      <c r="D6" s="180" t="str">
        <f>VLOOKUP(B6,'Dados ClubeFII'!$A:$Z,20,0)/100</f>
        <v>#N/A</v>
      </c>
      <c r="E6" s="89" t="str">
        <f t="shared" ref="E6:E443" si="1">RANK(D6,$D$6:$D$443,0)</f>
        <v>#N/A</v>
      </c>
      <c r="F6" s="181">
        <f>IF(ISERROR(1/VLOOKUP(B6,Capa!A:Z,13,0)),0,1/VLOOKUP(B6,Capa!A:Z,13,0))</f>
        <v>0</v>
      </c>
      <c r="G6" s="182">
        <f t="shared" ref="G6:G443" si="2">RANK(F6,$F$6:$F$443,0)+RANK(F6,$F$6:$F$443,0)/1000000</f>
        <v>1.000001</v>
      </c>
      <c r="H6" s="183" t="str">
        <f t="shared" ref="H6:H443" si="3">G6+E6+IF(C6&lt;$C$3,1000,0)</f>
        <v>#N/A</v>
      </c>
      <c r="J6" s="54">
        <v>1.0</v>
      </c>
      <c r="K6" s="184" t="str">
        <f t="shared" ref="K6:K45" si="4">index(B:B,match(SMALL(H:H,J6),H:H,0))</f>
        <v>#N/A</v>
      </c>
      <c r="M6" s="178" t="s">
        <v>3275</v>
      </c>
      <c r="N6" s="179" t="str">
        <f>VLOOKUP(M6,'Dados ClubeFII'!$A:$Z,26,0)</f>
        <v>#N/A</v>
      </c>
      <c r="O6" s="185" t="str">
        <f>VLOOKUP(M6,'Dados ClubeFII'!$A:$Z,18,0)/100</f>
        <v>#N/A</v>
      </c>
      <c r="P6" s="186" t="str">
        <f t="shared" ref="P6:P443" si="5">RANK(O6,$O$6:$O$443,0)</f>
        <v>#N/A</v>
      </c>
      <c r="Q6" s="187">
        <f>IF(ISERROR(1/VLOOKUP(M6,Capa!A:Z,6,0)),0,1/VLOOKUP(M6,Capa!A:Z,6,0))</f>
        <v>0</v>
      </c>
      <c r="R6" s="188">
        <f t="shared" ref="R6:R443" si="6">RANK(Q6,$Q$6:$Q$443,0)+RANK(Q6,$Q$6:$Q$443,0)/1000000</f>
        <v>1.000001</v>
      </c>
      <c r="S6" s="189" t="str">
        <f t="shared" ref="S6:S443" si="7">R6+P6+IF(N6&lt;$C$3,1000,0)</f>
        <v>#N/A</v>
      </c>
      <c r="U6" s="54">
        <v>1.0</v>
      </c>
      <c r="V6" s="184" t="str">
        <f t="shared" ref="V6:V45" si="8">index(M:M,match(SMALL(S:S,U6),S:S,0))</f>
        <v>#N/A</v>
      </c>
    </row>
    <row r="7">
      <c r="A7" s="155"/>
      <c r="B7" s="178" t="s">
        <v>3276</v>
      </c>
      <c r="C7" s="179" t="str">
        <f>VLOOKUP(B7,'Dados ClubeFII'!$A:$Z,26,0)</f>
        <v>#N/A</v>
      </c>
      <c r="D7" s="180" t="str">
        <f>VLOOKUP(B7,'Dados ClubeFII'!$A:$Z,20,0)/100</f>
        <v>#N/A</v>
      </c>
      <c r="E7" s="89" t="str">
        <f t="shared" si="1"/>
        <v>#N/A</v>
      </c>
      <c r="F7" s="181">
        <f>IF(ISERROR(1/VLOOKUP(B7,Capa!A:Z,13,0)),0,1/VLOOKUP(B7,Capa!A:Z,13,0))</f>
        <v>0</v>
      </c>
      <c r="G7" s="182">
        <f t="shared" si="2"/>
        <v>1.000001</v>
      </c>
      <c r="H7" s="183" t="str">
        <f t="shared" si="3"/>
        <v>#N/A</v>
      </c>
      <c r="J7" s="54">
        <v>2.0</v>
      </c>
      <c r="K7" s="184" t="str">
        <f t="shared" si="4"/>
        <v>#N/A</v>
      </c>
      <c r="M7" s="178" t="s">
        <v>3276</v>
      </c>
      <c r="N7" s="179" t="str">
        <f>VLOOKUP(M7,'Dados ClubeFII'!$A:$Z,26,0)</f>
        <v>#N/A</v>
      </c>
      <c r="O7" s="185" t="str">
        <f>VLOOKUP(M7,'Dados ClubeFII'!$A:$Z,18,0)/100</f>
        <v>#N/A</v>
      </c>
      <c r="P7" s="186" t="str">
        <f t="shared" si="5"/>
        <v>#N/A</v>
      </c>
      <c r="Q7" s="187">
        <f>IF(ISERROR(1/VLOOKUP(M7,Capa!A:Z,6,0)),0,1/VLOOKUP(M7,Capa!A:Z,6,0))</f>
        <v>0</v>
      </c>
      <c r="R7" s="188">
        <f t="shared" si="6"/>
        <v>1.000001</v>
      </c>
      <c r="S7" s="189" t="str">
        <f t="shared" si="7"/>
        <v>#N/A</v>
      </c>
      <c r="U7" s="54">
        <v>2.0</v>
      </c>
      <c r="V7" s="184" t="str">
        <f t="shared" si="8"/>
        <v>#N/A</v>
      </c>
    </row>
    <row r="8">
      <c r="A8" s="190"/>
      <c r="B8" s="178" t="s">
        <v>3277</v>
      </c>
      <c r="C8" s="179" t="str">
        <f>VLOOKUP(B8,'Dados ClubeFII'!$A:$Z,26,0)</f>
        <v>#N/A</v>
      </c>
      <c r="D8" s="180" t="str">
        <f>VLOOKUP(B8,'Dados ClubeFII'!$A:$Z,20,0)/100</f>
        <v>#N/A</v>
      </c>
      <c r="E8" s="89" t="str">
        <f t="shared" si="1"/>
        <v>#N/A</v>
      </c>
      <c r="F8" s="181">
        <f>IF(ISERROR(1/VLOOKUP(B8,Capa!A:Z,13,0)),0,1/VLOOKUP(B8,Capa!A:Z,13,0))</f>
        <v>0</v>
      </c>
      <c r="G8" s="182">
        <f t="shared" si="2"/>
        <v>1.000001</v>
      </c>
      <c r="H8" s="183" t="str">
        <f t="shared" si="3"/>
        <v>#N/A</v>
      </c>
      <c r="J8" s="54">
        <v>3.0</v>
      </c>
      <c r="K8" s="184" t="str">
        <f t="shared" si="4"/>
        <v>#N/A</v>
      </c>
      <c r="M8" s="178" t="s">
        <v>3277</v>
      </c>
      <c r="N8" s="179" t="str">
        <f>VLOOKUP(M8,'Dados ClubeFII'!$A:$Z,26,0)</f>
        <v>#N/A</v>
      </c>
      <c r="O8" s="185" t="str">
        <f>VLOOKUP(M8,'Dados ClubeFII'!$A:$Z,18,0)/100</f>
        <v>#N/A</v>
      </c>
      <c r="P8" s="186" t="str">
        <f t="shared" si="5"/>
        <v>#N/A</v>
      </c>
      <c r="Q8" s="187">
        <f>IF(ISERROR(1/VLOOKUP(M8,Capa!A:Z,6,0)),0,1/VLOOKUP(M8,Capa!A:Z,6,0))</f>
        <v>0</v>
      </c>
      <c r="R8" s="188">
        <f t="shared" si="6"/>
        <v>1.000001</v>
      </c>
      <c r="S8" s="189" t="str">
        <f t="shared" si="7"/>
        <v>#N/A</v>
      </c>
      <c r="U8" s="54">
        <v>3.0</v>
      </c>
      <c r="V8" s="184" t="str">
        <f t="shared" si="8"/>
        <v>#N/A</v>
      </c>
    </row>
    <row r="9">
      <c r="A9" s="190"/>
      <c r="B9" s="178" t="s">
        <v>3278</v>
      </c>
      <c r="C9" s="179" t="str">
        <f>VLOOKUP(B9,'Dados ClubeFII'!$A:$Z,26,0)</f>
        <v>#N/A</v>
      </c>
      <c r="D9" s="180" t="str">
        <f>VLOOKUP(B9,'Dados ClubeFII'!$A:$Z,20,0)/100</f>
        <v>#N/A</v>
      </c>
      <c r="E9" s="89" t="str">
        <f t="shared" si="1"/>
        <v>#N/A</v>
      </c>
      <c r="F9" s="181">
        <f>IF(ISERROR(1/VLOOKUP(B9,Capa!A:Z,13,0)),0,1/VLOOKUP(B9,Capa!A:Z,13,0))</f>
        <v>0</v>
      </c>
      <c r="G9" s="182">
        <f t="shared" si="2"/>
        <v>1.000001</v>
      </c>
      <c r="H9" s="183" t="str">
        <f t="shared" si="3"/>
        <v>#N/A</v>
      </c>
      <c r="J9" s="54">
        <v>4.0</v>
      </c>
      <c r="K9" s="184" t="str">
        <f t="shared" si="4"/>
        <v>#N/A</v>
      </c>
      <c r="M9" s="178" t="s">
        <v>3278</v>
      </c>
      <c r="N9" s="179" t="str">
        <f>VLOOKUP(M9,'Dados ClubeFII'!$A:$Z,26,0)</f>
        <v>#N/A</v>
      </c>
      <c r="O9" s="185" t="str">
        <f>VLOOKUP(M9,'Dados ClubeFII'!$A:$Z,18,0)/100</f>
        <v>#N/A</v>
      </c>
      <c r="P9" s="186" t="str">
        <f t="shared" si="5"/>
        <v>#N/A</v>
      </c>
      <c r="Q9" s="187">
        <f>IF(ISERROR(1/VLOOKUP(M9,Capa!A:Z,6,0)),0,1/VLOOKUP(M9,Capa!A:Z,6,0))</f>
        <v>0</v>
      </c>
      <c r="R9" s="188">
        <f t="shared" si="6"/>
        <v>1.000001</v>
      </c>
      <c r="S9" s="189" t="str">
        <f t="shared" si="7"/>
        <v>#N/A</v>
      </c>
      <c r="U9" s="54">
        <v>4.0</v>
      </c>
      <c r="V9" s="184" t="str">
        <f t="shared" si="8"/>
        <v>#N/A</v>
      </c>
    </row>
    <row r="10">
      <c r="A10" s="190"/>
      <c r="B10" s="178" t="s">
        <v>3279</v>
      </c>
      <c r="C10" s="179" t="str">
        <f>VLOOKUP(B10,'Dados ClubeFII'!$A:$Z,26,0)</f>
        <v>#N/A</v>
      </c>
      <c r="D10" s="180" t="str">
        <f>VLOOKUP(B10,'Dados ClubeFII'!$A:$Z,20,0)/100</f>
        <v>#N/A</v>
      </c>
      <c r="E10" s="89" t="str">
        <f t="shared" si="1"/>
        <v>#N/A</v>
      </c>
      <c r="F10" s="181">
        <f>IF(ISERROR(1/VLOOKUP(B10,Capa!A:Z,13,0)),0,1/VLOOKUP(B10,Capa!A:Z,13,0))</f>
        <v>0</v>
      </c>
      <c r="G10" s="182">
        <f t="shared" si="2"/>
        <v>1.000001</v>
      </c>
      <c r="H10" s="183" t="str">
        <f t="shared" si="3"/>
        <v>#N/A</v>
      </c>
      <c r="J10" s="54">
        <v>5.0</v>
      </c>
      <c r="K10" s="184" t="str">
        <f t="shared" si="4"/>
        <v>#N/A</v>
      </c>
      <c r="M10" s="178" t="s">
        <v>3279</v>
      </c>
      <c r="N10" s="179" t="str">
        <f>VLOOKUP(M10,'Dados ClubeFII'!$A:$Z,26,0)</f>
        <v>#N/A</v>
      </c>
      <c r="O10" s="185" t="str">
        <f>VLOOKUP(M10,'Dados ClubeFII'!$A:$Z,18,0)/100</f>
        <v>#N/A</v>
      </c>
      <c r="P10" s="186" t="str">
        <f t="shared" si="5"/>
        <v>#N/A</v>
      </c>
      <c r="Q10" s="187">
        <f>IF(ISERROR(1/VLOOKUP(M10,Capa!A:Z,6,0)),0,1/VLOOKUP(M10,Capa!A:Z,6,0))</f>
        <v>0</v>
      </c>
      <c r="R10" s="188">
        <f t="shared" si="6"/>
        <v>1.000001</v>
      </c>
      <c r="S10" s="189" t="str">
        <f t="shared" si="7"/>
        <v>#N/A</v>
      </c>
      <c r="U10" s="54">
        <v>5.0</v>
      </c>
      <c r="V10" s="184" t="str">
        <f t="shared" si="8"/>
        <v>#N/A</v>
      </c>
    </row>
    <row r="11">
      <c r="A11" s="190"/>
      <c r="B11" s="178" t="s">
        <v>3280</v>
      </c>
      <c r="C11" s="179" t="str">
        <f>VLOOKUP(B11,'Dados ClubeFII'!$A:$Z,26,0)</f>
        <v>#N/A</v>
      </c>
      <c r="D11" s="180" t="str">
        <f>VLOOKUP(B11,'Dados ClubeFII'!$A:$Z,20,0)/100</f>
        <v>#N/A</v>
      </c>
      <c r="E11" s="89" t="str">
        <f t="shared" si="1"/>
        <v>#N/A</v>
      </c>
      <c r="F11" s="181">
        <f>IF(ISERROR(1/VLOOKUP(B11,Capa!A:Z,13,0)),0,1/VLOOKUP(B11,Capa!A:Z,13,0))</f>
        <v>0</v>
      </c>
      <c r="G11" s="182">
        <f t="shared" si="2"/>
        <v>1.000001</v>
      </c>
      <c r="H11" s="183" t="str">
        <f t="shared" si="3"/>
        <v>#N/A</v>
      </c>
      <c r="J11" s="54">
        <v>6.0</v>
      </c>
      <c r="K11" s="184" t="str">
        <f t="shared" si="4"/>
        <v>#N/A</v>
      </c>
      <c r="M11" s="178" t="s">
        <v>3280</v>
      </c>
      <c r="N11" s="179" t="str">
        <f>VLOOKUP(M11,'Dados ClubeFII'!$A:$Z,26,0)</f>
        <v>#N/A</v>
      </c>
      <c r="O11" s="185" t="str">
        <f>VLOOKUP(M11,'Dados ClubeFII'!$A:$Z,18,0)/100</f>
        <v>#N/A</v>
      </c>
      <c r="P11" s="186" t="str">
        <f t="shared" si="5"/>
        <v>#N/A</v>
      </c>
      <c r="Q11" s="187">
        <f>IF(ISERROR(1/VLOOKUP(M11,Capa!A:Z,6,0)),0,1/VLOOKUP(M11,Capa!A:Z,6,0))</f>
        <v>0</v>
      </c>
      <c r="R11" s="188">
        <f t="shared" si="6"/>
        <v>1.000001</v>
      </c>
      <c r="S11" s="189" t="str">
        <f t="shared" si="7"/>
        <v>#N/A</v>
      </c>
      <c r="U11" s="54">
        <v>6.0</v>
      </c>
      <c r="V11" s="184" t="str">
        <f t="shared" si="8"/>
        <v>#N/A</v>
      </c>
    </row>
    <row r="12">
      <c r="A12" s="190"/>
      <c r="B12" s="178" t="s">
        <v>3281</v>
      </c>
      <c r="C12" s="179" t="str">
        <f>VLOOKUP(B12,'Dados ClubeFII'!$A:$Z,26,0)</f>
        <v>#N/A</v>
      </c>
      <c r="D12" s="180" t="str">
        <f>VLOOKUP(B12,'Dados ClubeFII'!$A:$Z,20,0)/100</f>
        <v>#N/A</v>
      </c>
      <c r="E12" s="89" t="str">
        <f t="shared" si="1"/>
        <v>#N/A</v>
      </c>
      <c r="F12" s="181">
        <f>IF(ISERROR(1/VLOOKUP(B12,Capa!A:Z,13,0)),0,1/VLOOKUP(B12,Capa!A:Z,13,0))</f>
        <v>0</v>
      </c>
      <c r="G12" s="182">
        <f t="shared" si="2"/>
        <v>1.000001</v>
      </c>
      <c r="H12" s="183" t="str">
        <f t="shared" si="3"/>
        <v>#N/A</v>
      </c>
      <c r="J12" s="54">
        <v>7.0</v>
      </c>
      <c r="K12" s="184" t="str">
        <f t="shared" si="4"/>
        <v>#N/A</v>
      </c>
      <c r="M12" s="178" t="s">
        <v>3281</v>
      </c>
      <c r="N12" s="179" t="str">
        <f>VLOOKUP(M12,'Dados ClubeFII'!$A:$Z,26,0)</f>
        <v>#N/A</v>
      </c>
      <c r="O12" s="185" t="str">
        <f>VLOOKUP(M12,'Dados ClubeFII'!$A:$Z,18,0)/100</f>
        <v>#N/A</v>
      </c>
      <c r="P12" s="186" t="str">
        <f t="shared" si="5"/>
        <v>#N/A</v>
      </c>
      <c r="Q12" s="187">
        <f>IF(ISERROR(1/VLOOKUP(M12,Capa!A:Z,6,0)),0,1/VLOOKUP(M12,Capa!A:Z,6,0))</f>
        <v>0</v>
      </c>
      <c r="R12" s="188">
        <f t="shared" si="6"/>
        <v>1.000001</v>
      </c>
      <c r="S12" s="189" t="str">
        <f t="shared" si="7"/>
        <v>#N/A</v>
      </c>
      <c r="U12" s="54">
        <v>7.0</v>
      </c>
      <c r="V12" s="184" t="str">
        <f t="shared" si="8"/>
        <v>#N/A</v>
      </c>
    </row>
    <row r="13">
      <c r="A13" s="190"/>
      <c r="B13" s="178" t="s">
        <v>3282</v>
      </c>
      <c r="C13" s="179" t="str">
        <f>VLOOKUP(B13,'Dados ClubeFII'!$A:$Z,26,0)</f>
        <v>#N/A</v>
      </c>
      <c r="D13" s="180" t="str">
        <f>VLOOKUP(B13,'Dados ClubeFII'!$A:$Z,20,0)/100</f>
        <v>#N/A</v>
      </c>
      <c r="E13" s="89" t="str">
        <f t="shared" si="1"/>
        <v>#N/A</v>
      </c>
      <c r="F13" s="181">
        <f>IF(ISERROR(1/VLOOKUP(B13,Capa!A:Z,13,0)),0,1/VLOOKUP(B13,Capa!A:Z,13,0))</f>
        <v>0</v>
      </c>
      <c r="G13" s="182">
        <f t="shared" si="2"/>
        <v>1.000001</v>
      </c>
      <c r="H13" s="183" t="str">
        <f t="shared" si="3"/>
        <v>#N/A</v>
      </c>
      <c r="J13" s="54">
        <v>8.0</v>
      </c>
      <c r="K13" s="184" t="str">
        <f t="shared" si="4"/>
        <v>#N/A</v>
      </c>
      <c r="M13" s="178" t="s">
        <v>3282</v>
      </c>
      <c r="N13" s="179" t="str">
        <f>VLOOKUP(M13,'Dados ClubeFII'!$A:$Z,26,0)</f>
        <v>#N/A</v>
      </c>
      <c r="O13" s="185" t="str">
        <f>VLOOKUP(M13,'Dados ClubeFII'!$A:$Z,18,0)/100</f>
        <v>#N/A</v>
      </c>
      <c r="P13" s="186" t="str">
        <f t="shared" si="5"/>
        <v>#N/A</v>
      </c>
      <c r="Q13" s="187">
        <f>IF(ISERROR(1/VLOOKUP(M13,Capa!A:Z,6,0)),0,1/VLOOKUP(M13,Capa!A:Z,6,0))</f>
        <v>0</v>
      </c>
      <c r="R13" s="188">
        <f t="shared" si="6"/>
        <v>1.000001</v>
      </c>
      <c r="S13" s="189" t="str">
        <f t="shared" si="7"/>
        <v>#N/A</v>
      </c>
      <c r="U13" s="54">
        <v>8.0</v>
      </c>
      <c r="V13" s="184" t="str">
        <f t="shared" si="8"/>
        <v>#N/A</v>
      </c>
    </row>
    <row r="14">
      <c r="A14" s="190"/>
      <c r="B14" s="178" t="s">
        <v>3283</v>
      </c>
      <c r="C14" s="179" t="str">
        <f>VLOOKUP(B14,'Dados ClubeFII'!$A:$Z,26,0)</f>
        <v>#N/A</v>
      </c>
      <c r="D14" s="180" t="str">
        <f>VLOOKUP(B14,'Dados ClubeFII'!$A:$Z,20,0)/100</f>
        <v>#N/A</v>
      </c>
      <c r="E14" s="89" t="str">
        <f t="shared" si="1"/>
        <v>#N/A</v>
      </c>
      <c r="F14" s="181">
        <f>IF(ISERROR(1/VLOOKUP(B14,Capa!A:Z,13,0)),0,1/VLOOKUP(B14,Capa!A:Z,13,0))</f>
        <v>0</v>
      </c>
      <c r="G14" s="182">
        <f t="shared" si="2"/>
        <v>1.000001</v>
      </c>
      <c r="H14" s="183" t="str">
        <f t="shared" si="3"/>
        <v>#N/A</v>
      </c>
      <c r="J14" s="54">
        <v>9.0</v>
      </c>
      <c r="K14" s="184" t="str">
        <f t="shared" si="4"/>
        <v>#N/A</v>
      </c>
      <c r="M14" s="178" t="s">
        <v>3283</v>
      </c>
      <c r="N14" s="179" t="str">
        <f>VLOOKUP(M14,'Dados ClubeFII'!$A:$Z,26,0)</f>
        <v>#N/A</v>
      </c>
      <c r="O14" s="185" t="str">
        <f>VLOOKUP(M14,'Dados ClubeFII'!$A:$Z,18,0)/100</f>
        <v>#N/A</v>
      </c>
      <c r="P14" s="186" t="str">
        <f t="shared" si="5"/>
        <v>#N/A</v>
      </c>
      <c r="Q14" s="187">
        <f>IF(ISERROR(1/VLOOKUP(M14,Capa!A:Z,6,0)),0,1/VLOOKUP(M14,Capa!A:Z,6,0))</f>
        <v>0</v>
      </c>
      <c r="R14" s="188">
        <f t="shared" si="6"/>
        <v>1.000001</v>
      </c>
      <c r="S14" s="189" t="str">
        <f t="shared" si="7"/>
        <v>#N/A</v>
      </c>
      <c r="U14" s="54">
        <v>9.0</v>
      </c>
      <c r="V14" s="184" t="str">
        <f t="shared" si="8"/>
        <v>#N/A</v>
      </c>
    </row>
    <row r="15">
      <c r="A15" s="190"/>
      <c r="B15" s="178" t="s">
        <v>3284</v>
      </c>
      <c r="C15" s="179" t="str">
        <f>VLOOKUP(B15,'Dados ClubeFII'!$A:$Z,26,0)</f>
        <v>#N/A</v>
      </c>
      <c r="D15" s="180" t="str">
        <f>VLOOKUP(B15,'Dados ClubeFII'!$A:$Z,20,0)/100</f>
        <v>#N/A</v>
      </c>
      <c r="E15" s="89" t="str">
        <f t="shared" si="1"/>
        <v>#N/A</v>
      </c>
      <c r="F15" s="181">
        <f>IF(ISERROR(1/VLOOKUP(B15,Capa!A:Z,13,0)),0,1/VLOOKUP(B15,Capa!A:Z,13,0))</f>
        <v>0</v>
      </c>
      <c r="G15" s="182">
        <f t="shared" si="2"/>
        <v>1.000001</v>
      </c>
      <c r="H15" s="183" t="str">
        <f t="shared" si="3"/>
        <v>#N/A</v>
      </c>
      <c r="J15" s="54">
        <v>10.0</v>
      </c>
      <c r="K15" s="184" t="str">
        <f t="shared" si="4"/>
        <v>#N/A</v>
      </c>
      <c r="M15" s="178" t="s">
        <v>3284</v>
      </c>
      <c r="N15" s="179" t="str">
        <f>VLOOKUP(M15,'Dados ClubeFII'!$A:$Z,26,0)</f>
        <v>#N/A</v>
      </c>
      <c r="O15" s="185" t="str">
        <f>VLOOKUP(M15,'Dados ClubeFII'!$A:$Z,18,0)/100</f>
        <v>#N/A</v>
      </c>
      <c r="P15" s="186" t="str">
        <f t="shared" si="5"/>
        <v>#N/A</v>
      </c>
      <c r="Q15" s="187">
        <f>IF(ISERROR(1/VLOOKUP(M15,Capa!A:Z,6,0)),0,1/VLOOKUP(M15,Capa!A:Z,6,0))</f>
        <v>0</v>
      </c>
      <c r="R15" s="188">
        <f t="shared" si="6"/>
        <v>1.000001</v>
      </c>
      <c r="S15" s="189" t="str">
        <f t="shared" si="7"/>
        <v>#N/A</v>
      </c>
      <c r="U15" s="54">
        <v>10.0</v>
      </c>
      <c r="V15" s="184" t="str">
        <f t="shared" si="8"/>
        <v>#N/A</v>
      </c>
    </row>
    <row r="16">
      <c r="A16" s="190"/>
      <c r="B16" s="178" t="s">
        <v>3285</v>
      </c>
      <c r="C16" s="179" t="str">
        <f>VLOOKUP(B16,'Dados ClubeFII'!$A:$Z,26,0)</f>
        <v>#N/A</v>
      </c>
      <c r="D16" s="180" t="str">
        <f>VLOOKUP(B16,'Dados ClubeFII'!$A:$Z,20,0)/100</f>
        <v>#N/A</v>
      </c>
      <c r="E16" s="89" t="str">
        <f t="shared" si="1"/>
        <v>#N/A</v>
      </c>
      <c r="F16" s="181">
        <f>IF(ISERROR(1/VLOOKUP(B16,Capa!A:Z,13,0)),0,1/VLOOKUP(B16,Capa!A:Z,13,0))</f>
        <v>0</v>
      </c>
      <c r="G16" s="182">
        <f t="shared" si="2"/>
        <v>1.000001</v>
      </c>
      <c r="H16" s="183" t="str">
        <f t="shared" si="3"/>
        <v>#N/A</v>
      </c>
      <c r="J16" s="54">
        <v>11.0</v>
      </c>
      <c r="K16" s="184" t="str">
        <f t="shared" si="4"/>
        <v>#N/A</v>
      </c>
      <c r="M16" s="178" t="s">
        <v>3285</v>
      </c>
      <c r="N16" s="179" t="str">
        <f>VLOOKUP(M16,'Dados ClubeFII'!$A:$Z,26,0)</f>
        <v>#N/A</v>
      </c>
      <c r="O16" s="185" t="str">
        <f>VLOOKUP(M16,'Dados ClubeFII'!$A:$Z,18,0)/100</f>
        <v>#N/A</v>
      </c>
      <c r="P16" s="186" t="str">
        <f t="shared" si="5"/>
        <v>#N/A</v>
      </c>
      <c r="Q16" s="187">
        <f>IF(ISERROR(1/VLOOKUP(M16,Capa!A:Z,6,0)),0,1/VLOOKUP(M16,Capa!A:Z,6,0))</f>
        <v>0</v>
      </c>
      <c r="R16" s="188">
        <f t="shared" si="6"/>
        <v>1.000001</v>
      </c>
      <c r="S16" s="189" t="str">
        <f t="shared" si="7"/>
        <v>#N/A</v>
      </c>
      <c r="U16" s="54">
        <v>11.0</v>
      </c>
      <c r="V16" s="184" t="str">
        <f t="shared" si="8"/>
        <v>#N/A</v>
      </c>
    </row>
    <row r="17">
      <c r="A17" s="190"/>
      <c r="B17" s="178" t="s">
        <v>3286</v>
      </c>
      <c r="C17" s="179" t="str">
        <f>VLOOKUP(B17,'Dados ClubeFII'!$A:$Z,26,0)</f>
        <v>#N/A</v>
      </c>
      <c r="D17" s="180" t="str">
        <f>VLOOKUP(B17,'Dados ClubeFII'!$A:$Z,20,0)/100</f>
        <v>#N/A</v>
      </c>
      <c r="E17" s="89" t="str">
        <f t="shared" si="1"/>
        <v>#N/A</v>
      </c>
      <c r="F17" s="181">
        <f>IF(ISERROR(1/VLOOKUP(B17,Capa!A:Z,13,0)),0,1/VLOOKUP(B17,Capa!A:Z,13,0))</f>
        <v>0</v>
      </c>
      <c r="G17" s="182">
        <f t="shared" si="2"/>
        <v>1.000001</v>
      </c>
      <c r="H17" s="183" t="str">
        <f t="shared" si="3"/>
        <v>#N/A</v>
      </c>
      <c r="J17" s="54">
        <v>12.0</v>
      </c>
      <c r="K17" s="184" t="str">
        <f t="shared" si="4"/>
        <v>#N/A</v>
      </c>
      <c r="M17" s="178" t="s">
        <v>3286</v>
      </c>
      <c r="N17" s="179" t="str">
        <f>VLOOKUP(M17,'Dados ClubeFII'!$A:$Z,26,0)</f>
        <v>#N/A</v>
      </c>
      <c r="O17" s="185" t="str">
        <f>VLOOKUP(M17,'Dados ClubeFII'!$A:$Z,18,0)/100</f>
        <v>#N/A</v>
      </c>
      <c r="P17" s="186" t="str">
        <f t="shared" si="5"/>
        <v>#N/A</v>
      </c>
      <c r="Q17" s="187">
        <f>IF(ISERROR(1/VLOOKUP(M17,Capa!A:Z,6,0)),0,1/VLOOKUP(M17,Capa!A:Z,6,0))</f>
        <v>0</v>
      </c>
      <c r="R17" s="188">
        <f t="shared" si="6"/>
        <v>1.000001</v>
      </c>
      <c r="S17" s="189" t="str">
        <f t="shared" si="7"/>
        <v>#N/A</v>
      </c>
      <c r="U17" s="54">
        <v>12.0</v>
      </c>
      <c r="V17" s="184" t="str">
        <f t="shared" si="8"/>
        <v>#N/A</v>
      </c>
    </row>
    <row r="18">
      <c r="A18" s="190"/>
      <c r="B18" s="178" t="s">
        <v>3287</v>
      </c>
      <c r="C18" s="179" t="str">
        <f>VLOOKUP(B18,'Dados ClubeFII'!$A:$Z,26,0)</f>
        <v>#N/A</v>
      </c>
      <c r="D18" s="180" t="str">
        <f>VLOOKUP(B18,'Dados ClubeFII'!$A:$Z,20,0)/100</f>
        <v>#N/A</v>
      </c>
      <c r="E18" s="89" t="str">
        <f t="shared" si="1"/>
        <v>#N/A</v>
      </c>
      <c r="F18" s="181">
        <f>IF(ISERROR(1/VLOOKUP(B18,Capa!A:Z,13,0)),0,1/VLOOKUP(B18,Capa!A:Z,13,0))</f>
        <v>0</v>
      </c>
      <c r="G18" s="182">
        <f t="shared" si="2"/>
        <v>1.000001</v>
      </c>
      <c r="H18" s="183" t="str">
        <f t="shared" si="3"/>
        <v>#N/A</v>
      </c>
      <c r="J18" s="54">
        <v>13.0</v>
      </c>
      <c r="K18" s="184" t="str">
        <f t="shared" si="4"/>
        <v>#N/A</v>
      </c>
      <c r="M18" s="178" t="s">
        <v>3287</v>
      </c>
      <c r="N18" s="179" t="str">
        <f>VLOOKUP(M18,'Dados ClubeFII'!$A:$Z,26,0)</f>
        <v>#N/A</v>
      </c>
      <c r="O18" s="185" t="str">
        <f>VLOOKUP(M18,'Dados ClubeFII'!$A:$Z,18,0)/100</f>
        <v>#N/A</v>
      </c>
      <c r="P18" s="186" t="str">
        <f t="shared" si="5"/>
        <v>#N/A</v>
      </c>
      <c r="Q18" s="187">
        <f>IF(ISERROR(1/VLOOKUP(M18,Capa!A:Z,6,0)),0,1/VLOOKUP(M18,Capa!A:Z,6,0))</f>
        <v>0</v>
      </c>
      <c r="R18" s="188">
        <f t="shared" si="6"/>
        <v>1.000001</v>
      </c>
      <c r="S18" s="189" t="str">
        <f t="shared" si="7"/>
        <v>#N/A</v>
      </c>
      <c r="U18" s="54">
        <v>13.0</v>
      </c>
      <c r="V18" s="184" t="str">
        <f t="shared" si="8"/>
        <v>#N/A</v>
      </c>
    </row>
    <row r="19">
      <c r="A19" s="190"/>
      <c r="B19" s="178" t="s">
        <v>3288</v>
      </c>
      <c r="C19" s="179" t="str">
        <f>VLOOKUP(B19,'Dados ClubeFII'!$A:$Z,26,0)</f>
        <v>#N/A</v>
      </c>
      <c r="D19" s="180" t="str">
        <f>VLOOKUP(B19,'Dados ClubeFII'!$A:$Z,20,0)/100</f>
        <v>#N/A</v>
      </c>
      <c r="E19" s="89" t="str">
        <f t="shared" si="1"/>
        <v>#N/A</v>
      </c>
      <c r="F19" s="181">
        <f>IF(ISERROR(1/VLOOKUP(B19,Capa!A:Z,13,0)),0,1/VLOOKUP(B19,Capa!A:Z,13,0))</f>
        <v>0</v>
      </c>
      <c r="G19" s="182">
        <f t="shared" si="2"/>
        <v>1.000001</v>
      </c>
      <c r="H19" s="183" t="str">
        <f t="shared" si="3"/>
        <v>#N/A</v>
      </c>
      <c r="J19" s="54">
        <v>14.0</v>
      </c>
      <c r="K19" s="184" t="str">
        <f t="shared" si="4"/>
        <v>#N/A</v>
      </c>
      <c r="M19" s="178" t="s">
        <v>3288</v>
      </c>
      <c r="N19" s="179" t="str">
        <f>VLOOKUP(M19,'Dados ClubeFII'!$A:$Z,26,0)</f>
        <v>#N/A</v>
      </c>
      <c r="O19" s="185" t="str">
        <f>VLOOKUP(M19,'Dados ClubeFII'!$A:$Z,18,0)/100</f>
        <v>#N/A</v>
      </c>
      <c r="P19" s="186" t="str">
        <f t="shared" si="5"/>
        <v>#N/A</v>
      </c>
      <c r="Q19" s="187">
        <f>IF(ISERROR(1/VLOOKUP(M19,Capa!A:Z,6,0)),0,1/VLOOKUP(M19,Capa!A:Z,6,0))</f>
        <v>0</v>
      </c>
      <c r="R19" s="188">
        <f t="shared" si="6"/>
        <v>1.000001</v>
      </c>
      <c r="S19" s="189" t="str">
        <f t="shared" si="7"/>
        <v>#N/A</v>
      </c>
      <c r="U19" s="54">
        <v>14.0</v>
      </c>
      <c r="V19" s="184" t="str">
        <f t="shared" si="8"/>
        <v>#N/A</v>
      </c>
    </row>
    <row r="20">
      <c r="A20" s="190"/>
      <c r="B20" s="178" t="s">
        <v>3289</v>
      </c>
      <c r="C20" s="179" t="str">
        <f>VLOOKUP(B20,'Dados ClubeFII'!$A:$Z,26,0)</f>
        <v>#N/A</v>
      </c>
      <c r="D20" s="180" t="str">
        <f>VLOOKUP(B20,'Dados ClubeFII'!$A:$Z,20,0)/100</f>
        <v>#N/A</v>
      </c>
      <c r="E20" s="89" t="str">
        <f t="shared" si="1"/>
        <v>#N/A</v>
      </c>
      <c r="F20" s="181">
        <f>IF(ISERROR(1/VLOOKUP(B20,Capa!A:Z,13,0)),0,1/VLOOKUP(B20,Capa!A:Z,13,0))</f>
        <v>0</v>
      </c>
      <c r="G20" s="182">
        <f t="shared" si="2"/>
        <v>1.000001</v>
      </c>
      <c r="H20" s="183" t="str">
        <f t="shared" si="3"/>
        <v>#N/A</v>
      </c>
      <c r="J20" s="54">
        <v>15.0</v>
      </c>
      <c r="K20" s="184" t="str">
        <f t="shared" si="4"/>
        <v>#N/A</v>
      </c>
      <c r="M20" s="178" t="s">
        <v>3289</v>
      </c>
      <c r="N20" s="179" t="str">
        <f>VLOOKUP(M20,'Dados ClubeFII'!$A:$Z,26,0)</f>
        <v>#N/A</v>
      </c>
      <c r="O20" s="185" t="str">
        <f>VLOOKUP(M20,'Dados ClubeFII'!$A:$Z,18,0)/100</f>
        <v>#N/A</v>
      </c>
      <c r="P20" s="186" t="str">
        <f t="shared" si="5"/>
        <v>#N/A</v>
      </c>
      <c r="Q20" s="187">
        <f>IF(ISERROR(1/VLOOKUP(M20,Capa!A:Z,6,0)),0,1/VLOOKUP(M20,Capa!A:Z,6,0))</f>
        <v>0</v>
      </c>
      <c r="R20" s="188">
        <f t="shared" si="6"/>
        <v>1.000001</v>
      </c>
      <c r="S20" s="189" t="str">
        <f t="shared" si="7"/>
        <v>#N/A</v>
      </c>
      <c r="U20" s="54">
        <v>15.0</v>
      </c>
      <c r="V20" s="184" t="str">
        <f t="shared" si="8"/>
        <v>#N/A</v>
      </c>
    </row>
    <row r="21">
      <c r="A21" s="190"/>
      <c r="B21" s="178" t="s">
        <v>3290</v>
      </c>
      <c r="C21" s="179" t="str">
        <f>VLOOKUP(B21,'Dados ClubeFII'!$A:$Z,26,0)</f>
        <v>#N/A</v>
      </c>
      <c r="D21" s="180" t="str">
        <f>VLOOKUP(B21,'Dados ClubeFII'!$A:$Z,20,0)/100</f>
        <v>#N/A</v>
      </c>
      <c r="E21" s="89" t="str">
        <f t="shared" si="1"/>
        <v>#N/A</v>
      </c>
      <c r="F21" s="181">
        <f>IF(ISERROR(1/VLOOKUP(B21,Capa!A:Z,13,0)),0,1/VLOOKUP(B21,Capa!A:Z,13,0))</f>
        <v>0</v>
      </c>
      <c r="G21" s="182">
        <f t="shared" si="2"/>
        <v>1.000001</v>
      </c>
      <c r="H21" s="183" t="str">
        <f t="shared" si="3"/>
        <v>#N/A</v>
      </c>
      <c r="J21" s="54">
        <v>16.0</v>
      </c>
      <c r="K21" s="184" t="str">
        <f t="shared" si="4"/>
        <v>#N/A</v>
      </c>
      <c r="M21" s="178" t="s">
        <v>3290</v>
      </c>
      <c r="N21" s="179" t="str">
        <f>VLOOKUP(M21,'Dados ClubeFII'!$A:$Z,26,0)</f>
        <v>#N/A</v>
      </c>
      <c r="O21" s="185" t="str">
        <f>VLOOKUP(M21,'Dados ClubeFII'!$A:$Z,18,0)/100</f>
        <v>#N/A</v>
      </c>
      <c r="P21" s="186" t="str">
        <f t="shared" si="5"/>
        <v>#N/A</v>
      </c>
      <c r="Q21" s="187">
        <f>IF(ISERROR(1/VLOOKUP(M21,Capa!A:Z,6,0)),0,1/VLOOKUP(M21,Capa!A:Z,6,0))</f>
        <v>0</v>
      </c>
      <c r="R21" s="188">
        <f t="shared" si="6"/>
        <v>1.000001</v>
      </c>
      <c r="S21" s="189" t="str">
        <f t="shared" si="7"/>
        <v>#N/A</v>
      </c>
      <c r="U21" s="54">
        <v>16.0</v>
      </c>
      <c r="V21" s="184" t="str">
        <f t="shared" si="8"/>
        <v>#N/A</v>
      </c>
    </row>
    <row r="22">
      <c r="A22" s="190"/>
      <c r="B22" s="178" t="s">
        <v>3291</v>
      </c>
      <c r="C22" s="179" t="str">
        <f>VLOOKUP(B22,'Dados ClubeFII'!$A:$Z,26,0)</f>
        <v>#N/A</v>
      </c>
      <c r="D22" s="180" t="str">
        <f>VLOOKUP(B22,'Dados ClubeFII'!$A:$Z,20,0)/100</f>
        <v>#N/A</v>
      </c>
      <c r="E22" s="89" t="str">
        <f t="shared" si="1"/>
        <v>#N/A</v>
      </c>
      <c r="F22" s="181">
        <f>IF(ISERROR(1/VLOOKUP(B22,Capa!A:Z,13,0)),0,1/VLOOKUP(B22,Capa!A:Z,13,0))</f>
        <v>0</v>
      </c>
      <c r="G22" s="182">
        <f t="shared" si="2"/>
        <v>1.000001</v>
      </c>
      <c r="H22" s="183" t="str">
        <f t="shared" si="3"/>
        <v>#N/A</v>
      </c>
      <c r="J22" s="54">
        <v>17.0</v>
      </c>
      <c r="K22" s="184" t="str">
        <f t="shared" si="4"/>
        <v>#N/A</v>
      </c>
      <c r="M22" s="178" t="s">
        <v>3291</v>
      </c>
      <c r="N22" s="179" t="str">
        <f>VLOOKUP(M22,'Dados ClubeFII'!$A:$Z,26,0)</f>
        <v>#N/A</v>
      </c>
      <c r="O22" s="185" t="str">
        <f>VLOOKUP(M22,'Dados ClubeFII'!$A:$Z,18,0)/100</f>
        <v>#N/A</v>
      </c>
      <c r="P22" s="186" t="str">
        <f t="shared" si="5"/>
        <v>#N/A</v>
      </c>
      <c r="Q22" s="187">
        <f>IF(ISERROR(1/VLOOKUP(M22,Capa!A:Z,6,0)),0,1/VLOOKUP(M22,Capa!A:Z,6,0))</f>
        <v>0</v>
      </c>
      <c r="R22" s="188">
        <f t="shared" si="6"/>
        <v>1.000001</v>
      </c>
      <c r="S22" s="189" t="str">
        <f t="shared" si="7"/>
        <v>#N/A</v>
      </c>
      <c r="U22" s="54">
        <v>17.0</v>
      </c>
      <c r="V22" s="184" t="str">
        <f t="shared" si="8"/>
        <v>#N/A</v>
      </c>
    </row>
    <row r="23">
      <c r="A23" s="190"/>
      <c r="B23" s="178" t="s">
        <v>3292</v>
      </c>
      <c r="C23" s="179" t="str">
        <f>VLOOKUP(B23,'Dados ClubeFII'!$A:$Z,26,0)</f>
        <v>#N/A</v>
      </c>
      <c r="D23" s="180" t="str">
        <f>VLOOKUP(B23,'Dados ClubeFII'!$A:$Z,20,0)/100</f>
        <v>#N/A</v>
      </c>
      <c r="E23" s="89" t="str">
        <f t="shared" si="1"/>
        <v>#N/A</v>
      </c>
      <c r="F23" s="181">
        <f>IF(ISERROR(1/VLOOKUP(B23,Capa!A:Z,13,0)),0,1/VLOOKUP(B23,Capa!A:Z,13,0))</f>
        <v>0</v>
      </c>
      <c r="G23" s="182">
        <f t="shared" si="2"/>
        <v>1.000001</v>
      </c>
      <c r="H23" s="183" t="str">
        <f t="shared" si="3"/>
        <v>#N/A</v>
      </c>
      <c r="J23" s="54">
        <v>18.0</v>
      </c>
      <c r="K23" s="184" t="str">
        <f t="shared" si="4"/>
        <v>#N/A</v>
      </c>
      <c r="M23" s="178" t="s">
        <v>3292</v>
      </c>
      <c r="N23" s="179" t="str">
        <f>VLOOKUP(M23,'Dados ClubeFII'!$A:$Z,26,0)</f>
        <v>#N/A</v>
      </c>
      <c r="O23" s="185" t="str">
        <f>VLOOKUP(M23,'Dados ClubeFII'!$A:$Z,18,0)/100</f>
        <v>#N/A</v>
      </c>
      <c r="P23" s="186" t="str">
        <f t="shared" si="5"/>
        <v>#N/A</v>
      </c>
      <c r="Q23" s="187">
        <f>IF(ISERROR(1/VLOOKUP(M23,Capa!A:Z,6,0)),0,1/VLOOKUP(M23,Capa!A:Z,6,0))</f>
        <v>0</v>
      </c>
      <c r="R23" s="188">
        <f t="shared" si="6"/>
        <v>1.000001</v>
      </c>
      <c r="S23" s="189" t="str">
        <f t="shared" si="7"/>
        <v>#N/A</v>
      </c>
      <c r="U23" s="54">
        <v>18.0</v>
      </c>
      <c r="V23" s="184" t="str">
        <f t="shared" si="8"/>
        <v>#N/A</v>
      </c>
    </row>
    <row r="24">
      <c r="A24" s="190"/>
      <c r="B24" s="178" t="s">
        <v>3293</v>
      </c>
      <c r="C24" s="179" t="str">
        <f>VLOOKUP(B24,'Dados ClubeFII'!$A:$Z,26,0)</f>
        <v>#N/A</v>
      </c>
      <c r="D24" s="180" t="str">
        <f>VLOOKUP(B24,'Dados ClubeFII'!$A:$Z,20,0)/100</f>
        <v>#N/A</v>
      </c>
      <c r="E24" s="89" t="str">
        <f t="shared" si="1"/>
        <v>#N/A</v>
      </c>
      <c r="F24" s="181">
        <f>IF(ISERROR(1/VLOOKUP(B24,Capa!A:Z,13,0)),0,1/VLOOKUP(B24,Capa!A:Z,13,0))</f>
        <v>0</v>
      </c>
      <c r="G24" s="182">
        <f t="shared" si="2"/>
        <v>1.000001</v>
      </c>
      <c r="H24" s="183" t="str">
        <f t="shared" si="3"/>
        <v>#N/A</v>
      </c>
      <c r="J24" s="54">
        <v>19.0</v>
      </c>
      <c r="K24" s="184" t="str">
        <f t="shared" si="4"/>
        <v>#N/A</v>
      </c>
      <c r="M24" s="178" t="s">
        <v>3293</v>
      </c>
      <c r="N24" s="179" t="str">
        <f>VLOOKUP(M24,'Dados ClubeFII'!$A:$Z,26,0)</f>
        <v>#N/A</v>
      </c>
      <c r="O24" s="185" t="str">
        <f>VLOOKUP(M24,'Dados ClubeFII'!$A:$Z,18,0)/100</f>
        <v>#N/A</v>
      </c>
      <c r="P24" s="186" t="str">
        <f t="shared" si="5"/>
        <v>#N/A</v>
      </c>
      <c r="Q24" s="187">
        <f>IF(ISERROR(1/VLOOKUP(M24,Capa!A:Z,6,0)),0,1/VLOOKUP(M24,Capa!A:Z,6,0))</f>
        <v>0</v>
      </c>
      <c r="R24" s="188">
        <f t="shared" si="6"/>
        <v>1.000001</v>
      </c>
      <c r="S24" s="189" t="str">
        <f t="shared" si="7"/>
        <v>#N/A</v>
      </c>
      <c r="U24" s="54">
        <v>19.0</v>
      </c>
      <c r="V24" s="184" t="str">
        <f t="shared" si="8"/>
        <v>#N/A</v>
      </c>
    </row>
    <row r="25">
      <c r="A25" s="190"/>
      <c r="B25" s="178" t="s">
        <v>3294</v>
      </c>
      <c r="C25" s="179" t="str">
        <f>VLOOKUP(B25,'Dados ClubeFII'!$A:$Z,26,0)</f>
        <v>#N/A</v>
      </c>
      <c r="D25" s="180" t="str">
        <f>VLOOKUP(B25,'Dados ClubeFII'!$A:$Z,20,0)/100</f>
        <v>#N/A</v>
      </c>
      <c r="E25" s="89" t="str">
        <f t="shared" si="1"/>
        <v>#N/A</v>
      </c>
      <c r="F25" s="181">
        <f>IF(ISERROR(1/VLOOKUP(B25,Capa!A:Z,13,0)),0,1/VLOOKUP(B25,Capa!A:Z,13,0))</f>
        <v>0</v>
      </c>
      <c r="G25" s="182">
        <f t="shared" si="2"/>
        <v>1.000001</v>
      </c>
      <c r="H25" s="183" t="str">
        <f t="shared" si="3"/>
        <v>#N/A</v>
      </c>
      <c r="J25" s="54">
        <v>20.0</v>
      </c>
      <c r="K25" s="184" t="str">
        <f t="shared" si="4"/>
        <v>#N/A</v>
      </c>
      <c r="M25" s="178" t="s">
        <v>3294</v>
      </c>
      <c r="N25" s="179" t="str">
        <f>VLOOKUP(M25,'Dados ClubeFII'!$A:$Z,26,0)</f>
        <v>#N/A</v>
      </c>
      <c r="O25" s="185" t="str">
        <f>VLOOKUP(M25,'Dados ClubeFII'!$A:$Z,18,0)/100</f>
        <v>#N/A</v>
      </c>
      <c r="P25" s="186" t="str">
        <f t="shared" si="5"/>
        <v>#N/A</v>
      </c>
      <c r="Q25" s="187">
        <f>IF(ISERROR(1/VLOOKUP(M25,Capa!A:Z,6,0)),0,1/VLOOKUP(M25,Capa!A:Z,6,0))</f>
        <v>0</v>
      </c>
      <c r="R25" s="188">
        <f t="shared" si="6"/>
        <v>1.000001</v>
      </c>
      <c r="S25" s="189" t="str">
        <f t="shared" si="7"/>
        <v>#N/A</v>
      </c>
      <c r="U25" s="54">
        <v>20.0</v>
      </c>
      <c r="V25" s="184" t="str">
        <f t="shared" si="8"/>
        <v>#N/A</v>
      </c>
    </row>
    <row r="26">
      <c r="A26" s="190"/>
      <c r="B26" s="178" t="s">
        <v>3295</v>
      </c>
      <c r="C26" s="179" t="str">
        <f>VLOOKUP(B26,'Dados ClubeFII'!$A:$Z,26,0)</f>
        <v>#N/A</v>
      </c>
      <c r="D26" s="180" t="str">
        <f>VLOOKUP(B26,'Dados ClubeFII'!$A:$Z,20,0)/100</f>
        <v>#N/A</v>
      </c>
      <c r="E26" s="89" t="str">
        <f t="shared" si="1"/>
        <v>#N/A</v>
      </c>
      <c r="F26" s="181">
        <f>IF(ISERROR(1/VLOOKUP(B26,Capa!A:Z,13,0)),0,1/VLOOKUP(B26,Capa!A:Z,13,0))</f>
        <v>0</v>
      </c>
      <c r="G26" s="182">
        <f t="shared" si="2"/>
        <v>1.000001</v>
      </c>
      <c r="H26" s="183" t="str">
        <f t="shared" si="3"/>
        <v>#N/A</v>
      </c>
      <c r="J26" s="54">
        <v>21.0</v>
      </c>
      <c r="K26" s="184" t="str">
        <f t="shared" si="4"/>
        <v>#N/A</v>
      </c>
      <c r="M26" s="178" t="s">
        <v>3295</v>
      </c>
      <c r="N26" s="179" t="str">
        <f>VLOOKUP(M26,'Dados ClubeFII'!$A:$Z,26,0)</f>
        <v>#N/A</v>
      </c>
      <c r="O26" s="185" t="str">
        <f>VLOOKUP(M26,'Dados ClubeFII'!$A:$Z,18,0)/100</f>
        <v>#N/A</v>
      </c>
      <c r="P26" s="186" t="str">
        <f t="shared" si="5"/>
        <v>#N/A</v>
      </c>
      <c r="Q26" s="187">
        <f>IF(ISERROR(1/VLOOKUP(M26,Capa!A:Z,6,0)),0,1/VLOOKUP(M26,Capa!A:Z,6,0))</f>
        <v>0</v>
      </c>
      <c r="R26" s="188">
        <f t="shared" si="6"/>
        <v>1.000001</v>
      </c>
      <c r="S26" s="189" t="str">
        <f t="shared" si="7"/>
        <v>#N/A</v>
      </c>
      <c r="U26" s="54">
        <v>21.0</v>
      </c>
      <c r="V26" s="184" t="str">
        <f t="shared" si="8"/>
        <v>#N/A</v>
      </c>
    </row>
    <row r="27">
      <c r="A27" s="190"/>
      <c r="B27" s="178" t="s">
        <v>3296</v>
      </c>
      <c r="C27" s="179" t="str">
        <f>VLOOKUP(B27,'Dados ClubeFII'!$A:$Z,26,0)</f>
        <v>#N/A</v>
      </c>
      <c r="D27" s="180" t="str">
        <f>VLOOKUP(B27,'Dados ClubeFII'!$A:$Z,20,0)/100</f>
        <v>#N/A</v>
      </c>
      <c r="E27" s="89" t="str">
        <f t="shared" si="1"/>
        <v>#N/A</v>
      </c>
      <c r="F27" s="181">
        <f>IF(ISERROR(1/VLOOKUP(B27,Capa!A:Z,13,0)),0,1/VLOOKUP(B27,Capa!A:Z,13,0))</f>
        <v>0</v>
      </c>
      <c r="G27" s="182">
        <f t="shared" si="2"/>
        <v>1.000001</v>
      </c>
      <c r="H27" s="183" t="str">
        <f t="shared" si="3"/>
        <v>#N/A</v>
      </c>
      <c r="J27" s="54">
        <v>22.0</v>
      </c>
      <c r="K27" s="184" t="str">
        <f t="shared" si="4"/>
        <v>#N/A</v>
      </c>
      <c r="M27" s="178" t="s">
        <v>3296</v>
      </c>
      <c r="N27" s="179" t="str">
        <f>VLOOKUP(M27,'Dados ClubeFII'!$A:$Z,26,0)</f>
        <v>#N/A</v>
      </c>
      <c r="O27" s="185" t="str">
        <f>VLOOKUP(M27,'Dados ClubeFII'!$A:$Z,18,0)/100</f>
        <v>#N/A</v>
      </c>
      <c r="P27" s="186" t="str">
        <f t="shared" si="5"/>
        <v>#N/A</v>
      </c>
      <c r="Q27" s="187">
        <f>IF(ISERROR(1/VLOOKUP(M27,Capa!A:Z,6,0)),0,1/VLOOKUP(M27,Capa!A:Z,6,0))</f>
        <v>0</v>
      </c>
      <c r="R27" s="188">
        <f t="shared" si="6"/>
        <v>1.000001</v>
      </c>
      <c r="S27" s="189" t="str">
        <f t="shared" si="7"/>
        <v>#N/A</v>
      </c>
      <c r="U27" s="54">
        <v>22.0</v>
      </c>
      <c r="V27" s="184" t="str">
        <f t="shared" si="8"/>
        <v>#N/A</v>
      </c>
    </row>
    <row r="28">
      <c r="A28" s="190"/>
      <c r="B28" s="178" t="s">
        <v>3297</v>
      </c>
      <c r="C28" s="179" t="str">
        <f>VLOOKUP(B28,'Dados ClubeFII'!$A:$Z,26,0)</f>
        <v>#N/A</v>
      </c>
      <c r="D28" s="180" t="str">
        <f>VLOOKUP(B28,'Dados ClubeFII'!$A:$Z,20,0)/100</f>
        <v>#N/A</v>
      </c>
      <c r="E28" s="89" t="str">
        <f t="shared" si="1"/>
        <v>#N/A</v>
      </c>
      <c r="F28" s="181">
        <f>IF(ISERROR(1/VLOOKUP(B28,Capa!A:Z,13,0)),0,1/VLOOKUP(B28,Capa!A:Z,13,0))</f>
        <v>0</v>
      </c>
      <c r="G28" s="182">
        <f t="shared" si="2"/>
        <v>1.000001</v>
      </c>
      <c r="H28" s="183" t="str">
        <f t="shared" si="3"/>
        <v>#N/A</v>
      </c>
      <c r="J28" s="54">
        <v>23.0</v>
      </c>
      <c r="K28" s="184" t="str">
        <f t="shared" si="4"/>
        <v>#N/A</v>
      </c>
      <c r="M28" s="178" t="s">
        <v>3297</v>
      </c>
      <c r="N28" s="179" t="str">
        <f>VLOOKUP(M28,'Dados ClubeFII'!$A:$Z,26,0)</f>
        <v>#N/A</v>
      </c>
      <c r="O28" s="185" t="str">
        <f>VLOOKUP(M28,'Dados ClubeFII'!$A:$Z,18,0)/100</f>
        <v>#N/A</v>
      </c>
      <c r="P28" s="186" t="str">
        <f t="shared" si="5"/>
        <v>#N/A</v>
      </c>
      <c r="Q28" s="187">
        <f>IF(ISERROR(1/VLOOKUP(M28,Capa!A:Z,6,0)),0,1/VLOOKUP(M28,Capa!A:Z,6,0))</f>
        <v>0</v>
      </c>
      <c r="R28" s="188">
        <f t="shared" si="6"/>
        <v>1.000001</v>
      </c>
      <c r="S28" s="189" t="str">
        <f t="shared" si="7"/>
        <v>#N/A</v>
      </c>
      <c r="U28" s="54">
        <v>23.0</v>
      </c>
      <c r="V28" s="184" t="str">
        <f t="shared" si="8"/>
        <v>#N/A</v>
      </c>
    </row>
    <row r="29">
      <c r="A29" s="190"/>
      <c r="B29" s="178" t="s">
        <v>3298</v>
      </c>
      <c r="C29" s="179" t="str">
        <f>VLOOKUP(B29,'Dados ClubeFII'!$A:$Z,26,0)</f>
        <v>#N/A</v>
      </c>
      <c r="D29" s="180" t="str">
        <f>VLOOKUP(B29,'Dados ClubeFII'!$A:$Z,20,0)/100</f>
        <v>#N/A</v>
      </c>
      <c r="E29" s="89" t="str">
        <f t="shared" si="1"/>
        <v>#N/A</v>
      </c>
      <c r="F29" s="181">
        <f>IF(ISERROR(1/VLOOKUP(B29,Capa!A:Z,13,0)),0,1/VLOOKUP(B29,Capa!A:Z,13,0))</f>
        <v>0</v>
      </c>
      <c r="G29" s="182">
        <f t="shared" si="2"/>
        <v>1.000001</v>
      </c>
      <c r="H29" s="183" t="str">
        <f t="shared" si="3"/>
        <v>#N/A</v>
      </c>
      <c r="J29" s="54">
        <v>24.0</v>
      </c>
      <c r="K29" s="184" t="str">
        <f t="shared" si="4"/>
        <v>#N/A</v>
      </c>
      <c r="M29" s="178" t="s">
        <v>3298</v>
      </c>
      <c r="N29" s="179" t="str">
        <f>VLOOKUP(M29,'Dados ClubeFII'!$A:$Z,26,0)</f>
        <v>#N/A</v>
      </c>
      <c r="O29" s="185" t="str">
        <f>VLOOKUP(M29,'Dados ClubeFII'!$A:$Z,18,0)/100</f>
        <v>#N/A</v>
      </c>
      <c r="P29" s="186" t="str">
        <f t="shared" si="5"/>
        <v>#N/A</v>
      </c>
      <c r="Q29" s="187">
        <f>IF(ISERROR(1/VLOOKUP(M29,Capa!A:Z,6,0)),0,1/VLOOKUP(M29,Capa!A:Z,6,0))</f>
        <v>0</v>
      </c>
      <c r="R29" s="188">
        <f t="shared" si="6"/>
        <v>1.000001</v>
      </c>
      <c r="S29" s="189" t="str">
        <f t="shared" si="7"/>
        <v>#N/A</v>
      </c>
      <c r="U29" s="54">
        <v>24.0</v>
      </c>
      <c r="V29" s="184" t="str">
        <f t="shared" si="8"/>
        <v>#N/A</v>
      </c>
    </row>
    <row r="30">
      <c r="A30" s="190"/>
      <c r="B30" s="178" t="s">
        <v>3299</v>
      </c>
      <c r="C30" s="179" t="str">
        <f>VLOOKUP(B30,'Dados ClubeFII'!$A:$Z,26,0)</f>
        <v>#N/A</v>
      </c>
      <c r="D30" s="180" t="str">
        <f>VLOOKUP(B30,'Dados ClubeFII'!$A:$Z,20,0)/100</f>
        <v>#N/A</v>
      </c>
      <c r="E30" s="89" t="str">
        <f t="shared" si="1"/>
        <v>#N/A</v>
      </c>
      <c r="F30" s="181">
        <f>IF(ISERROR(1/VLOOKUP(B30,Capa!A:Z,13,0)),0,1/VLOOKUP(B30,Capa!A:Z,13,0))</f>
        <v>0</v>
      </c>
      <c r="G30" s="182">
        <f t="shared" si="2"/>
        <v>1.000001</v>
      </c>
      <c r="H30" s="183" t="str">
        <f t="shared" si="3"/>
        <v>#N/A</v>
      </c>
      <c r="J30" s="54">
        <v>25.0</v>
      </c>
      <c r="K30" s="184" t="str">
        <f t="shared" si="4"/>
        <v>#N/A</v>
      </c>
      <c r="M30" s="178" t="s">
        <v>3299</v>
      </c>
      <c r="N30" s="179" t="str">
        <f>VLOOKUP(M30,'Dados ClubeFII'!$A:$Z,26,0)</f>
        <v>#N/A</v>
      </c>
      <c r="O30" s="185" t="str">
        <f>VLOOKUP(M30,'Dados ClubeFII'!$A:$Z,18,0)/100</f>
        <v>#N/A</v>
      </c>
      <c r="P30" s="186" t="str">
        <f t="shared" si="5"/>
        <v>#N/A</v>
      </c>
      <c r="Q30" s="187">
        <f>IF(ISERROR(1/VLOOKUP(M30,Capa!A:Z,6,0)),0,1/VLOOKUP(M30,Capa!A:Z,6,0))</f>
        <v>0</v>
      </c>
      <c r="R30" s="188">
        <f t="shared" si="6"/>
        <v>1.000001</v>
      </c>
      <c r="S30" s="189" t="str">
        <f t="shared" si="7"/>
        <v>#N/A</v>
      </c>
      <c r="U30" s="54">
        <v>25.0</v>
      </c>
      <c r="V30" s="184" t="str">
        <f t="shared" si="8"/>
        <v>#N/A</v>
      </c>
    </row>
    <row r="31">
      <c r="A31" s="190"/>
      <c r="B31" s="178" t="s">
        <v>3300</v>
      </c>
      <c r="C31" s="179" t="str">
        <f>VLOOKUP(B31,'Dados ClubeFII'!$A:$Z,26,0)</f>
        <v>#N/A</v>
      </c>
      <c r="D31" s="180" t="str">
        <f>VLOOKUP(B31,'Dados ClubeFII'!$A:$Z,20,0)/100</f>
        <v>#N/A</v>
      </c>
      <c r="E31" s="89" t="str">
        <f t="shared" si="1"/>
        <v>#N/A</v>
      </c>
      <c r="F31" s="181">
        <f>IF(ISERROR(1/VLOOKUP(B31,Capa!A:Z,13,0)),0,1/VLOOKUP(B31,Capa!A:Z,13,0))</f>
        <v>0</v>
      </c>
      <c r="G31" s="182">
        <f t="shared" si="2"/>
        <v>1.000001</v>
      </c>
      <c r="H31" s="183" t="str">
        <f t="shared" si="3"/>
        <v>#N/A</v>
      </c>
      <c r="J31" s="54">
        <v>26.0</v>
      </c>
      <c r="K31" s="184" t="str">
        <f t="shared" si="4"/>
        <v>#N/A</v>
      </c>
      <c r="M31" s="178" t="s">
        <v>3300</v>
      </c>
      <c r="N31" s="179" t="str">
        <f>VLOOKUP(M31,'Dados ClubeFII'!$A:$Z,26,0)</f>
        <v>#N/A</v>
      </c>
      <c r="O31" s="185" t="str">
        <f>VLOOKUP(M31,'Dados ClubeFII'!$A:$Z,18,0)/100</f>
        <v>#N/A</v>
      </c>
      <c r="P31" s="186" t="str">
        <f t="shared" si="5"/>
        <v>#N/A</v>
      </c>
      <c r="Q31" s="187">
        <f>IF(ISERROR(1/VLOOKUP(M31,Capa!A:Z,6,0)),0,1/VLOOKUP(M31,Capa!A:Z,6,0))</f>
        <v>0</v>
      </c>
      <c r="R31" s="188">
        <f t="shared" si="6"/>
        <v>1.000001</v>
      </c>
      <c r="S31" s="189" t="str">
        <f t="shared" si="7"/>
        <v>#N/A</v>
      </c>
      <c r="U31" s="54">
        <v>26.0</v>
      </c>
      <c r="V31" s="184" t="str">
        <f t="shared" si="8"/>
        <v>#N/A</v>
      </c>
    </row>
    <row r="32">
      <c r="A32" s="190"/>
      <c r="B32" s="178" t="s">
        <v>3301</v>
      </c>
      <c r="C32" s="179" t="str">
        <f>VLOOKUP(B32,'Dados ClubeFII'!$A:$Z,26,0)</f>
        <v>#N/A</v>
      </c>
      <c r="D32" s="180" t="str">
        <f>VLOOKUP(B32,'Dados ClubeFII'!$A:$Z,20,0)/100</f>
        <v>#N/A</v>
      </c>
      <c r="E32" s="89" t="str">
        <f t="shared" si="1"/>
        <v>#N/A</v>
      </c>
      <c r="F32" s="181">
        <f>IF(ISERROR(1/VLOOKUP(B32,Capa!A:Z,13,0)),0,1/VLOOKUP(B32,Capa!A:Z,13,0))</f>
        <v>0</v>
      </c>
      <c r="G32" s="182">
        <f t="shared" si="2"/>
        <v>1.000001</v>
      </c>
      <c r="H32" s="183" t="str">
        <f t="shared" si="3"/>
        <v>#N/A</v>
      </c>
      <c r="J32" s="54">
        <v>27.0</v>
      </c>
      <c r="K32" s="184" t="str">
        <f t="shared" si="4"/>
        <v>#N/A</v>
      </c>
      <c r="M32" s="178" t="s">
        <v>3301</v>
      </c>
      <c r="N32" s="179" t="str">
        <f>VLOOKUP(M32,'Dados ClubeFII'!$A:$Z,26,0)</f>
        <v>#N/A</v>
      </c>
      <c r="O32" s="185" t="str">
        <f>VLOOKUP(M32,'Dados ClubeFII'!$A:$Z,18,0)/100</f>
        <v>#N/A</v>
      </c>
      <c r="P32" s="186" t="str">
        <f t="shared" si="5"/>
        <v>#N/A</v>
      </c>
      <c r="Q32" s="187">
        <f>IF(ISERROR(1/VLOOKUP(M32,Capa!A:Z,6,0)),0,1/VLOOKUP(M32,Capa!A:Z,6,0))</f>
        <v>0</v>
      </c>
      <c r="R32" s="188">
        <f t="shared" si="6"/>
        <v>1.000001</v>
      </c>
      <c r="S32" s="189" t="str">
        <f t="shared" si="7"/>
        <v>#N/A</v>
      </c>
      <c r="U32" s="54">
        <v>27.0</v>
      </c>
      <c r="V32" s="184" t="str">
        <f t="shared" si="8"/>
        <v>#N/A</v>
      </c>
    </row>
    <row r="33">
      <c r="A33" s="190"/>
      <c r="B33" s="178" t="s">
        <v>3302</v>
      </c>
      <c r="C33" s="179" t="str">
        <f>VLOOKUP(B33,'Dados ClubeFII'!$A:$Z,26,0)</f>
        <v>#N/A</v>
      </c>
      <c r="D33" s="180" t="str">
        <f>VLOOKUP(B33,'Dados ClubeFII'!$A:$Z,20,0)/100</f>
        <v>#N/A</v>
      </c>
      <c r="E33" s="89" t="str">
        <f t="shared" si="1"/>
        <v>#N/A</v>
      </c>
      <c r="F33" s="181">
        <f>IF(ISERROR(1/VLOOKUP(B33,Capa!A:Z,13,0)),0,1/VLOOKUP(B33,Capa!A:Z,13,0))</f>
        <v>0</v>
      </c>
      <c r="G33" s="182">
        <f t="shared" si="2"/>
        <v>1.000001</v>
      </c>
      <c r="H33" s="183" t="str">
        <f t="shared" si="3"/>
        <v>#N/A</v>
      </c>
      <c r="J33" s="54">
        <v>28.0</v>
      </c>
      <c r="K33" s="184" t="str">
        <f t="shared" si="4"/>
        <v>#N/A</v>
      </c>
      <c r="M33" s="178" t="s">
        <v>3302</v>
      </c>
      <c r="N33" s="179" t="str">
        <f>VLOOKUP(M33,'Dados ClubeFII'!$A:$Z,26,0)</f>
        <v>#N/A</v>
      </c>
      <c r="O33" s="185" t="str">
        <f>VLOOKUP(M33,'Dados ClubeFII'!$A:$Z,18,0)/100</f>
        <v>#N/A</v>
      </c>
      <c r="P33" s="186" t="str">
        <f t="shared" si="5"/>
        <v>#N/A</v>
      </c>
      <c r="Q33" s="187">
        <f>IF(ISERROR(1/VLOOKUP(M33,Capa!A:Z,6,0)),0,1/VLOOKUP(M33,Capa!A:Z,6,0))</f>
        <v>0</v>
      </c>
      <c r="R33" s="188">
        <f t="shared" si="6"/>
        <v>1.000001</v>
      </c>
      <c r="S33" s="189" t="str">
        <f t="shared" si="7"/>
        <v>#N/A</v>
      </c>
      <c r="U33" s="54">
        <v>28.0</v>
      </c>
      <c r="V33" s="184" t="str">
        <f t="shared" si="8"/>
        <v>#N/A</v>
      </c>
    </row>
    <row r="34">
      <c r="A34" s="190"/>
      <c r="B34" s="178" t="s">
        <v>3303</v>
      </c>
      <c r="C34" s="179" t="str">
        <f>VLOOKUP(B34,'Dados ClubeFII'!$A:$Z,26,0)</f>
        <v>#N/A</v>
      </c>
      <c r="D34" s="180" t="str">
        <f>VLOOKUP(B34,'Dados ClubeFII'!$A:$Z,20,0)/100</f>
        <v>#N/A</v>
      </c>
      <c r="E34" s="89" t="str">
        <f t="shared" si="1"/>
        <v>#N/A</v>
      </c>
      <c r="F34" s="181">
        <f>IF(ISERROR(1/VLOOKUP(B34,Capa!A:Z,13,0)),0,1/VLOOKUP(B34,Capa!A:Z,13,0))</f>
        <v>0</v>
      </c>
      <c r="G34" s="182">
        <f t="shared" si="2"/>
        <v>1.000001</v>
      </c>
      <c r="H34" s="183" t="str">
        <f t="shared" si="3"/>
        <v>#N/A</v>
      </c>
      <c r="J34" s="54">
        <v>29.0</v>
      </c>
      <c r="K34" s="184" t="str">
        <f t="shared" si="4"/>
        <v>#N/A</v>
      </c>
      <c r="M34" s="178" t="s">
        <v>3303</v>
      </c>
      <c r="N34" s="179" t="str">
        <f>VLOOKUP(M34,'Dados ClubeFII'!$A:$Z,26,0)</f>
        <v>#N/A</v>
      </c>
      <c r="O34" s="185" t="str">
        <f>VLOOKUP(M34,'Dados ClubeFII'!$A:$Z,18,0)/100</f>
        <v>#N/A</v>
      </c>
      <c r="P34" s="186" t="str">
        <f t="shared" si="5"/>
        <v>#N/A</v>
      </c>
      <c r="Q34" s="187">
        <f>IF(ISERROR(1/VLOOKUP(M34,Capa!A:Z,6,0)),0,1/VLOOKUP(M34,Capa!A:Z,6,0))</f>
        <v>0</v>
      </c>
      <c r="R34" s="188">
        <f t="shared" si="6"/>
        <v>1.000001</v>
      </c>
      <c r="S34" s="189" t="str">
        <f t="shared" si="7"/>
        <v>#N/A</v>
      </c>
      <c r="U34" s="54">
        <v>29.0</v>
      </c>
      <c r="V34" s="184" t="str">
        <f t="shared" si="8"/>
        <v>#N/A</v>
      </c>
    </row>
    <row r="35">
      <c r="A35" s="190"/>
      <c r="B35" s="178" t="s">
        <v>3304</v>
      </c>
      <c r="C35" s="179" t="str">
        <f>VLOOKUP(B35,'Dados ClubeFII'!$A:$Z,26,0)</f>
        <v>#N/A</v>
      </c>
      <c r="D35" s="180" t="str">
        <f>VLOOKUP(B35,'Dados ClubeFII'!$A:$Z,20,0)/100</f>
        <v>#N/A</v>
      </c>
      <c r="E35" s="89" t="str">
        <f t="shared" si="1"/>
        <v>#N/A</v>
      </c>
      <c r="F35" s="181">
        <f>IF(ISERROR(1/VLOOKUP(B35,Capa!A:Z,13,0)),0,1/VLOOKUP(B35,Capa!A:Z,13,0))</f>
        <v>0</v>
      </c>
      <c r="G35" s="182">
        <f t="shared" si="2"/>
        <v>1.000001</v>
      </c>
      <c r="H35" s="183" t="str">
        <f t="shared" si="3"/>
        <v>#N/A</v>
      </c>
      <c r="J35" s="54">
        <v>30.0</v>
      </c>
      <c r="K35" s="184" t="str">
        <f t="shared" si="4"/>
        <v>#N/A</v>
      </c>
      <c r="M35" s="178" t="s">
        <v>3304</v>
      </c>
      <c r="N35" s="179" t="str">
        <f>VLOOKUP(M35,'Dados ClubeFII'!$A:$Z,26,0)</f>
        <v>#N/A</v>
      </c>
      <c r="O35" s="185" t="str">
        <f>VLOOKUP(M35,'Dados ClubeFII'!$A:$Z,18,0)/100</f>
        <v>#N/A</v>
      </c>
      <c r="P35" s="186" t="str">
        <f t="shared" si="5"/>
        <v>#N/A</v>
      </c>
      <c r="Q35" s="187">
        <f>IF(ISERROR(1/VLOOKUP(M35,Capa!A:Z,6,0)),0,1/VLOOKUP(M35,Capa!A:Z,6,0))</f>
        <v>0</v>
      </c>
      <c r="R35" s="188">
        <f t="shared" si="6"/>
        <v>1.000001</v>
      </c>
      <c r="S35" s="189" t="str">
        <f t="shared" si="7"/>
        <v>#N/A</v>
      </c>
      <c r="U35" s="54">
        <v>30.0</v>
      </c>
      <c r="V35" s="184" t="str">
        <f t="shared" si="8"/>
        <v>#N/A</v>
      </c>
    </row>
    <row r="36">
      <c r="A36" s="190"/>
      <c r="B36" s="178" t="s">
        <v>3305</v>
      </c>
      <c r="C36" s="179" t="str">
        <f>VLOOKUP(B36,'Dados ClubeFII'!$A:$Z,26,0)</f>
        <v>#N/A</v>
      </c>
      <c r="D36" s="180" t="str">
        <f>VLOOKUP(B36,'Dados ClubeFII'!$A:$Z,20,0)/100</f>
        <v>#N/A</v>
      </c>
      <c r="E36" s="89" t="str">
        <f t="shared" si="1"/>
        <v>#N/A</v>
      </c>
      <c r="F36" s="181">
        <f>IF(ISERROR(1/VLOOKUP(B36,Capa!A:Z,13,0)),0,1/VLOOKUP(B36,Capa!A:Z,13,0))</f>
        <v>0</v>
      </c>
      <c r="G36" s="182">
        <f t="shared" si="2"/>
        <v>1.000001</v>
      </c>
      <c r="H36" s="183" t="str">
        <f t="shared" si="3"/>
        <v>#N/A</v>
      </c>
      <c r="J36" s="54">
        <v>31.0</v>
      </c>
      <c r="K36" s="184" t="str">
        <f t="shared" si="4"/>
        <v>#N/A</v>
      </c>
      <c r="M36" s="178" t="s">
        <v>3305</v>
      </c>
      <c r="N36" s="179" t="str">
        <f>VLOOKUP(M36,'Dados ClubeFII'!$A:$Z,26,0)</f>
        <v>#N/A</v>
      </c>
      <c r="O36" s="185" t="str">
        <f>VLOOKUP(M36,'Dados ClubeFII'!$A:$Z,18,0)/100</f>
        <v>#N/A</v>
      </c>
      <c r="P36" s="186" t="str">
        <f t="shared" si="5"/>
        <v>#N/A</v>
      </c>
      <c r="Q36" s="187">
        <f>IF(ISERROR(1/VLOOKUP(M36,Capa!A:Z,6,0)),0,1/VLOOKUP(M36,Capa!A:Z,6,0))</f>
        <v>0</v>
      </c>
      <c r="R36" s="188">
        <f t="shared" si="6"/>
        <v>1.000001</v>
      </c>
      <c r="S36" s="189" t="str">
        <f t="shared" si="7"/>
        <v>#N/A</v>
      </c>
      <c r="U36" s="54">
        <v>31.0</v>
      </c>
      <c r="V36" s="184" t="str">
        <f t="shared" si="8"/>
        <v>#N/A</v>
      </c>
    </row>
    <row r="37">
      <c r="A37" s="190"/>
      <c r="B37" s="178" t="s">
        <v>3306</v>
      </c>
      <c r="C37" s="179" t="str">
        <f>VLOOKUP(B37,'Dados ClubeFII'!$A:$Z,26,0)</f>
        <v>#N/A</v>
      </c>
      <c r="D37" s="180" t="str">
        <f>VLOOKUP(B37,'Dados ClubeFII'!$A:$Z,20,0)/100</f>
        <v>#N/A</v>
      </c>
      <c r="E37" s="89" t="str">
        <f t="shared" si="1"/>
        <v>#N/A</v>
      </c>
      <c r="F37" s="181">
        <f>IF(ISERROR(1/VLOOKUP(B37,Capa!A:Z,13,0)),0,1/VLOOKUP(B37,Capa!A:Z,13,0))</f>
        <v>0</v>
      </c>
      <c r="G37" s="182">
        <f t="shared" si="2"/>
        <v>1.000001</v>
      </c>
      <c r="H37" s="183" t="str">
        <f t="shared" si="3"/>
        <v>#N/A</v>
      </c>
      <c r="J37" s="54">
        <v>32.0</v>
      </c>
      <c r="K37" s="184" t="str">
        <f t="shared" si="4"/>
        <v>#N/A</v>
      </c>
      <c r="M37" s="178" t="s">
        <v>3306</v>
      </c>
      <c r="N37" s="179" t="str">
        <f>VLOOKUP(M37,'Dados ClubeFII'!$A:$Z,26,0)</f>
        <v>#N/A</v>
      </c>
      <c r="O37" s="185" t="str">
        <f>VLOOKUP(M37,'Dados ClubeFII'!$A:$Z,18,0)/100</f>
        <v>#N/A</v>
      </c>
      <c r="P37" s="186" t="str">
        <f t="shared" si="5"/>
        <v>#N/A</v>
      </c>
      <c r="Q37" s="187">
        <f>IF(ISERROR(1/VLOOKUP(M37,Capa!A:Z,6,0)),0,1/VLOOKUP(M37,Capa!A:Z,6,0))</f>
        <v>0</v>
      </c>
      <c r="R37" s="188">
        <f t="shared" si="6"/>
        <v>1.000001</v>
      </c>
      <c r="S37" s="189" t="str">
        <f t="shared" si="7"/>
        <v>#N/A</v>
      </c>
      <c r="U37" s="54">
        <v>32.0</v>
      </c>
      <c r="V37" s="184" t="str">
        <f t="shared" si="8"/>
        <v>#N/A</v>
      </c>
    </row>
    <row r="38">
      <c r="A38" s="190"/>
      <c r="B38" s="178" t="s">
        <v>3307</v>
      </c>
      <c r="C38" s="179" t="str">
        <f>VLOOKUP(B38,'Dados ClubeFII'!$A:$Z,26,0)</f>
        <v>#N/A</v>
      </c>
      <c r="D38" s="180" t="str">
        <f>VLOOKUP(B38,'Dados ClubeFII'!$A:$Z,20,0)/100</f>
        <v>#N/A</v>
      </c>
      <c r="E38" s="89" t="str">
        <f t="shared" si="1"/>
        <v>#N/A</v>
      </c>
      <c r="F38" s="181">
        <f>IF(ISERROR(1/VLOOKUP(B38,Capa!A:Z,13,0)),0,1/VLOOKUP(B38,Capa!A:Z,13,0))</f>
        <v>0</v>
      </c>
      <c r="G38" s="182">
        <f t="shared" si="2"/>
        <v>1.000001</v>
      </c>
      <c r="H38" s="183" t="str">
        <f t="shared" si="3"/>
        <v>#N/A</v>
      </c>
      <c r="J38" s="54">
        <v>33.0</v>
      </c>
      <c r="K38" s="184" t="str">
        <f t="shared" si="4"/>
        <v>#N/A</v>
      </c>
      <c r="M38" s="178" t="s">
        <v>3307</v>
      </c>
      <c r="N38" s="179" t="str">
        <f>VLOOKUP(M38,'Dados ClubeFII'!$A:$Z,26,0)</f>
        <v>#N/A</v>
      </c>
      <c r="O38" s="185" t="str">
        <f>VLOOKUP(M38,'Dados ClubeFII'!$A:$Z,18,0)/100</f>
        <v>#N/A</v>
      </c>
      <c r="P38" s="186" t="str">
        <f t="shared" si="5"/>
        <v>#N/A</v>
      </c>
      <c r="Q38" s="187">
        <f>IF(ISERROR(1/VLOOKUP(M38,Capa!A:Z,6,0)),0,1/VLOOKUP(M38,Capa!A:Z,6,0))</f>
        <v>0</v>
      </c>
      <c r="R38" s="188">
        <f t="shared" si="6"/>
        <v>1.000001</v>
      </c>
      <c r="S38" s="189" t="str">
        <f t="shared" si="7"/>
        <v>#N/A</v>
      </c>
      <c r="U38" s="54">
        <v>33.0</v>
      </c>
      <c r="V38" s="184" t="str">
        <f t="shared" si="8"/>
        <v>#N/A</v>
      </c>
    </row>
    <row r="39">
      <c r="A39" s="190"/>
      <c r="B39" s="178" t="s">
        <v>3308</v>
      </c>
      <c r="C39" s="179" t="str">
        <f>VLOOKUP(B39,'Dados ClubeFII'!$A:$Z,26,0)</f>
        <v>#N/A</v>
      </c>
      <c r="D39" s="180" t="str">
        <f>VLOOKUP(B39,'Dados ClubeFII'!$A:$Z,20,0)/100</f>
        <v>#N/A</v>
      </c>
      <c r="E39" s="89" t="str">
        <f t="shared" si="1"/>
        <v>#N/A</v>
      </c>
      <c r="F39" s="181">
        <f>IF(ISERROR(1/VLOOKUP(B39,Capa!A:Z,13,0)),0,1/VLOOKUP(B39,Capa!A:Z,13,0))</f>
        <v>0</v>
      </c>
      <c r="G39" s="182">
        <f t="shared" si="2"/>
        <v>1.000001</v>
      </c>
      <c r="H39" s="183" t="str">
        <f t="shared" si="3"/>
        <v>#N/A</v>
      </c>
      <c r="J39" s="54">
        <v>34.0</v>
      </c>
      <c r="K39" s="184" t="str">
        <f t="shared" si="4"/>
        <v>#N/A</v>
      </c>
      <c r="M39" s="178" t="s">
        <v>3308</v>
      </c>
      <c r="N39" s="179" t="str">
        <f>VLOOKUP(M39,'Dados ClubeFII'!$A:$Z,26,0)</f>
        <v>#N/A</v>
      </c>
      <c r="O39" s="185" t="str">
        <f>VLOOKUP(M39,'Dados ClubeFII'!$A:$Z,18,0)/100</f>
        <v>#N/A</v>
      </c>
      <c r="P39" s="186" t="str">
        <f t="shared" si="5"/>
        <v>#N/A</v>
      </c>
      <c r="Q39" s="187">
        <f>IF(ISERROR(1/VLOOKUP(M39,Capa!A:Z,6,0)),0,1/VLOOKUP(M39,Capa!A:Z,6,0))</f>
        <v>0</v>
      </c>
      <c r="R39" s="188">
        <f t="shared" si="6"/>
        <v>1.000001</v>
      </c>
      <c r="S39" s="189" t="str">
        <f t="shared" si="7"/>
        <v>#N/A</v>
      </c>
      <c r="U39" s="54">
        <v>34.0</v>
      </c>
      <c r="V39" s="184" t="str">
        <f t="shared" si="8"/>
        <v>#N/A</v>
      </c>
    </row>
    <row r="40">
      <c r="A40" s="190"/>
      <c r="B40" s="178" t="s">
        <v>3309</v>
      </c>
      <c r="C40" s="179" t="str">
        <f>VLOOKUP(B40,'Dados ClubeFII'!$A:$Z,26,0)</f>
        <v>#N/A</v>
      </c>
      <c r="D40" s="180" t="str">
        <f>VLOOKUP(B40,'Dados ClubeFII'!$A:$Z,20,0)/100</f>
        <v>#N/A</v>
      </c>
      <c r="E40" s="89" t="str">
        <f t="shared" si="1"/>
        <v>#N/A</v>
      </c>
      <c r="F40" s="181">
        <f>IF(ISERROR(1/VLOOKUP(B40,Capa!A:Z,13,0)),0,1/VLOOKUP(B40,Capa!A:Z,13,0))</f>
        <v>0</v>
      </c>
      <c r="G40" s="182">
        <f t="shared" si="2"/>
        <v>1.000001</v>
      </c>
      <c r="H40" s="183" t="str">
        <f t="shared" si="3"/>
        <v>#N/A</v>
      </c>
      <c r="J40" s="54">
        <v>35.0</v>
      </c>
      <c r="K40" s="184" t="str">
        <f t="shared" si="4"/>
        <v>#N/A</v>
      </c>
      <c r="M40" s="178" t="s">
        <v>3309</v>
      </c>
      <c r="N40" s="179" t="str">
        <f>VLOOKUP(M40,'Dados ClubeFII'!$A:$Z,26,0)</f>
        <v>#N/A</v>
      </c>
      <c r="O40" s="185" t="str">
        <f>VLOOKUP(M40,'Dados ClubeFII'!$A:$Z,18,0)/100</f>
        <v>#N/A</v>
      </c>
      <c r="P40" s="186" t="str">
        <f t="shared" si="5"/>
        <v>#N/A</v>
      </c>
      <c r="Q40" s="187">
        <f>IF(ISERROR(1/VLOOKUP(M40,Capa!A:Z,6,0)),0,1/VLOOKUP(M40,Capa!A:Z,6,0))</f>
        <v>0</v>
      </c>
      <c r="R40" s="188">
        <f t="shared" si="6"/>
        <v>1.000001</v>
      </c>
      <c r="S40" s="189" t="str">
        <f t="shared" si="7"/>
        <v>#N/A</v>
      </c>
      <c r="U40" s="54">
        <v>35.0</v>
      </c>
      <c r="V40" s="184" t="str">
        <f t="shared" si="8"/>
        <v>#N/A</v>
      </c>
    </row>
    <row r="41">
      <c r="A41" s="190"/>
      <c r="B41" s="178" t="s">
        <v>3310</v>
      </c>
      <c r="C41" s="179" t="str">
        <f>VLOOKUP(B41,'Dados ClubeFII'!$A:$Z,26,0)</f>
        <v>#N/A</v>
      </c>
      <c r="D41" s="180" t="str">
        <f>VLOOKUP(B41,'Dados ClubeFII'!$A:$Z,20,0)/100</f>
        <v>#N/A</v>
      </c>
      <c r="E41" s="89" t="str">
        <f t="shared" si="1"/>
        <v>#N/A</v>
      </c>
      <c r="F41" s="181">
        <f>IF(ISERROR(1/VLOOKUP(B41,Capa!A:Z,13,0)),0,1/VLOOKUP(B41,Capa!A:Z,13,0))</f>
        <v>0</v>
      </c>
      <c r="G41" s="182">
        <f t="shared" si="2"/>
        <v>1.000001</v>
      </c>
      <c r="H41" s="183" t="str">
        <f t="shared" si="3"/>
        <v>#N/A</v>
      </c>
      <c r="J41" s="54">
        <v>36.0</v>
      </c>
      <c r="K41" s="184" t="str">
        <f t="shared" si="4"/>
        <v>#N/A</v>
      </c>
      <c r="M41" s="178" t="s">
        <v>3310</v>
      </c>
      <c r="N41" s="179" t="str">
        <f>VLOOKUP(M41,'Dados ClubeFII'!$A:$Z,26,0)</f>
        <v>#N/A</v>
      </c>
      <c r="O41" s="185" t="str">
        <f>VLOOKUP(M41,'Dados ClubeFII'!$A:$Z,18,0)/100</f>
        <v>#N/A</v>
      </c>
      <c r="P41" s="186" t="str">
        <f t="shared" si="5"/>
        <v>#N/A</v>
      </c>
      <c r="Q41" s="187">
        <f>IF(ISERROR(1/VLOOKUP(M41,Capa!A:Z,6,0)),0,1/VLOOKUP(M41,Capa!A:Z,6,0))</f>
        <v>0</v>
      </c>
      <c r="R41" s="188">
        <f t="shared" si="6"/>
        <v>1.000001</v>
      </c>
      <c r="S41" s="189" t="str">
        <f t="shared" si="7"/>
        <v>#N/A</v>
      </c>
      <c r="U41" s="54">
        <v>36.0</v>
      </c>
      <c r="V41" s="184" t="str">
        <f t="shared" si="8"/>
        <v>#N/A</v>
      </c>
    </row>
    <row r="42">
      <c r="A42" s="190"/>
      <c r="B42" s="178" t="s">
        <v>3311</v>
      </c>
      <c r="C42" s="179" t="str">
        <f>VLOOKUP(B42,'Dados ClubeFII'!$A:$Z,26,0)</f>
        <v>#N/A</v>
      </c>
      <c r="D42" s="180" t="str">
        <f>VLOOKUP(B42,'Dados ClubeFII'!$A:$Z,20,0)/100</f>
        <v>#N/A</v>
      </c>
      <c r="E42" s="89" t="str">
        <f t="shared" si="1"/>
        <v>#N/A</v>
      </c>
      <c r="F42" s="181">
        <f>IF(ISERROR(1/VLOOKUP(B42,Capa!A:Z,13,0)),0,1/VLOOKUP(B42,Capa!A:Z,13,0))</f>
        <v>0</v>
      </c>
      <c r="G42" s="182">
        <f t="shared" si="2"/>
        <v>1.000001</v>
      </c>
      <c r="H42" s="183" t="str">
        <f t="shared" si="3"/>
        <v>#N/A</v>
      </c>
      <c r="J42" s="54">
        <v>37.0</v>
      </c>
      <c r="K42" s="184" t="str">
        <f t="shared" si="4"/>
        <v>#N/A</v>
      </c>
      <c r="M42" s="178" t="s">
        <v>3311</v>
      </c>
      <c r="N42" s="179" t="str">
        <f>VLOOKUP(M42,'Dados ClubeFII'!$A:$Z,26,0)</f>
        <v>#N/A</v>
      </c>
      <c r="O42" s="185" t="str">
        <f>VLOOKUP(M42,'Dados ClubeFII'!$A:$Z,18,0)/100</f>
        <v>#N/A</v>
      </c>
      <c r="P42" s="186" t="str">
        <f t="shared" si="5"/>
        <v>#N/A</v>
      </c>
      <c r="Q42" s="187">
        <f>IF(ISERROR(1/VLOOKUP(M42,Capa!A:Z,6,0)),0,1/VLOOKUP(M42,Capa!A:Z,6,0))</f>
        <v>0</v>
      </c>
      <c r="R42" s="188">
        <f t="shared" si="6"/>
        <v>1.000001</v>
      </c>
      <c r="S42" s="189" t="str">
        <f t="shared" si="7"/>
        <v>#N/A</v>
      </c>
      <c r="U42" s="54">
        <v>37.0</v>
      </c>
      <c r="V42" s="184" t="str">
        <f t="shared" si="8"/>
        <v>#N/A</v>
      </c>
    </row>
    <row r="43">
      <c r="A43" s="190"/>
      <c r="B43" s="178" t="s">
        <v>3312</v>
      </c>
      <c r="C43" s="179" t="str">
        <f>VLOOKUP(B43,'Dados ClubeFII'!$A:$Z,26,0)</f>
        <v>#N/A</v>
      </c>
      <c r="D43" s="180" t="str">
        <f>VLOOKUP(B43,'Dados ClubeFII'!$A:$Z,20,0)/100</f>
        <v>#N/A</v>
      </c>
      <c r="E43" s="89" t="str">
        <f t="shared" si="1"/>
        <v>#N/A</v>
      </c>
      <c r="F43" s="181">
        <f>IF(ISERROR(1/VLOOKUP(B43,Capa!A:Z,13,0)),0,1/VLOOKUP(B43,Capa!A:Z,13,0))</f>
        <v>0</v>
      </c>
      <c r="G43" s="182">
        <f t="shared" si="2"/>
        <v>1.000001</v>
      </c>
      <c r="H43" s="183" t="str">
        <f t="shared" si="3"/>
        <v>#N/A</v>
      </c>
      <c r="J43" s="54">
        <v>38.0</v>
      </c>
      <c r="K43" s="184" t="str">
        <f t="shared" si="4"/>
        <v>#N/A</v>
      </c>
      <c r="M43" s="178" t="s">
        <v>3312</v>
      </c>
      <c r="N43" s="179" t="str">
        <f>VLOOKUP(M43,'Dados ClubeFII'!$A:$Z,26,0)</f>
        <v>#N/A</v>
      </c>
      <c r="O43" s="185" t="str">
        <f>VLOOKUP(M43,'Dados ClubeFII'!$A:$Z,18,0)/100</f>
        <v>#N/A</v>
      </c>
      <c r="P43" s="186" t="str">
        <f t="shared" si="5"/>
        <v>#N/A</v>
      </c>
      <c r="Q43" s="187">
        <f>IF(ISERROR(1/VLOOKUP(M43,Capa!A:Z,6,0)),0,1/VLOOKUP(M43,Capa!A:Z,6,0))</f>
        <v>0</v>
      </c>
      <c r="R43" s="188">
        <f t="shared" si="6"/>
        <v>1.000001</v>
      </c>
      <c r="S43" s="189" t="str">
        <f t="shared" si="7"/>
        <v>#N/A</v>
      </c>
      <c r="U43" s="54">
        <v>38.0</v>
      </c>
      <c r="V43" s="184" t="str">
        <f t="shared" si="8"/>
        <v>#N/A</v>
      </c>
    </row>
    <row r="44">
      <c r="A44" s="190"/>
      <c r="B44" s="178" t="s">
        <v>3313</v>
      </c>
      <c r="C44" s="179" t="str">
        <f>VLOOKUP(B44,'Dados ClubeFII'!$A:$Z,26,0)</f>
        <v>#N/A</v>
      </c>
      <c r="D44" s="180" t="str">
        <f>VLOOKUP(B44,'Dados ClubeFII'!$A:$Z,20,0)/100</f>
        <v>#N/A</v>
      </c>
      <c r="E44" s="89" t="str">
        <f t="shared" si="1"/>
        <v>#N/A</v>
      </c>
      <c r="F44" s="181">
        <f>IF(ISERROR(1/VLOOKUP(B44,Capa!A:Z,13,0)),0,1/VLOOKUP(B44,Capa!A:Z,13,0))</f>
        <v>0</v>
      </c>
      <c r="G44" s="182">
        <f t="shared" si="2"/>
        <v>1.000001</v>
      </c>
      <c r="H44" s="183" t="str">
        <f t="shared" si="3"/>
        <v>#N/A</v>
      </c>
      <c r="J44" s="54">
        <v>39.0</v>
      </c>
      <c r="K44" s="184" t="str">
        <f t="shared" si="4"/>
        <v>#N/A</v>
      </c>
      <c r="M44" s="178" t="s">
        <v>3313</v>
      </c>
      <c r="N44" s="179" t="str">
        <f>VLOOKUP(M44,'Dados ClubeFII'!$A:$Z,26,0)</f>
        <v>#N/A</v>
      </c>
      <c r="O44" s="185" t="str">
        <f>VLOOKUP(M44,'Dados ClubeFII'!$A:$Z,18,0)/100</f>
        <v>#N/A</v>
      </c>
      <c r="P44" s="186" t="str">
        <f t="shared" si="5"/>
        <v>#N/A</v>
      </c>
      <c r="Q44" s="187">
        <f>IF(ISERROR(1/VLOOKUP(M44,Capa!A:Z,6,0)),0,1/VLOOKUP(M44,Capa!A:Z,6,0))</f>
        <v>0</v>
      </c>
      <c r="R44" s="188">
        <f t="shared" si="6"/>
        <v>1.000001</v>
      </c>
      <c r="S44" s="189" t="str">
        <f t="shared" si="7"/>
        <v>#N/A</v>
      </c>
      <c r="U44" s="54">
        <v>39.0</v>
      </c>
      <c r="V44" s="184" t="str">
        <f t="shared" si="8"/>
        <v>#N/A</v>
      </c>
    </row>
    <row r="45">
      <c r="A45" s="190"/>
      <c r="B45" s="178" t="s">
        <v>3314</v>
      </c>
      <c r="C45" s="179" t="str">
        <f>VLOOKUP(B45,'Dados ClubeFII'!$A:$Z,26,0)</f>
        <v>#N/A</v>
      </c>
      <c r="D45" s="180" t="str">
        <f>VLOOKUP(B45,'Dados ClubeFII'!$A:$Z,20,0)/100</f>
        <v>#N/A</v>
      </c>
      <c r="E45" s="89" t="str">
        <f t="shared" si="1"/>
        <v>#N/A</v>
      </c>
      <c r="F45" s="181">
        <f>IF(ISERROR(1/VLOOKUP(B45,Capa!A:Z,13,0)),0,1/VLOOKUP(B45,Capa!A:Z,13,0))</f>
        <v>0</v>
      </c>
      <c r="G45" s="182">
        <f t="shared" si="2"/>
        <v>1.000001</v>
      </c>
      <c r="H45" s="183" t="str">
        <f t="shared" si="3"/>
        <v>#N/A</v>
      </c>
      <c r="J45" s="54">
        <v>40.0</v>
      </c>
      <c r="K45" s="184" t="str">
        <f t="shared" si="4"/>
        <v>#N/A</v>
      </c>
      <c r="M45" s="178" t="s">
        <v>3314</v>
      </c>
      <c r="N45" s="179" t="str">
        <f>VLOOKUP(M45,'Dados ClubeFII'!$A:$Z,26,0)</f>
        <v>#N/A</v>
      </c>
      <c r="O45" s="185" t="str">
        <f>VLOOKUP(M45,'Dados ClubeFII'!$A:$Z,18,0)/100</f>
        <v>#N/A</v>
      </c>
      <c r="P45" s="186" t="str">
        <f t="shared" si="5"/>
        <v>#N/A</v>
      </c>
      <c r="Q45" s="187">
        <f>IF(ISERROR(1/VLOOKUP(M45,Capa!A:Z,6,0)),0,1/VLOOKUP(M45,Capa!A:Z,6,0))</f>
        <v>0</v>
      </c>
      <c r="R45" s="188">
        <f t="shared" si="6"/>
        <v>1.000001</v>
      </c>
      <c r="S45" s="189" t="str">
        <f t="shared" si="7"/>
        <v>#N/A</v>
      </c>
      <c r="U45" s="54">
        <v>40.0</v>
      </c>
      <c r="V45" s="184" t="str">
        <f t="shared" si="8"/>
        <v>#N/A</v>
      </c>
    </row>
    <row r="46">
      <c r="A46" s="190"/>
      <c r="B46" s="178" t="s">
        <v>3315</v>
      </c>
      <c r="C46" s="179" t="str">
        <f>VLOOKUP(B46,'Dados ClubeFII'!$A:$Z,26,0)</f>
        <v>#N/A</v>
      </c>
      <c r="D46" s="180" t="str">
        <f>VLOOKUP(B46,'Dados ClubeFII'!$A:$Z,20,0)/100</f>
        <v>#N/A</v>
      </c>
      <c r="E46" s="89" t="str">
        <f t="shared" si="1"/>
        <v>#N/A</v>
      </c>
      <c r="F46" s="181">
        <f>IF(ISERROR(1/VLOOKUP(B46,Capa!A:Z,13,0)),0,1/VLOOKUP(B46,Capa!A:Z,13,0))</f>
        <v>0</v>
      </c>
      <c r="G46" s="182">
        <f t="shared" si="2"/>
        <v>1.000001</v>
      </c>
      <c r="H46" s="183" t="str">
        <f t="shared" si="3"/>
        <v>#N/A</v>
      </c>
      <c r="J46" s="54"/>
      <c r="M46" s="178" t="s">
        <v>3315</v>
      </c>
      <c r="N46" s="179" t="str">
        <f>VLOOKUP(M46,'Dados ClubeFII'!$A:$Z,26,0)</f>
        <v>#N/A</v>
      </c>
      <c r="O46" s="185" t="str">
        <f>VLOOKUP(M46,'Dados ClubeFII'!$A:$Z,18,0)/100</f>
        <v>#N/A</v>
      </c>
      <c r="P46" s="186" t="str">
        <f t="shared" si="5"/>
        <v>#N/A</v>
      </c>
      <c r="Q46" s="187">
        <f>IF(ISERROR(1/VLOOKUP(M46,Capa!A:Z,6,0)),0,1/VLOOKUP(M46,Capa!A:Z,6,0))</f>
        <v>0</v>
      </c>
      <c r="R46" s="188">
        <f t="shared" si="6"/>
        <v>1.000001</v>
      </c>
      <c r="S46" s="189" t="str">
        <f t="shared" si="7"/>
        <v>#N/A</v>
      </c>
    </row>
    <row r="47">
      <c r="A47" s="190"/>
      <c r="B47" s="178" t="s">
        <v>3316</v>
      </c>
      <c r="C47" s="179" t="str">
        <f>VLOOKUP(B47,'Dados ClubeFII'!$A:$Z,26,0)</f>
        <v>#N/A</v>
      </c>
      <c r="D47" s="180" t="str">
        <f>VLOOKUP(B47,'Dados ClubeFII'!$A:$Z,20,0)/100</f>
        <v>#N/A</v>
      </c>
      <c r="E47" s="89" t="str">
        <f t="shared" si="1"/>
        <v>#N/A</v>
      </c>
      <c r="F47" s="181">
        <f>IF(ISERROR(1/VLOOKUP(B47,Capa!A:Z,13,0)),0,1/VLOOKUP(B47,Capa!A:Z,13,0))</f>
        <v>0</v>
      </c>
      <c r="G47" s="182">
        <f t="shared" si="2"/>
        <v>1.000001</v>
      </c>
      <c r="H47" s="183" t="str">
        <f t="shared" si="3"/>
        <v>#N/A</v>
      </c>
      <c r="J47" s="54"/>
      <c r="M47" s="178" t="s">
        <v>3316</v>
      </c>
      <c r="N47" s="179" t="str">
        <f>VLOOKUP(M47,'Dados ClubeFII'!$A:$Z,26,0)</f>
        <v>#N/A</v>
      </c>
      <c r="O47" s="185" t="str">
        <f>VLOOKUP(M47,'Dados ClubeFII'!$A:$Z,18,0)/100</f>
        <v>#N/A</v>
      </c>
      <c r="P47" s="186" t="str">
        <f t="shared" si="5"/>
        <v>#N/A</v>
      </c>
      <c r="Q47" s="187">
        <f>IF(ISERROR(1/VLOOKUP(M47,Capa!A:Z,6,0)),0,1/VLOOKUP(M47,Capa!A:Z,6,0))</f>
        <v>0</v>
      </c>
      <c r="R47" s="188">
        <f t="shared" si="6"/>
        <v>1.000001</v>
      </c>
      <c r="S47" s="189" t="str">
        <f t="shared" si="7"/>
        <v>#N/A</v>
      </c>
    </row>
    <row r="48">
      <c r="A48" s="190"/>
      <c r="B48" s="178" t="s">
        <v>3317</v>
      </c>
      <c r="C48" s="179" t="str">
        <f>VLOOKUP(B48,'Dados ClubeFII'!$A:$Z,26,0)</f>
        <v>#N/A</v>
      </c>
      <c r="D48" s="180" t="str">
        <f>VLOOKUP(B48,'Dados ClubeFII'!$A:$Z,20,0)/100</f>
        <v>#N/A</v>
      </c>
      <c r="E48" s="89" t="str">
        <f t="shared" si="1"/>
        <v>#N/A</v>
      </c>
      <c r="F48" s="181">
        <f>IF(ISERROR(1/VLOOKUP(B48,Capa!A:Z,13,0)),0,1/VLOOKUP(B48,Capa!A:Z,13,0))</f>
        <v>0</v>
      </c>
      <c r="G48" s="182">
        <f t="shared" si="2"/>
        <v>1.000001</v>
      </c>
      <c r="H48" s="183" t="str">
        <f t="shared" si="3"/>
        <v>#N/A</v>
      </c>
      <c r="J48" s="54"/>
      <c r="M48" s="178" t="s">
        <v>3317</v>
      </c>
      <c r="N48" s="179" t="str">
        <f>VLOOKUP(M48,'Dados ClubeFII'!$A:$Z,26,0)</f>
        <v>#N/A</v>
      </c>
      <c r="O48" s="185" t="str">
        <f>VLOOKUP(M48,'Dados ClubeFII'!$A:$Z,18,0)/100</f>
        <v>#N/A</v>
      </c>
      <c r="P48" s="186" t="str">
        <f t="shared" si="5"/>
        <v>#N/A</v>
      </c>
      <c r="Q48" s="187">
        <f>IF(ISERROR(1/VLOOKUP(M48,Capa!A:Z,6,0)),0,1/VLOOKUP(M48,Capa!A:Z,6,0))</f>
        <v>0</v>
      </c>
      <c r="R48" s="188">
        <f t="shared" si="6"/>
        <v>1.000001</v>
      </c>
      <c r="S48" s="189" t="str">
        <f t="shared" si="7"/>
        <v>#N/A</v>
      </c>
    </row>
    <row r="49">
      <c r="A49" s="190"/>
      <c r="B49" s="178" t="s">
        <v>3318</v>
      </c>
      <c r="C49" s="179" t="str">
        <f>VLOOKUP(B49,'Dados ClubeFII'!$A:$Z,26,0)</f>
        <v>#N/A</v>
      </c>
      <c r="D49" s="180" t="str">
        <f>VLOOKUP(B49,'Dados ClubeFII'!$A:$Z,20,0)/100</f>
        <v>#N/A</v>
      </c>
      <c r="E49" s="89" t="str">
        <f t="shared" si="1"/>
        <v>#N/A</v>
      </c>
      <c r="F49" s="181">
        <f>IF(ISERROR(1/VLOOKUP(B49,Capa!A:Z,13,0)),0,1/VLOOKUP(B49,Capa!A:Z,13,0))</f>
        <v>0</v>
      </c>
      <c r="G49" s="182">
        <f t="shared" si="2"/>
        <v>1.000001</v>
      </c>
      <c r="H49" s="183" t="str">
        <f t="shared" si="3"/>
        <v>#N/A</v>
      </c>
      <c r="J49" s="54"/>
      <c r="M49" s="178" t="s">
        <v>3318</v>
      </c>
      <c r="N49" s="179" t="str">
        <f>VLOOKUP(M49,'Dados ClubeFII'!$A:$Z,26,0)</f>
        <v>#N/A</v>
      </c>
      <c r="O49" s="185" t="str">
        <f>VLOOKUP(M49,'Dados ClubeFII'!$A:$Z,18,0)/100</f>
        <v>#N/A</v>
      </c>
      <c r="P49" s="186" t="str">
        <f t="shared" si="5"/>
        <v>#N/A</v>
      </c>
      <c r="Q49" s="187">
        <f>IF(ISERROR(1/VLOOKUP(M49,Capa!A:Z,6,0)),0,1/VLOOKUP(M49,Capa!A:Z,6,0))</f>
        <v>0</v>
      </c>
      <c r="R49" s="188">
        <f t="shared" si="6"/>
        <v>1.000001</v>
      </c>
      <c r="S49" s="189" t="str">
        <f t="shared" si="7"/>
        <v>#N/A</v>
      </c>
    </row>
    <row r="50">
      <c r="A50" s="190"/>
      <c r="B50" s="178" t="s">
        <v>3319</v>
      </c>
      <c r="C50" s="179" t="str">
        <f>VLOOKUP(B50,'Dados ClubeFII'!$A:$Z,26,0)</f>
        <v>#N/A</v>
      </c>
      <c r="D50" s="180" t="str">
        <f>VLOOKUP(B50,'Dados ClubeFII'!$A:$Z,20,0)/100</f>
        <v>#N/A</v>
      </c>
      <c r="E50" s="89" t="str">
        <f t="shared" si="1"/>
        <v>#N/A</v>
      </c>
      <c r="F50" s="181">
        <f>IF(ISERROR(1/VLOOKUP(B50,Capa!A:Z,13,0)),0,1/VLOOKUP(B50,Capa!A:Z,13,0))</f>
        <v>0</v>
      </c>
      <c r="G50" s="182">
        <f t="shared" si="2"/>
        <v>1.000001</v>
      </c>
      <c r="H50" s="183" t="str">
        <f t="shared" si="3"/>
        <v>#N/A</v>
      </c>
      <c r="J50" s="54"/>
      <c r="M50" s="178" t="s">
        <v>3319</v>
      </c>
      <c r="N50" s="179" t="str">
        <f>VLOOKUP(M50,'Dados ClubeFII'!$A:$Z,26,0)</f>
        <v>#N/A</v>
      </c>
      <c r="O50" s="185" t="str">
        <f>VLOOKUP(M50,'Dados ClubeFII'!$A:$Z,18,0)/100</f>
        <v>#N/A</v>
      </c>
      <c r="P50" s="186" t="str">
        <f t="shared" si="5"/>
        <v>#N/A</v>
      </c>
      <c r="Q50" s="187">
        <f>IF(ISERROR(1/VLOOKUP(M50,Capa!A:Z,6,0)),0,1/VLOOKUP(M50,Capa!A:Z,6,0))</f>
        <v>0</v>
      </c>
      <c r="R50" s="188">
        <f t="shared" si="6"/>
        <v>1.000001</v>
      </c>
      <c r="S50" s="189" t="str">
        <f t="shared" si="7"/>
        <v>#N/A</v>
      </c>
    </row>
    <row r="51">
      <c r="A51" s="190"/>
      <c r="B51" s="178" t="s">
        <v>3320</v>
      </c>
      <c r="C51" s="179" t="str">
        <f>VLOOKUP(B51,'Dados ClubeFII'!$A:$Z,26,0)</f>
        <v>#N/A</v>
      </c>
      <c r="D51" s="180" t="str">
        <f>VLOOKUP(B51,'Dados ClubeFII'!$A:$Z,20,0)/100</f>
        <v>#N/A</v>
      </c>
      <c r="E51" s="89" t="str">
        <f t="shared" si="1"/>
        <v>#N/A</v>
      </c>
      <c r="F51" s="181">
        <f>IF(ISERROR(1/VLOOKUP(B51,Capa!A:Z,13,0)),0,1/VLOOKUP(B51,Capa!A:Z,13,0))</f>
        <v>0</v>
      </c>
      <c r="G51" s="182">
        <f t="shared" si="2"/>
        <v>1.000001</v>
      </c>
      <c r="H51" s="183" t="str">
        <f t="shared" si="3"/>
        <v>#N/A</v>
      </c>
      <c r="J51" s="54"/>
      <c r="M51" s="178" t="s">
        <v>3320</v>
      </c>
      <c r="N51" s="179" t="str">
        <f>VLOOKUP(M51,'Dados ClubeFII'!$A:$Z,26,0)</f>
        <v>#N/A</v>
      </c>
      <c r="O51" s="185" t="str">
        <f>VLOOKUP(M51,'Dados ClubeFII'!$A:$Z,18,0)/100</f>
        <v>#N/A</v>
      </c>
      <c r="P51" s="186" t="str">
        <f t="shared" si="5"/>
        <v>#N/A</v>
      </c>
      <c r="Q51" s="187">
        <f>IF(ISERROR(1/VLOOKUP(M51,Capa!A:Z,6,0)),0,1/VLOOKUP(M51,Capa!A:Z,6,0))</f>
        <v>0</v>
      </c>
      <c r="R51" s="188">
        <f t="shared" si="6"/>
        <v>1.000001</v>
      </c>
      <c r="S51" s="189" t="str">
        <f t="shared" si="7"/>
        <v>#N/A</v>
      </c>
    </row>
    <row r="52">
      <c r="A52" s="190"/>
      <c r="B52" s="178" t="s">
        <v>3321</v>
      </c>
      <c r="C52" s="179" t="str">
        <f>VLOOKUP(B52,'Dados ClubeFII'!$A:$Z,26,0)</f>
        <v>#N/A</v>
      </c>
      <c r="D52" s="180" t="str">
        <f>VLOOKUP(B52,'Dados ClubeFII'!$A:$Z,20,0)/100</f>
        <v>#N/A</v>
      </c>
      <c r="E52" s="89" t="str">
        <f t="shared" si="1"/>
        <v>#N/A</v>
      </c>
      <c r="F52" s="181">
        <f>IF(ISERROR(1/VLOOKUP(B52,Capa!A:Z,13,0)),0,1/VLOOKUP(B52,Capa!A:Z,13,0))</f>
        <v>0</v>
      </c>
      <c r="G52" s="182">
        <f t="shared" si="2"/>
        <v>1.000001</v>
      </c>
      <c r="H52" s="183" t="str">
        <f t="shared" si="3"/>
        <v>#N/A</v>
      </c>
      <c r="M52" s="178" t="s">
        <v>3321</v>
      </c>
      <c r="N52" s="179" t="str">
        <f>VLOOKUP(M52,'Dados ClubeFII'!$A:$Z,26,0)</f>
        <v>#N/A</v>
      </c>
      <c r="O52" s="185" t="str">
        <f>VLOOKUP(M52,'Dados ClubeFII'!$A:$Z,18,0)/100</f>
        <v>#N/A</v>
      </c>
      <c r="P52" s="186" t="str">
        <f t="shared" si="5"/>
        <v>#N/A</v>
      </c>
      <c r="Q52" s="187">
        <f>IF(ISERROR(1/VLOOKUP(M52,Capa!A:Z,6,0)),0,1/VLOOKUP(M52,Capa!A:Z,6,0))</f>
        <v>0</v>
      </c>
      <c r="R52" s="188">
        <f t="shared" si="6"/>
        <v>1.000001</v>
      </c>
      <c r="S52" s="189" t="str">
        <f t="shared" si="7"/>
        <v>#N/A</v>
      </c>
    </row>
    <row r="53">
      <c r="A53" s="190"/>
      <c r="B53" s="178" t="s">
        <v>3322</v>
      </c>
      <c r="C53" s="179" t="str">
        <f>VLOOKUP(B53,'Dados ClubeFII'!$A:$Z,26,0)</f>
        <v>#N/A</v>
      </c>
      <c r="D53" s="180" t="str">
        <f>VLOOKUP(B53,'Dados ClubeFII'!$A:$Z,20,0)/100</f>
        <v>#N/A</v>
      </c>
      <c r="E53" s="89" t="str">
        <f t="shared" si="1"/>
        <v>#N/A</v>
      </c>
      <c r="F53" s="181">
        <f>IF(ISERROR(1/VLOOKUP(B53,Capa!A:Z,13,0)),0,1/VLOOKUP(B53,Capa!A:Z,13,0))</f>
        <v>0</v>
      </c>
      <c r="G53" s="182">
        <f t="shared" si="2"/>
        <v>1.000001</v>
      </c>
      <c r="H53" s="183" t="str">
        <f t="shared" si="3"/>
        <v>#N/A</v>
      </c>
      <c r="M53" s="178" t="s">
        <v>3322</v>
      </c>
      <c r="N53" s="179" t="str">
        <f>VLOOKUP(M53,'Dados ClubeFII'!$A:$Z,26,0)</f>
        <v>#N/A</v>
      </c>
      <c r="O53" s="185" t="str">
        <f>VLOOKUP(M53,'Dados ClubeFII'!$A:$Z,18,0)/100</f>
        <v>#N/A</v>
      </c>
      <c r="P53" s="186" t="str">
        <f t="shared" si="5"/>
        <v>#N/A</v>
      </c>
      <c r="Q53" s="187">
        <f>IF(ISERROR(1/VLOOKUP(M53,Capa!A:Z,6,0)),0,1/VLOOKUP(M53,Capa!A:Z,6,0))</f>
        <v>0</v>
      </c>
      <c r="R53" s="188">
        <f t="shared" si="6"/>
        <v>1.000001</v>
      </c>
      <c r="S53" s="189" t="str">
        <f t="shared" si="7"/>
        <v>#N/A</v>
      </c>
    </row>
    <row r="54">
      <c r="A54" s="190"/>
      <c r="B54" s="178" t="s">
        <v>3323</v>
      </c>
      <c r="C54" s="179" t="str">
        <f>VLOOKUP(B54,'Dados ClubeFII'!$A:$Z,26,0)</f>
        <v>#N/A</v>
      </c>
      <c r="D54" s="180" t="str">
        <f>VLOOKUP(B54,'Dados ClubeFII'!$A:$Z,20,0)/100</f>
        <v>#N/A</v>
      </c>
      <c r="E54" s="89" t="str">
        <f t="shared" si="1"/>
        <v>#N/A</v>
      </c>
      <c r="F54" s="181">
        <f>IF(ISERROR(1/VLOOKUP(B54,Capa!A:Z,13,0)),0,1/VLOOKUP(B54,Capa!A:Z,13,0))</f>
        <v>0</v>
      </c>
      <c r="G54" s="182">
        <f t="shared" si="2"/>
        <v>1.000001</v>
      </c>
      <c r="H54" s="183" t="str">
        <f t="shared" si="3"/>
        <v>#N/A</v>
      </c>
      <c r="M54" s="178" t="s">
        <v>3323</v>
      </c>
      <c r="N54" s="179" t="str">
        <f>VLOOKUP(M54,'Dados ClubeFII'!$A:$Z,26,0)</f>
        <v>#N/A</v>
      </c>
      <c r="O54" s="185" t="str">
        <f>VLOOKUP(M54,'Dados ClubeFII'!$A:$Z,18,0)/100</f>
        <v>#N/A</v>
      </c>
      <c r="P54" s="186" t="str">
        <f t="shared" si="5"/>
        <v>#N/A</v>
      </c>
      <c r="Q54" s="187">
        <f>IF(ISERROR(1/VLOOKUP(M54,Capa!A:Z,6,0)),0,1/VLOOKUP(M54,Capa!A:Z,6,0))</f>
        <v>0</v>
      </c>
      <c r="R54" s="188">
        <f t="shared" si="6"/>
        <v>1.000001</v>
      </c>
      <c r="S54" s="189" t="str">
        <f t="shared" si="7"/>
        <v>#N/A</v>
      </c>
    </row>
    <row r="55">
      <c r="A55" s="190"/>
      <c r="B55" s="178" t="s">
        <v>3324</v>
      </c>
      <c r="C55" s="179" t="str">
        <f>VLOOKUP(B55,'Dados ClubeFII'!$A:$Z,26,0)</f>
        <v>#N/A</v>
      </c>
      <c r="D55" s="180" t="str">
        <f>VLOOKUP(B55,'Dados ClubeFII'!$A:$Z,20,0)/100</f>
        <v>#N/A</v>
      </c>
      <c r="E55" s="89" t="str">
        <f t="shared" si="1"/>
        <v>#N/A</v>
      </c>
      <c r="F55" s="181">
        <f>IF(ISERROR(1/VLOOKUP(B55,Capa!A:Z,13,0)),0,1/VLOOKUP(B55,Capa!A:Z,13,0))</f>
        <v>0</v>
      </c>
      <c r="G55" s="182">
        <f t="shared" si="2"/>
        <v>1.000001</v>
      </c>
      <c r="H55" s="183" t="str">
        <f t="shared" si="3"/>
        <v>#N/A</v>
      </c>
      <c r="M55" s="178" t="s">
        <v>3324</v>
      </c>
      <c r="N55" s="179" t="str">
        <f>VLOOKUP(M55,'Dados ClubeFII'!$A:$Z,26,0)</f>
        <v>#N/A</v>
      </c>
      <c r="O55" s="185" t="str">
        <f>VLOOKUP(M55,'Dados ClubeFII'!$A:$Z,18,0)/100</f>
        <v>#N/A</v>
      </c>
      <c r="P55" s="186" t="str">
        <f t="shared" si="5"/>
        <v>#N/A</v>
      </c>
      <c r="Q55" s="187">
        <f>IF(ISERROR(1/VLOOKUP(M55,Capa!A:Z,6,0)),0,1/VLOOKUP(M55,Capa!A:Z,6,0))</f>
        <v>0</v>
      </c>
      <c r="R55" s="188">
        <f t="shared" si="6"/>
        <v>1.000001</v>
      </c>
      <c r="S55" s="189" t="str">
        <f t="shared" si="7"/>
        <v>#N/A</v>
      </c>
    </row>
    <row r="56">
      <c r="A56" s="190"/>
      <c r="B56" s="178" t="s">
        <v>3325</v>
      </c>
      <c r="C56" s="179" t="str">
        <f>VLOOKUP(B56,'Dados ClubeFII'!$A:$Z,26,0)</f>
        <v>#N/A</v>
      </c>
      <c r="D56" s="180" t="str">
        <f>VLOOKUP(B56,'Dados ClubeFII'!$A:$Z,20,0)/100</f>
        <v>#N/A</v>
      </c>
      <c r="E56" s="89" t="str">
        <f t="shared" si="1"/>
        <v>#N/A</v>
      </c>
      <c r="F56" s="181">
        <f>IF(ISERROR(1/VLOOKUP(B56,Capa!A:Z,13,0)),0,1/VLOOKUP(B56,Capa!A:Z,13,0))</f>
        <v>0</v>
      </c>
      <c r="G56" s="182">
        <f t="shared" si="2"/>
        <v>1.000001</v>
      </c>
      <c r="H56" s="183" t="str">
        <f t="shared" si="3"/>
        <v>#N/A</v>
      </c>
      <c r="M56" s="178" t="s">
        <v>3325</v>
      </c>
      <c r="N56" s="179" t="str">
        <f>VLOOKUP(M56,'Dados ClubeFII'!$A:$Z,26,0)</f>
        <v>#N/A</v>
      </c>
      <c r="O56" s="185" t="str">
        <f>VLOOKUP(M56,'Dados ClubeFII'!$A:$Z,18,0)/100</f>
        <v>#N/A</v>
      </c>
      <c r="P56" s="186" t="str">
        <f t="shared" si="5"/>
        <v>#N/A</v>
      </c>
      <c r="Q56" s="187">
        <f>IF(ISERROR(1/VLOOKUP(M56,Capa!A:Z,6,0)),0,1/VLOOKUP(M56,Capa!A:Z,6,0))</f>
        <v>0</v>
      </c>
      <c r="R56" s="188">
        <f t="shared" si="6"/>
        <v>1.000001</v>
      </c>
      <c r="S56" s="189" t="str">
        <f t="shared" si="7"/>
        <v>#N/A</v>
      </c>
    </row>
    <row r="57">
      <c r="A57" s="190"/>
      <c r="B57" s="178" t="s">
        <v>3326</v>
      </c>
      <c r="C57" s="179" t="str">
        <f>VLOOKUP(B57,'Dados ClubeFII'!$A:$Z,26,0)</f>
        <v>#N/A</v>
      </c>
      <c r="D57" s="180" t="str">
        <f>VLOOKUP(B57,'Dados ClubeFII'!$A:$Z,20,0)/100</f>
        <v>#N/A</v>
      </c>
      <c r="E57" s="89" t="str">
        <f t="shared" si="1"/>
        <v>#N/A</v>
      </c>
      <c r="F57" s="181">
        <f>IF(ISERROR(1/VLOOKUP(B57,Capa!A:Z,13,0)),0,1/VLOOKUP(B57,Capa!A:Z,13,0))</f>
        <v>0</v>
      </c>
      <c r="G57" s="182">
        <f t="shared" si="2"/>
        <v>1.000001</v>
      </c>
      <c r="H57" s="183" t="str">
        <f t="shared" si="3"/>
        <v>#N/A</v>
      </c>
      <c r="M57" s="178" t="s">
        <v>3326</v>
      </c>
      <c r="N57" s="179" t="str">
        <f>VLOOKUP(M57,'Dados ClubeFII'!$A:$Z,26,0)</f>
        <v>#N/A</v>
      </c>
      <c r="O57" s="185" t="str">
        <f>VLOOKUP(M57,'Dados ClubeFII'!$A:$Z,18,0)/100</f>
        <v>#N/A</v>
      </c>
      <c r="P57" s="186" t="str">
        <f t="shared" si="5"/>
        <v>#N/A</v>
      </c>
      <c r="Q57" s="187">
        <f>IF(ISERROR(1/VLOOKUP(M57,Capa!A:Z,6,0)),0,1/VLOOKUP(M57,Capa!A:Z,6,0))</f>
        <v>0</v>
      </c>
      <c r="R57" s="188">
        <f t="shared" si="6"/>
        <v>1.000001</v>
      </c>
      <c r="S57" s="189" t="str">
        <f t="shared" si="7"/>
        <v>#N/A</v>
      </c>
    </row>
    <row r="58">
      <c r="A58" s="190"/>
      <c r="B58" s="178" t="s">
        <v>3327</v>
      </c>
      <c r="C58" s="179" t="str">
        <f>VLOOKUP(B58,'Dados ClubeFII'!$A:$Z,26,0)</f>
        <v>#N/A</v>
      </c>
      <c r="D58" s="180" t="str">
        <f>VLOOKUP(B58,'Dados ClubeFII'!$A:$Z,20,0)/100</f>
        <v>#N/A</v>
      </c>
      <c r="E58" s="89" t="str">
        <f t="shared" si="1"/>
        <v>#N/A</v>
      </c>
      <c r="F58" s="181">
        <f>IF(ISERROR(1/VLOOKUP(B58,Capa!A:Z,13,0)),0,1/VLOOKUP(B58,Capa!A:Z,13,0))</f>
        <v>0</v>
      </c>
      <c r="G58" s="182">
        <f t="shared" si="2"/>
        <v>1.000001</v>
      </c>
      <c r="H58" s="183" t="str">
        <f t="shared" si="3"/>
        <v>#N/A</v>
      </c>
      <c r="M58" s="178" t="s">
        <v>3327</v>
      </c>
      <c r="N58" s="179" t="str">
        <f>VLOOKUP(M58,'Dados ClubeFII'!$A:$Z,26,0)</f>
        <v>#N/A</v>
      </c>
      <c r="O58" s="185" t="str">
        <f>VLOOKUP(M58,'Dados ClubeFII'!$A:$Z,18,0)/100</f>
        <v>#N/A</v>
      </c>
      <c r="P58" s="186" t="str">
        <f t="shared" si="5"/>
        <v>#N/A</v>
      </c>
      <c r="Q58" s="187">
        <f>IF(ISERROR(1/VLOOKUP(M58,Capa!A:Z,6,0)),0,1/VLOOKUP(M58,Capa!A:Z,6,0))</f>
        <v>0</v>
      </c>
      <c r="R58" s="188">
        <f t="shared" si="6"/>
        <v>1.000001</v>
      </c>
      <c r="S58" s="189" t="str">
        <f t="shared" si="7"/>
        <v>#N/A</v>
      </c>
    </row>
    <row r="59">
      <c r="A59" s="190"/>
      <c r="B59" s="178" t="s">
        <v>3328</v>
      </c>
      <c r="C59" s="179" t="str">
        <f>VLOOKUP(B59,'Dados ClubeFII'!$A:$Z,26,0)</f>
        <v>#N/A</v>
      </c>
      <c r="D59" s="180" t="str">
        <f>VLOOKUP(B59,'Dados ClubeFII'!$A:$Z,20,0)/100</f>
        <v>#N/A</v>
      </c>
      <c r="E59" s="89" t="str">
        <f t="shared" si="1"/>
        <v>#N/A</v>
      </c>
      <c r="F59" s="181">
        <f>IF(ISERROR(1/VLOOKUP(B59,Capa!A:Z,13,0)),0,1/VLOOKUP(B59,Capa!A:Z,13,0))</f>
        <v>0</v>
      </c>
      <c r="G59" s="182">
        <f t="shared" si="2"/>
        <v>1.000001</v>
      </c>
      <c r="H59" s="183" t="str">
        <f t="shared" si="3"/>
        <v>#N/A</v>
      </c>
      <c r="M59" s="178" t="s">
        <v>3328</v>
      </c>
      <c r="N59" s="179" t="str">
        <f>VLOOKUP(M59,'Dados ClubeFII'!$A:$Z,26,0)</f>
        <v>#N/A</v>
      </c>
      <c r="O59" s="185" t="str">
        <f>VLOOKUP(M59,'Dados ClubeFII'!$A:$Z,18,0)/100</f>
        <v>#N/A</v>
      </c>
      <c r="P59" s="186" t="str">
        <f t="shared" si="5"/>
        <v>#N/A</v>
      </c>
      <c r="Q59" s="187">
        <f>IF(ISERROR(1/VLOOKUP(M59,Capa!A:Z,6,0)),0,1/VLOOKUP(M59,Capa!A:Z,6,0))</f>
        <v>0</v>
      </c>
      <c r="R59" s="188">
        <f t="shared" si="6"/>
        <v>1.000001</v>
      </c>
      <c r="S59" s="189" t="str">
        <f t="shared" si="7"/>
        <v>#N/A</v>
      </c>
    </row>
    <row r="60">
      <c r="A60" s="190"/>
      <c r="B60" s="178" t="s">
        <v>3329</v>
      </c>
      <c r="C60" s="179" t="str">
        <f>VLOOKUP(B60,'Dados ClubeFII'!$A:$Z,26,0)</f>
        <v>#N/A</v>
      </c>
      <c r="D60" s="180" t="str">
        <f>VLOOKUP(B60,'Dados ClubeFII'!$A:$Z,20,0)/100</f>
        <v>#N/A</v>
      </c>
      <c r="E60" s="89" t="str">
        <f t="shared" si="1"/>
        <v>#N/A</v>
      </c>
      <c r="F60" s="181">
        <f>IF(ISERROR(1/VLOOKUP(B60,Capa!A:Z,13,0)),0,1/VLOOKUP(B60,Capa!A:Z,13,0))</f>
        <v>0</v>
      </c>
      <c r="G60" s="182">
        <f t="shared" si="2"/>
        <v>1.000001</v>
      </c>
      <c r="H60" s="183" t="str">
        <f t="shared" si="3"/>
        <v>#N/A</v>
      </c>
      <c r="M60" s="178" t="s">
        <v>3329</v>
      </c>
      <c r="N60" s="179" t="str">
        <f>VLOOKUP(M60,'Dados ClubeFII'!$A:$Z,26,0)</f>
        <v>#N/A</v>
      </c>
      <c r="O60" s="185" t="str">
        <f>VLOOKUP(M60,'Dados ClubeFII'!$A:$Z,18,0)/100</f>
        <v>#N/A</v>
      </c>
      <c r="P60" s="186" t="str">
        <f t="shared" si="5"/>
        <v>#N/A</v>
      </c>
      <c r="Q60" s="187">
        <f>IF(ISERROR(1/VLOOKUP(M60,Capa!A:Z,6,0)),0,1/VLOOKUP(M60,Capa!A:Z,6,0))</f>
        <v>0</v>
      </c>
      <c r="R60" s="188">
        <f t="shared" si="6"/>
        <v>1.000001</v>
      </c>
      <c r="S60" s="189" t="str">
        <f t="shared" si="7"/>
        <v>#N/A</v>
      </c>
    </row>
    <row r="61">
      <c r="A61" s="190"/>
      <c r="B61" s="178" t="s">
        <v>3330</v>
      </c>
      <c r="C61" s="179" t="str">
        <f>VLOOKUP(B61,'Dados ClubeFII'!$A:$Z,26,0)</f>
        <v>#N/A</v>
      </c>
      <c r="D61" s="180" t="str">
        <f>VLOOKUP(B61,'Dados ClubeFII'!$A:$Z,20,0)/100</f>
        <v>#N/A</v>
      </c>
      <c r="E61" s="89" t="str">
        <f t="shared" si="1"/>
        <v>#N/A</v>
      </c>
      <c r="F61" s="181">
        <f>IF(ISERROR(1/VLOOKUP(B61,Capa!A:Z,13,0)),0,1/VLOOKUP(B61,Capa!A:Z,13,0))</f>
        <v>0</v>
      </c>
      <c r="G61" s="182">
        <f t="shared" si="2"/>
        <v>1.000001</v>
      </c>
      <c r="H61" s="183" t="str">
        <f t="shared" si="3"/>
        <v>#N/A</v>
      </c>
      <c r="M61" s="178" t="s">
        <v>3330</v>
      </c>
      <c r="N61" s="179" t="str">
        <f>VLOOKUP(M61,'Dados ClubeFII'!$A:$Z,26,0)</f>
        <v>#N/A</v>
      </c>
      <c r="O61" s="185" t="str">
        <f>VLOOKUP(M61,'Dados ClubeFII'!$A:$Z,18,0)/100</f>
        <v>#N/A</v>
      </c>
      <c r="P61" s="186" t="str">
        <f t="shared" si="5"/>
        <v>#N/A</v>
      </c>
      <c r="Q61" s="187">
        <f>IF(ISERROR(1/VLOOKUP(M61,Capa!A:Z,6,0)),0,1/VLOOKUP(M61,Capa!A:Z,6,0))</f>
        <v>0</v>
      </c>
      <c r="R61" s="188">
        <f t="shared" si="6"/>
        <v>1.000001</v>
      </c>
      <c r="S61" s="189" t="str">
        <f t="shared" si="7"/>
        <v>#N/A</v>
      </c>
    </row>
    <row r="62">
      <c r="A62" s="190"/>
      <c r="B62" s="178" t="s">
        <v>3331</v>
      </c>
      <c r="C62" s="179" t="str">
        <f>VLOOKUP(B62,'Dados ClubeFII'!$A:$Z,26,0)</f>
        <v>#N/A</v>
      </c>
      <c r="D62" s="180" t="str">
        <f>VLOOKUP(B62,'Dados ClubeFII'!$A:$Z,20,0)/100</f>
        <v>#N/A</v>
      </c>
      <c r="E62" s="89" t="str">
        <f t="shared" si="1"/>
        <v>#N/A</v>
      </c>
      <c r="F62" s="181">
        <f>IF(ISERROR(1/VLOOKUP(B62,Capa!A:Z,13,0)),0,1/VLOOKUP(B62,Capa!A:Z,13,0))</f>
        <v>0</v>
      </c>
      <c r="G62" s="182">
        <f t="shared" si="2"/>
        <v>1.000001</v>
      </c>
      <c r="H62" s="183" t="str">
        <f t="shared" si="3"/>
        <v>#N/A</v>
      </c>
      <c r="M62" s="178" t="s">
        <v>3331</v>
      </c>
      <c r="N62" s="179" t="str">
        <f>VLOOKUP(M62,'Dados ClubeFII'!$A:$Z,26,0)</f>
        <v>#N/A</v>
      </c>
      <c r="O62" s="185" t="str">
        <f>VLOOKUP(M62,'Dados ClubeFII'!$A:$Z,18,0)/100</f>
        <v>#N/A</v>
      </c>
      <c r="P62" s="186" t="str">
        <f t="shared" si="5"/>
        <v>#N/A</v>
      </c>
      <c r="Q62" s="187">
        <f>IF(ISERROR(1/VLOOKUP(M62,Capa!A:Z,6,0)),0,1/VLOOKUP(M62,Capa!A:Z,6,0))</f>
        <v>0</v>
      </c>
      <c r="R62" s="188">
        <f t="shared" si="6"/>
        <v>1.000001</v>
      </c>
      <c r="S62" s="189" t="str">
        <f t="shared" si="7"/>
        <v>#N/A</v>
      </c>
    </row>
    <row r="63">
      <c r="A63" s="190"/>
      <c r="B63" s="178" t="s">
        <v>3332</v>
      </c>
      <c r="C63" s="179" t="str">
        <f>VLOOKUP(B63,'Dados ClubeFII'!$A:$Z,26,0)</f>
        <v>#N/A</v>
      </c>
      <c r="D63" s="180" t="str">
        <f>VLOOKUP(B63,'Dados ClubeFII'!$A:$Z,20,0)/100</f>
        <v>#N/A</v>
      </c>
      <c r="E63" s="89" t="str">
        <f t="shared" si="1"/>
        <v>#N/A</v>
      </c>
      <c r="F63" s="181">
        <f>IF(ISERROR(1/VLOOKUP(B63,Capa!A:Z,13,0)),0,1/VLOOKUP(B63,Capa!A:Z,13,0))</f>
        <v>0</v>
      </c>
      <c r="G63" s="182">
        <f t="shared" si="2"/>
        <v>1.000001</v>
      </c>
      <c r="H63" s="183" t="str">
        <f t="shared" si="3"/>
        <v>#N/A</v>
      </c>
      <c r="M63" s="178" t="s">
        <v>3332</v>
      </c>
      <c r="N63" s="179" t="str">
        <f>VLOOKUP(M63,'Dados ClubeFII'!$A:$Z,26,0)</f>
        <v>#N/A</v>
      </c>
      <c r="O63" s="185" t="str">
        <f>VLOOKUP(M63,'Dados ClubeFII'!$A:$Z,18,0)/100</f>
        <v>#N/A</v>
      </c>
      <c r="P63" s="186" t="str">
        <f t="shared" si="5"/>
        <v>#N/A</v>
      </c>
      <c r="Q63" s="187">
        <f>IF(ISERROR(1/VLOOKUP(M63,Capa!A:Z,6,0)),0,1/VLOOKUP(M63,Capa!A:Z,6,0))</f>
        <v>0</v>
      </c>
      <c r="R63" s="188">
        <f t="shared" si="6"/>
        <v>1.000001</v>
      </c>
      <c r="S63" s="189" t="str">
        <f t="shared" si="7"/>
        <v>#N/A</v>
      </c>
    </row>
    <row r="64">
      <c r="A64" s="190"/>
      <c r="B64" s="178" t="s">
        <v>3333</v>
      </c>
      <c r="C64" s="179" t="str">
        <f>VLOOKUP(B64,'Dados ClubeFII'!$A:$Z,26,0)</f>
        <v>#N/A</v>
      </c>
      <c r="D64" s="180" t="str">
        <f>VLOOKUP(B64,'Dados ClubeFII'!$A:$Z,20,0)/100</f>
        <v>#N/A</v>
      </c>
      <c r="E64" s="89" t="str">
        <f t="shared" si="1"/>
        <v>#N/A</v>
      </c>
      <c r="F64" s="181">
        <f>IF(ISERROR(1/VLOOKUP(B64,Capa!A:Z,13,0)),0,1/VLOOKUP(B64,Capa!A:Z,13,0))</f>
        <v>0</v>
      </c>
      <c r="G64" s="182">
        <f t="shared" si="2"/>
        <v>1.000001</v>
      </c>
      <c r="H64" s="183" t="str">
        <f t="shared" si="3"/>
        <v>#N/A</v>
      </c>
      <c r="M64" s="178" t="s">
        <v>3333</v>
      </c>
      <c r="N64" s="179" t="str">
        <f>VLOOKUP(M64,'Dados ClubeFII'!$A:$Z,26,0)</f>
        <v>#N/A</v>
      </c>
      <c r="O64" s="185" t="str">
        <f>VLOOKUP(M64,'Dados ClubeFII'!$A:$Z,18,0)/100</f>
        <v>#N/A</v>
      </c>
      <c r="P64" s="186" t="str">
        <f t="shared" si="5"/>
        <v>#N/A</v>
      </c>
      <c r="Q64" s="187">
        <f>IF(ISERROR(1/VLOOKUP(M64,Capa!A:Z,6,0)),0,1/VLOOKUP(M64,Capa!A:Z,6,0))</f>
        <v>0</v>
      </c>
      <c r="R64" s="188">
        <f t="shared" si="6"/>
        <v>1.000001</v>
      </c>
      <c r="S64" s="189" t="str">
        <f t="shared" si="7"/>
        <v>#N/A</v>
      </c>
    </row>
    <row r="65">
      <c r="A65" s="190"/>
      <c r="B65" s="178" t="s">
        <v>3334</v>
      </c>
      <c r="C65" s="179" t="str">
        <f>VLOOKUP(B65,'Dados ClubeFII'!$A:$Z,26,0)</f>
        <v>#N/A</v>
      </c>
      <c r="D65" s="180" t="str">
        <f>VLOOKUP(B65,'Dados ClubeFII'!$A:$Z,20,0)/100</f>
        <v>#N/A</v>
      </c>
      <c r="E65" s="89" t="str">
        <f t="shared" si="1"/>
        <v>#N/A</v>
      </c>
      <c r="F65" s="181">
        <f>IF(ISERROR(1/VLOOKUP(B65,Capa!A:Z,13,0)),0,1/VLOOKUP(B65,Capa!A:Z,13,0))</f>
        <v>0</v>
      </c>
      <c r="G65" s="182">
        <f t="shared" si="2"/>
        <v>1.000001</v>
      </c>
      <c r="H65" s="183" t="str">
        <f t="shared" si="3"/>
        <v>#N/A</v>
      </c>
      <c r="M65" s="178" t="s">
        <v>3334</v>
      </c>
      <c r="N65" s="179" t="str">
        <f>VLOOKUP(M65,'Dados ClubeFII'!$A:$Z,26,0)</f>
        <v>#N/A</v>
      </c>
      <c r="O65" s="185" t="str">
        <f>VLOOKUP(M65,'Dados ClubeFII'!$A:$Z,18,0)/100</f>
        <v>#N/A</v>
      </c>
      <c r="P65" s="186" t="str">
        <f t="shared" si="5"/>
        <v>#N/A</v>
      </c>
      <c r="Q65" s="187">
        <f>IF(ISERROR(1/VLOOKUP(M65,Capa!A:Z,6,0)),0,1/VLOOKUP(M65,Capa!A:Z,6,0))</f>
        <v>0</v>
      </c>
      <c r="R65" s="188">
        <f t="shared" si="6"/>
        <v>1.000001</v>
      </c>
      <c r="S65" s="189" t="str">
        <f t="shared" si="7"/>
        <v>#N/A</v>
      </c>
    </row>
    <row r="66">
      <c r="A66" s="190"/>
      <c r="B66" s="178" t="s">
        <v>3335</v>
      </c>
      <c r="C66" s="179" t="str">
        <f>VLOOKUP(B66,'Dados ClubeFII'!$A:$Z,26,0)</f>
        <v>#N/A</v>
      </c>
      <c r="D66" s="180" t="str">
        <f>VLOOKUP(B66,'Dados ClubeFII'!$A:$Z,20,0)/100</f>
        <v>#N/A</v>
      </c>
      <c r="E66" s="89" t="str">
        <f t="shared" si="1"/>
        <v>#N/A</v>
      </c>
      <c r="F66" s="181">
        <f>IF(ISERROR(1/VLOOKUP(B66,Capa!A:Z,13,0)),0,1/VLOOKUP(B66,Capa!A:Z,13,0))</f>
        <v>0</v>
      </c>
      <c r="G66" s="182">
        <f t="shared" si="2"/>
        <v>1.000001</v>
      </c>
      <c r="H66" s="183" t="str">
        <f t="shared" si="3"/>
        <v>#N/A</v>
      </c>
      <c r="M66" s="178" t="s">
        <v>3335</v>
      </c>
      <c r="N66" s="179" t="str">
        <f>VLOOKUP(M66,'Dados ClubeFII'!$A:$Z,26,0)</f>
        <v>#N/A</v>
      </c>
      <c r="O66" s="185" t="str">
        <f>VLOOKUP(M66,'Dados ClubeFII'!$A:$Z,18,0)/100</f>
        <v>#N/A</v>
      </c>
      <c r="P66" s="186" t="str">
        <f t="shared" si="5"/>
        <v>#N/A</v>
      </c>
      <c r="Q66" s="187">
        <f>IF(ISERROR(1/VLOOKUP(M66,Capa!A:Z,6,0)),0,1/VLOOKUP(M66,Capa!A:Z,6,0))</f>
        <v>0</v>
      </c>
      <c r="R66" s="188">
        <f t="shared" si="6"/>
        <v>1.000001</v>
      </c>
      <c r="S66" s="189" t="str">
        <f t="shared" si="7"/>
        <v>#N/A</v>
      </c>
    </row>
    <row r="67">
      <c r="A67" s="190"/>
      <c r="B67" s="178" t="s">
        <v>3336</v>
      </c>
      <c r="C67" s="179" t="str">
        <f>VLOOKUP(B67,'Dados ClubeFII'!$A:$Z,26,0)</f>
        <v>#N/A</v>
      </c>
      <c r="D67" s="180" t="str">
        <f>VLOOKUP(B67,'Dados ClubeFII'!$A:$Z,20,0)/100</f>
        <v>#N/A</v>
      </c>
      <c r="E67" s="89" t="str">
        <f t="shared" si="1"/>
        <v>#N/A</v>
      </c>
      <c r="F67" s="181">
        <f>IF(ISERROR(1/VLOOKUP(B67,Capa!A:Z,13,0)),0,1/VLOOKUP(B67,Capa!A:Z,13,0))</f>
        <v>0</v>
      </c>
      <c r="G67" s="182">
        <f t="shared" si="2"/>
        <v>1.000001</v>
      </c>
      <c r="H67" s="183" t="str">
        <f t="shared" si="3"/>
        <v>#N/A</v>
      </c>
      <c r="M67" s="178" t="s">
        <v>3336</v>
      </c>
      <c r="N67" s="179" t="str">
        <f>VLOOKUP(M67,'Dados ClubeFII'!$A:$Z,26,0)</f>
        <v>#N/A</v>
      </c>
      <c r="O67" s="185" t="str">
        <f>VLOOKUP(M67,'Dados ClubeFII'!$A:$Z,18,0)/100</f>
        <v>#N/A</v>
      </c>
      <c r="P67" s="186" t="str">
        <f t="shared" si="5"/>
        <v>#N/A</v>
      </c>
      <c r="Q67" s="187">
        <f>IF(ISERROR(1/VLOOKUP(M67,Capa!A:Z,6,0)),0,1/VLOOKUP(M67,Capa!A:Z,6,0))</f>
        <v>0</v>
      </c>
      <c r="R67" s="188">
        <f t="shared" si="6"/>
        <v>1.000001</v>
      </c>
      <c r="S67" s="189" t="str">
        <f t="shared" si="7"/>
        <v>#N/A</v>
      </c>
    </row>
    <row r="68">
      <c r="A68" s="190"/>
      <c r="B68" s="178" t="s">
        <v>3337</v>
      </c>
      <c r="C68" s="179" t="str">
        <f>VLOOKUP(B68,'Dados ClubeFII'!$A:$Z,26,0)</f>
        <v>#N/A</v>
      </c>
      <c r="D68" s="180" t="str">
        <f>VLOOKUP(B68,'Dados ClubeFII'!$A:$Z,20,0)/100</f>
        <v>#N/A</v>
      </c>
      <c r="E68" s="89" t="str">
        <f t="shared" si="1"/>
        <v>#N/A</v>
      </c>
      <c r="F68" s="181">
        <f>IF(ISERROR(1/VLOOKUP(B68,Capa!A:Z,13,0)),0,1/VLOOKUP(B68,Capa!A:Z,13,0))</f>
        <v>0</v>
      </c>
      <c r="G68" s="182">
        <f t="shared" si="2"/>
        <v>1.000001</v>
      </c>
      <c r="H68" s="183" t="str">
        <f t="shared" si="3"/>
        <v>#N/A</v>
      </c>
      <c r="M68" s="178" t="s">
        <v>3337</v>
      </c>
      <c r="N68" s="179" t="str">
        <f>VLOOKUP(M68,'Dados ClubeFII'!$A:$Z,26,0)</f>
        <v>#N/A</v>
      </c>
      <c r="O68" s="185" t="str">
        <f>VLOOKUP(M68,'Dados ClubeFII'!$A:$Z,18,0)/100</f>
        <v>#N/A</v>
      </c>
      <c r="P68" s="186" t="str">
        <f t="shared" si="5"/>
        <v>#N/A</v>
      </c>
      <c r="Q68" s="187">
        <f>IF(ISERROR(1/VLOOKUP(M68,Capa!A:Z,6,0)),0,1/VLOOKUP(M68,Capa!A:Z,6,0))</f>
        <v>0</v>
      </c>
      <c r="R68" s="188">
        <f t="shared" si="6"/>
        <v>1.000001</v>
      </c>
      <c r="S68" s="189" t="str">
        <f t="shared" si="7"/>
        <v>#N/A</v>
      </c>
    </row>
    <row r="69">
      <c r="A69" s="190"/>
      <c r="B69" s="178" t="s">
        <v>3338</v>
      </c>
      <c r="C69" s="179" t="str">
        <f>VLOOKUP(B69,'Dados ClubeFII'!$A:$Z,26,0)</f>
        <v>#N/A</v>
      </c>
      <c r="D69" s="180" t="str">
        <f>VLOOKUP(B69,'Dados ClubeFII'!$A:$Z,20,0)/100</f>
        <v>#N/A</v>
      </c>
      <c r="E69" s="89" t="str">
        <f t="shared" si="1"/>
        <v>#N/A</v>
      </c>
      <c r="F69" s="181">
        <f>IF(ISERROR(1/VLOOKUP(B69,Capa!A:Z,13,0)),0,1/VLOOKUP(B69,Capa!A:Z,13,0))</f>
        <v>0</v>
      </c>
      <c r="G69" s="182">
        <f t="shared" si="2"/>
        <v>1.000001</v>
      </c>
      <c r="H69" s="183" t="str">
        <f t="shared" si="3"/>
        <v>#N/A</v>
      </c>
      <c r="M69" s="178" t="s">
        <v>3338</v>
      </c>
      <c r="N69" s="179" t="str">
        <f>VLOOKUP(M69,'Dados ClubeFII'!$A:$Z,26,0)</f>
        <v>#N/A</v>
      </c>
      <c r="O69" s="185" t="str">
        <f>VLOOKUP(M69,'Dados ClubeFII'!$A:$Z,18,0)/100</f>
        <v>#N/A</v>
      </c>
      <c r="P69" s="186" t="str">
        <f t="shared" si="5"/>
        <v>#N/A</v>
      </c>
      <c r="Q69" s="187">
        <f>IF(ISERROR(1/VLOOKUP(M69,Capa!A:Z,6,0)),0,1/VLOOKUP(M69,Capa!A:Z,6,0))</f>
        <v>0</v>
      </c>
      <c r="R69" s="188">
        <f t="shared" si="6"/>
        <v>1.000001</v>
      </c>
      <c r="S69" s="189" t="str">
        <f t="shared" si="7"/>
        <v>#N/A</v>
      </c>
    </row>
    <row r="70">
      <c r="A70" s="190"/>
      <c r="B70" s="178" t="s">
        <v>3339</v>
      </c>
      <c r="C70" s="179" t="str">
        <f>VLOOKUP(B70,'Dados ClubeFII'!$A:$Z,26,0)</f>
        <v>#N/A</v>
      </c>
      <c r="D70" s="180" t="str">
        <f>VLOOKUP(B70,'Dados ClubeFII'!$A:$Z,20,0)/100</f>
        <v>#N/A</v>
      </c>
      <c r="E70" s="89" t="str">
        <f t="shared" si="1"/>
        <v>#N/A</v>
      </c>
      <c r="F70" s="181">
        <f>IF(ISERROR(1/VLOOKUP(B70,Capa!A:Z,13,0)),0,1/VLOOKUP(B70,Capa!A:Z,13,0))</f>
        <v>0</v>
      </c>
      <c r="G70" s="182">
        <f t="shared" si="2"/>
        <v>1.000001</v>
      </c>
      <c r="H70" s="183" t="str">
        <f t="shared" si="3"/>
        <v>#N/A</v>
      </c>
      <c r="M70" s="178" t="s">
        <v>3339</v>
      </c>
      <c r="N70" s="179" t="str">
        <f>VLOOKUP(M70,'Dados ClubeFII'!$A:$Z,26,0)</f>
        <v>#N/A</v>
      </c>
      <c r="O70" s="185" t="str">
        <f>VLOOKUP(M70,'Dados ClubeFII'!$A:$Z,18,0)/100</f>
        <v>#N/A</v>
      </c>
      <c r="P70" s="186" t="str">
        <f t="shared" si="5"/>
        <v>#N/A</v>
      </c>
      <c r="Q70" s="187">
        <f>IF(ISERROR(1/VLOOKUP(M70,Capa!A:Z,6,0)),0,1/VLOOKUP(M70,Capa!A:Z,6,0))</f>
        <v>0</v>
      </c>
      <c r="R70" s="188">
        <f t="shared" si="6"/>
        <v>1.000001</v>
      </c>
      <c r="S70" s="189" t="str">
        <f t="shared" si="7"/>
        <v>#N/A</v>
      </c>
    </row>
    <row r="71">
      <c r="A71" s="190"/>
      <c r="B71" s="178" t="s">
        <v>3340</v>
      </c>
      <c r="C71" s="179" t="str">
        <f>VLOOKUP(B71,'Dados ClubeFII'!$A:$Z,26,0)</f>
        <v>#N/A</v>
      </c>
      <c r="D71" s="180" t="str">
        <f>VLOOKUP(B71,'Dados ClubeFII'!$A:$Z,20,0)/100</f>
        <v>#N/A</v>
      </c>
      <c r="E71" s="89" t="str">
        <f t="shared" si="1"/>
        <v>#N/A</v>
      </c>
      <c r="F71" s="181">
        <f>IF(ISERROR(1/VLOOKUP(B71,Capa!A:Z,13,0)),0,1/VLOOKUP(B71,Capa!A:Z,13,0))</f>
        <v>0</v>
      </c>
      <c r="G71" s="182">
        <f t="shared" si="2"/>
        <v>1.000001</v>
      </c>
      <c r="H71" s="183" t="str">
        <f t="shared" si="3"/>
        <v>#N/A</v>
      </c>
      <c r="M71" s="178" t="s">
        <v>3340</v>
      </c>
      <c r="N71" s="179" t="str">
        <f>VLOOKUP(M71,'Dados ClubeFII'!$A:$Z,26,0)</f>
        <v>#N/A</v>
      </c>
      <c r="O71" s="185" t="str">
        <f>VLOOKUP(M71,'Dados ClubeFII'!$A:$Z,18,0)/100</f>
        <v>#N/A</v>
      </c>
      <c r="P71" s="186" t="str">
        <f t="shared" si="5"/>
        <v>#N/A</v>
      </c>
      <c r="Q71" s="187">
        <f>IF(ISERROR(1/VLOOKUP(M71,Capa!A:Z,6,0)),0,1/VLOOKUP(M71,Capa!A:Z,6,0))</f>
        <v>0</v>
      </c>
      <c r="R71" s="188">
        <f t="shared" si="6"/>
        <v>1.000001</v>
      </c>
      <c r="S71" s="189" t="str">
        <f t="shared" si="7"/>
        <v>#N/A</v>
      </c>
    </row>
    <row r="72">
      <c r="A72" s="190"/>
      <c r="B72" s="178" t="s">
        <v>3341</v>
      </c>
      <c r="C72" s="179" t="str">
        <f>VLOOKUP(B72,'Dados ClubeFII'!$A:$Z,26,0)</f>
        <v>#N/A</v>
      </c>
      <c r="D72" s="180" t="str">
        <f>VLOOKUP(B72,'Dados ClubeFII'!$A:$Z,20,0)/100</f>
        <v>#N/A</v>
      </c>
      <c r="E72" s="89" t="str">
        <f t="shared" si="1"/>
        <v>#N/A</v>
      </c>
      <c r="F72" s="181">
        <f>IF(ISERROR(1/VLOOKUP(B72,Capa!A:Z,13,0)),0,1/VLOOKUP(B72,Capa!A:Z,13,0))</f>
        <v>0</v>
      </c>
      <c r="G72" s="182">
        <f t="shared" si="2"/>
        <v>1.000001</v>
      </c>
      <c r="H72" s="183" t="str">
        <f t="shared" si="3"/>
        <v>#N/A</v>
      </c>
      <c r="M72" s="178" t="s">
        <v>3341</v>
      </c>
      <c r="N72" s="179" t="str">
        <f>VLOOKUP(M72,'Dados ClubeFII'!$A:$Z,26,0)</f>
        <v>#N/A</v>
      </c>
      <c r="O72" s="185" t="str">
        <f>VLOOKUP(M72,'Dados ClubeFII'!$A:$Z,18,0)/100</f>
        <v>#N/A</v>
      </c>
      <c r="P72" s="186" t="str">
        <f t="shared" si="5"/>
        <v>#N/A</v>
      </c>
      <c r="Q72" s="187">
        <f>IF(ISERROR(1/VLOOKUP(M72,Capa!A:Z,6,0)),0,1/VLOOKUP(M72,Capa!A:Z,6,0))</f>
        <v>0</v>
      </c>
      <c r="R72" s="188">
        <f t="shared" si="6"/>
        <v>1.000001</v>
      </c>
      <c r="S72" s="189" t="str">
        <f t="shared" si="7"/>
        <v>#N/A</v>
      </c>
    </row>
    <row r="73">
      <c r="A73" s="190"/>
      <c r="B73" s="178" t="s">
        <v>3342</v>
      </c>
      <c r="C73" s="179" t="str">
        <f>VLOOKUP(B73,'Dados ClubeFII'!$A:$Z,26,0)</f>
        <v>#N/A</v>
      </c>
      <c r="D73" s="180" t="str">
        <f>VLOOKUP(B73,'Dados ClubeFII'!$A:$Z,20,0)/100</f>
        <v>#N/A</v>
      </c>
      <c r="E73" s="89" t="str">
        <f t="shared" si="1"/>
        <v>#N/A</v>
      </c>
      <c r="F73" s="181">
        <f>IF(ISERROR(1/VLOOKUP(B73,Capa!A:Z,13,0)),0,1/VLOOKUP(B73,Capa!A:Z,13,0))</f>
        <v>0</v>
      </c>
      <c r="G73" s="182">
        <f t="shared" si="2"/>
        <v>1.000001</v>
      </c>
      <c r="H73" s="183" t="str">
        <f t="shared" si="3"/>
        <v>#N/A</v>
      </c>
      <c r="M73" s="178" t="s">
        <v>3342</v>
      </c>
      <c r="N73" s="179" t="str">
        <f>VLOOKUP(M73,'Dados ClubeFII'!$A:$Z,26,0)</f>
        <v>#N/A</v>
      </c>
      <c r="O73" s="185" t="str">
        <f>VLOOKUP(M73,'Dados ClubeFII'!$A:$Z,18,0)/100</f>
        <v>#N/A</v>
      </c>
      <c r="P73" s="186" t="str">
        <f t="shared" si="5"/>
        <v>#N/A</v>
      </c>
      <c r="Q73" s="187">
        <f>IF(ISERROR(1/VLOOKUP(M73,Capa!A:Z,6,0)),0,1/VLOOKUP(M73,Capa!A:Z,6,0))</f>
        <v>0</v>
      </c>
      <c r="R73" s="188">
        <f t="shared" si="6"/>
        <v>1.000001</v>
      </c>
      <c r="S73" s="189" t="str">
        <f t="shared" si="7"/>
        <v>#N/A</v>
      </c>
    </row>
    <row r="74">
      <c r="A74" s="190"/>
      <c r="B74" s="178" t="s">
        <v>3343</v>
      </c>
      <c r="C74" s="179" t="str">
        <f>VLOOKUP(B74,'Dados ClubeFII'!$A:$Z,26,0)</f>
        <v>#N/A</v>
      </c>
      <c r="D74" s="180" t="str">
        <f>VLOOKUP(B74,'Dados ClubeFII'!$A:$Z,20,0)/100</f>
        <v>#N/A</v>
      </c>
      <c r="E74" s="89" t="str">
        <f t="shared" si="1"/>
        <v>#N/A</v>
      </c>
      <c r="F74" s="181">
        <f>IF(ISERROR(1/VLOOKUP(B74,Capa!A:Z,13,0)),0,1/VLOOKUP(B74,Capa!A:Z,13,0))</f>
        <v>0</v>
      </c>
      <c r="G74" s="182">
        <f t="shared" si="2"/>
        <v>1.000001</v>
      </c>
      <c r="H74" s="183" t="str">
        <f t="shared" si="3"/>
        <v>#N/A</v>
      </c>
      <c r="M74" s="178" t="s">
        <v>3343</v>
      </c>
      <c r="N74" s="179" t="str">
        <f>VLOOKUP(M74,'Dados ClubeFII'!$A:$Z,26,0)</f>
        <v>#N/A</v>
      </c>
      <c r="O74" s="185" t="str">
        <f>VLOOKUP(M74,'Dados ClubeFII'!$A:$Z,18,0)/100</f>
        <v>#N/A</v>
      </c>
      <c r="P74" s="186" t="str">
        <f t="shared" si="5"/>
        <v>#N/A</v>
      </c>
      <c r="Q74" s="187">
        <f>IF(ISERROR(1/VLOOKUP(M74,Capa!A:Z,6,0)),0,1/VLOOKUP(M74,Capa!A:Z,6,0))</f>
        <v>0</v>
      </c>
      <c r="R74" s="188">
        <f t="shared" si="6"/>
        <v>1.000001</v>
      </c>
      <c r="S74" s="189" t="str">
        <f t="shared" si="7"/>
        <v>#N/A</v>
      </c>
    </row>
    <row r="75">
      <c r="A75" s="190"/>
      <c r="B75" s="178" t="s">
        <v>3344</v>
      </c>
      <c r="C75" s="179" t="str">
        <f>VLOOKUP(B75,'Dados ClubeFII'!$A:$Z,26,0)</f>
        <v>#N/A</v>
      </c>
      <c r="D75" s="180" t="str">
        <f>VLOOKUP(B75,'Dados ClubeFII'!$A:$Z,20,0)/100</f>
        <v>#N/A</v>
      </c>
      <c r="E75" s="89" t="str">
        <f t="shared" si="1"/>
        <v>#N/A</v>
      </c>
      <c r="F75" s="181">
        <f>IF(ISERROR(1/VLOOKUP(B75,Capa!A:Z,13,0)),0,1/VLOOKUP(B75,Capa!A:Z,13,0))</f>
        <v>0</v>
      </c>
      <c r="G75" s="182">
        <f t="shared" si="2"/>
        <v>1.000001</v>
      </c>
      <c r="H75" s="183" t="str">
        <f t="shared" si="3"/>
        <v>#N/A</v>
      </c>
      <c r="M75" s="178" t="s">
        <v>3344</v>
      </c>
      <c r="N75" s="179" t="str">
        <f>VLOOKUP(M75,'Dados ClubeFII'!$A:$Z,26,0)</f>
        <v>#N/A</v>
      </c>
      <c r="O75" s="185" t="str">
        <f>VLOOKUP(M75,'Dados ClubeFII'!$A:$Z,18,0)/100</f>
        <v>#N/A</v>
      </c>
      <c r="P75" s="186" t="str">
        <f t="shared" si="5"/>
        <v>#N/A</v>
      </c>
      <c r="Q75" s="187">
        <f>IF(ISERROR(1/VLOOKUP(M75,Capa!A:Z,6,0)),0,1/VLOOKUP(M75,Capa!A:Z,6,0))</f>
        <v>0</v>
      </c>
      <c r="R75" s="188">
        <f t="shared" si="6"/>
        <v>1.000001</v>
      </c>
      <c r="S75" s="189" t="str">
        <f t="shared" si="7"/>
        <v>#N/A</v>
      </c>
    </row>
    <row r="76">
      <c r="A76" s="190"/>
      <c r="B76" s="178" t="s">
        <v>3345</v>
      </c>
      <c r="C76" s="179" t="str">
        <f>VLOOKUP(B76,'Dados ClubeFII'!$A:$Z,26,0)</f>
        <v>#N/A</v>
      </c>
      <c r="D76" s="180" t="str">
        <f>VLOOKUP(B76,'Dados ClubeFII'!$A:$Z,20,0)/100</f>
        <v>#N/A</v>
      </c>
      <c r="E76" s="89" t="str">
        <f t="shared" si="1"/>
        <v>#N/A</v>
      </c>
      <c r="F76" s="181">
        <f>IF(ISERROR(1/VLOOKUP(B76,Capa!A:Z,13,0)),0,1/VLOOKUP(B76,Capa!A:Z,13,0))</f>
        <v>0</v>
      </c>
      <c r="G76" s="182">
        <f t="shared" si="2"/>
        <v>1.000001</v>
      </c>
      <c r="H76" s="183" t="str">
        <f t="shared" si="3"/>
        <v>#N/A</v>
      </c>
      <c r="M76" s="178" t="s">
        <v>3345</v>
      </c>
      <c r="N76" s="179" t="str">
        <f>VLOOKUP(M76,'Dados ClubeFII'!$A:$Z,26,0)</f>
        <v>#N/A</v>
      </c>
      <c r="O76" s="185" t="str">
        <f>VLOOKUP(M76,'Dados ClubeFII'!$A:$Z,18,0)/100</f>
        <v>#N/A</v>
      </c>
      <c r="P76" s="186" t="str">
        <f t="shared" si="5"/>
        <v>#N/A</v>
      </c>
      <c r="Q76" s="187">
        <f>IF(ISERROR(1/VLOOKUP(M76,Capa!A:Z,6,0)),0,1/VLOOKUP(M76,Capa!A:Z,6,0))</f>
        <v>0</v>
      </c>
      <c r="R76" s="188">
        <f t="shared" si="6"/>
        <v>1.000001</v>
      </c>
      <c r="S76" s="189" t="str">
        <f t="shared" si="7"/>
        <v>#N/A</v>
      </c>
    </row>
    <row r="77">
      <c r="A77" s="190"/>
      <c r="B77" s="178" t="s">
        <v>3346</v>
      </c>
      <c r="C77" s="179" t="str">
        <f>VLOOKUP(B77,'Dados ClubeFII'!$A:$Z,26,0)</f>
        <v>#N/A</v>
      </c>
      <c r="D77" s="180" t="str">
        <f>VLOOKUP(B77,'Dados ClubeFII'!$A:$Z,20,0)/100</f>
        <v>#N/A</v>
      </c>
      <c r="E77" s="89" t="str">
        <f t="shared" si="1"/>
        <v>#N/A</v>
      </c>
      <c r="F77" s="181">
        <f>IF(ISERROR(1/VLOOKUP(B77,Capa!A:Z,13,0)),0,1/VLOOKUP(B77,Capa!A:Z,13,0))</f>
        <v>0</v>
      </c>
      <c r="G77" s="182">
        <f t="shared" si="2"/>
        <v>1.000001</v>
      </c>
      <c r="H77" s="183" t="str">
        <f t="shared" si="3"/>
        <v>#N/A</v>
      </c>
      <c r="M77" s="178" t="s">
        <v>3346</v>
      </c>
      <c r="N77" s="179" t="str">
        <f>VLOOKUP(M77,'Dados ClubeFII'!$A:$Z,26,0)</f>
        <v>#N/A</v>
      </c>
      <c r="O77" s="185" t="str">
        <f>VLOOKUP(M77,'Dados ClubeFII'!$A:$Z,18,0)/100</f>
        <v>#N/A</v>
      </c>
      <c r="P77" s="186" t="str">
        <f t="shared" si="5"/>
        <v>#N/A</v>
      </c>
      <c r="Q77" s="187">
        <f>IF(ISERROR(1/VLOOKUP(M77,Capa!A:Z,6,0)),0,1/VLOOKUP(M77,Capa!A:Z,6,0))</f>
        <v>0</v>
      </c>
      <c r="R77" s="188">
        <f t="shared" si="6"/>
        <v>1.000001</v>
      </c>
      <c r="S77" s="189" t="str">
        <f t="shared" si="7"/>
        <v>#N/A</v>
      </c>
    </row>
    <row r="78">
      <c r="A78" s="190"/>
      <c r="B78" s="178" t="s">
        <v>3347</v>
      </c>
      <c r="C78" s="179" t="str">
        <f>VLOOKUP(B78,'Dados ClubeFII'!$A:$Z,26,0)</f>
        <v>#N/A</v>
      </c>
      <c r="D78" s="180" t="str">
        <f>VLOOKUP(B78,'Dados ClubeFII'!$A:$Z,20,0)/100</f>
        <v>#N/A</v>
      </c>
      <c r="E78" s="89" t="str">
        <f t="shared" si="1"/>
        <v>#N/A</v>
      </c>
      <c r="F78" s="181">
        <f>IF(ISERROR(1/VLOOKUP(B78,Capa!A:Z,13,0)),0,1/VLOOKUP(B78,Capa!A:Z,13,0))</f>
        <v>0</v>
      </c>
      <c r="G78" s="182">
        <f t="shared" si="2"/>
        <v>1.000001</v>
      </c>
      <c r="H78" s="183" t="str">
        <f t="shared" si="3"/>
        <v>#N/A</v>
      </c>
      <c r="M78" s="178" t="s">
        <v>3347</v>
      </c>
      <c r="N78" s="179" t="str">
        <f>VLOOKUP(M78,'Dados ClubeFII'!$A:$Z,26,0)</f>
        <v>#N/A</v>
      </c>
      <c r="O78" s="185" t="str">
        <f>VLOOKUP(M78,'Dados ClubeFII'!$A:$Z,18,0)/100</f>
        <v>#N/A</v>
      </c>
      <c r="P78" s="186" t="str">
        <f t="shared" si="5"/>
        <v>#N/A</v>
      </c>
      <c r="Q78" s="187">
        <f>IF(ISERROR(1/VLOOKUP(M78,Capa!A:Z,6,0)),0,1/VLOOKUP(M78,Capa!A:Z,6,0))</f>
        <v>0</v>
      </c>
      <c r="R78" s="188">
        <f t="shared" si="6"/>
        <v>1.000001</v>
      </c>
      <c r="S78" s="189" t="str">
        <f t="shared" si="7"/>
        <v>#N/A</v>
      </c>
    </row>
    <row r="79">
      <c r="A79" s="190"/>
      <c r="B79" s="178" t="s">
        <v>3348</v>
      </c>
      <c r="C79" s="179" t="str">
        <f>VLOOKUP(B79,'Dados ClubeFII'!$A:$Z,26,0)</f>
        <v>#N/A</v>
      </c>
      <c r="D79" s="180" t="str">
        <f>VLOOKUP(B79,'Dados ClubeFII'!$A:$Z,20,0)/100</f>
        <v>#N/A</v>
      </c>
      <c r="E79" s="89" t="str">
        <f t="shared" si="1"/>
        <v>#N/A</v>
      </c>
      <c r="F79" s="181">
        <f>IF(ISERROR(1/VLOOKUP(B79,Capa!A:Z,13,0)),0,1/VLOOKUP(B79,Capa!A:Z,13,0))</f>
        <v>0</v>
      </c>
      <c r="G79" s="182">
        <f t="shared" si="2"/>
        <v>1.000001</v>
      </c>
      <c r="H79" s="183" t="str">
        <f t="shared" si="3"/>
        <v>#N/A</v>
      </c>
      <c r="M79" s="178" t="s">
        <v>3348</v>
      </c>
      <c r="N79" s="179" t="str">
        <f>VLOOKUP(M79,'Dados ClubeFII'!$A:$Z,26,0)</f>
        <v>#N/A</v>
      </c>
      <c r="O79" s="185" t="str">
        <f>VLOOKUP(M79,'Dados ClubeFII'!$A:$Z,18,0)/100</f>
        <v>#N/A</v>
      </c>
      <c r="P79" s="186" t="str">
        <f t="shared" si="5"/>
        <v>#N/A</v>
      </c>
      <c r="Q79" s="187">
        <f>IF(ISERROR(1/VLOOKUP(M79,Capa!A:Z,6,0)),0,1/VLOOKUP(M79,Capa!A:Z,6,0))</f>
        <v>0</v>
      </c>
      <c r="R79" s="188">
        <f t="shared" si="6"/>
        <v>1.000001</v>
      </c>
      <c r="S79" s="189" t="str">
        <f t="shared" si="7"/>
        <v>#N/A</v>
      </c>
    </row>
    <row r="80">
      <c r="A80" s="190"/>
      <c r="B80" s="178" t="s">
        <v>3349</v>
      </c>
      <c r="C80" s="179" t="str">
        <f>VLOOKUP(B80,'Dados ClubeFII'!$A:$Z,26,0)</f>
        <v>#N/A</v>
      </c>
      <c r="D80" s="180" t="str">
        <f>VLOOKUP(B80,'Dados ClubeFII'!$A:$Z,20,0)/100</f>
        <v>#N/A</v>
      </c>
      <c r="E80" s="89" t="str">
        <f t="shared" si="1"/>
        <v>#N/A</v>
      </c>
      <c r="F80" s="181">
        <f>IF(ISERROR(1/VLOOKUP(B80,Capa!A:Z,13,0)),0,1/VLOOKUP(B80,Capa!A:Z,13,0))</f>
        <v>0</v>
      </c>
      <c r="G80" s="182">
        <f t="shared" si="2"/>
        <v>1.000001</v>
      </c>
      <c r="H80" s="183" t="str">
        <f t="shared" si="3"/>
        <v>#N/A</v>
      </c>
      <c r="M80" s="178" t="s">
        <v>3349</v>
      </c>
      <c r="N80" s="179" t="str">
        <f>VLOOKUP(M80,'Dados ClubeFII'!$A:$Z,26,0)</f>
        <v>#N/A</v>
      </c>
      <c r="O80" s="185" t="str">
        <f>VLOOKUP(M80,'Dados ClubeFII'!$A:$Z,18,0)/100</f>
        <v>#N/A</v>
      </c>
      <c r="P80" s="186" t="str">
        <f t="shared" si="5"/>
        <v>#N/A</v>
      </c>
      <c r="Q80" s="187">
        <f>IF(ISERROR(1/VLOOKUP(M80,Capa!A:Z,6,0)),0,1/VLOOKUP(M80,Capa!A:Z,6,0))</f>
        <v>0</v>
      </c>
      <c r="R80" s="188">
        <f t="shared" si="6"/>
        <v>1.000001</v>
      </c>
      <c r="S80" s="189" t="str">
        <f t="shared" si="7"/>
        <v>#N/A</v>
      </c>
    </row>
    <row r="81">
      <c r="A81" s="190"/>
      <c r="B81" s="178" t="s">
        <v>3350</v>
      </c>
      <c r="C81" s="179" t="str">
        <f>VLOOKUP(B81,'Dados ClubeFII'!$A:$Z,26,0)</f>
        <v>#N/A</v>
      </c>
      <c r="D81" s="180" t="str">
        <f>VLOOKUP(B81,'Dados ClubeFII'!$A:$Z,20,0)/100</f>
        <v>#N/A</v>
      </c>
      <c r="E81" s="89" t="str">
        <f t="shared" si="1"/>
        <v>#N/A</v>
      </c>
      <c r="F81" s="181">
        <f>IF(ISERROR(1/VLOOKUP(B81,Capa!A:Z,13,0)),0,1/VLOOKUP(B81,Capa!A:Z,13,0))</f>
        <v>0</v>
      </c>
      <c r="G81" s="182">
        <f t="shared" si="2"/>
        <v>1.000001</v>
      </c>
      <c r="H81" s="183" t="str">
        <f t="shared" si="3"/>
        <v>#N/A</v>
      </c>
      <c r="M81" s="178" t="s">
        <v>3350</v>
      </c>
      <c r="N81" s="179" t="str">
        <f>VLOOKUP(M81,'Dados ClubeFII'!$A:$Z,26,0)</f>
        <v>#N/A</v>
      </c>
      <c r="O81" s="185" t="str">
        <f>VLOOKUP(M81,'Dados ClubeFII'!$A:$Z,18,0)/100</f>
        <v>#N/A</v>
      </c>
      <c r="P81" s="186" t="str">
        <f t="shared" si="5"/>
        <v>#N/A</v>
      </c>
      <c r="Q81" s="187">
        <f>IF(ISERROR(1/VLOOKUP(M81,Capa!A:Z,6,0)),0,1/VLOOKUP(M81,Capa!A:Z,6,0))</f>
        <v>0</v>
      </c>
      <c r="R81" s="188">
        <f t="shared" si="6"/>
        <v>1.000001</v>
      </c>
      <c r="S81" s="189" t="str">
        <f t="shared" si="7"/>
        <v>#N/A</v>
      </c>
    </row>
    <row r="82">
      <c r="A82" s="190"/>
      <c r="B82" s="178" t="s">
        <v>3351</v>
      </c>
      <c r="C82" s="179" t="str">
        <f>VLOOKUP(B82,'Dados ClubeFII'!$A:$Z,26,0)</f>
        <v>#N/A</v>
      </c>
      <c r="D82" s="180" t="str">
        <f>VLOOKUP(B82,'Dados ClubeFII'!$A:$Z,20,0)/100</f>
        <v>#N/A</v>
      </c>
      <c r="E82" s="89" t="str">
        <f t="shared" si="1"/>
        <v>#N/A</v>
      </c>
      <c r="F82" s="181">
        <f>IF(ISERROR(1/VLOOKUP(B82,Capa!A:Z,13,0)),0,1/VLOOKUP(B82,Capa!A:Z,13,0))</f>
        <v>0</v>
      </c>
      <c r="G82" s="182">
        <f t="shared" si="2"/>
        <v>1.000001</v>
      </c>
      <c r="H82" s="183" t="str">
        <f t="shared" si="3"/>
        <v>#N/A</v>
      </c>
      <c r="M82" s="178" t="s">
        <v>3351</v>
      </c>
      <c r="N82" s="179" t="str">
        <f>VLOOKUP(M82,'Dados ClubeFII'!$A:$Z,26,0)</f>
        <v>#N/A</v>
      </c>
      <c r="O82" s="185" t="str">
        <f>VLOOKUP(M82,'Dados ClubeFII'!$A:$Z,18,0)/100</f>
        <v>#N/A</v>
      </c>
      <c r="P82" s="186" t="str">
        <f t="shared" si="5"/>
        <v>#N/A</v>
      </c>
      <c r="Q82" s="187">
        <f>IF(ISERROR(1/VLOOKUP(M82,Capa!A:Z,6,0)),0,1/VLOOKUP(M82,Capa!A:Z,6,0))</f>
        <v>0</v>
      </c>
      <c r="R82" s="188">
        <f t="shared" si="6"/>
        <v>1.000001</v>
      </c>
      <c r="S82" s="189" t="str">
        <f t="shared" si="7"/>
        <v>#N/A</v>
      </c>
    </row>
    <row r="83">
      <c r="A83" s="190"/>
      <c r="B83" s="178" t="s">
        <v>3352</v>
      </c>
      <c r="C83" s="179" t="str">
        <f>VLOOKUP(B83,'Dados ClubeFII'!$A:$Z,26,0)</f>
        <v>#N/A</v>
      </c>
      <c r="D83" s="180" t="str">
        <f>VLOOKUP(B83,'Dados ClubeFII'!$A:$Z,20,0)/100</f>
        <v>#N/A</v>
      </c>
      <c r="E83" s="89" t="str">
        <f t="shared" si="1"/>
        <v>#N/A</v>
      </c>
      <c r="F83" s="181">
        <f>IF(ISERROR(1/VLOOKUP(B83,Capa!A:Z,13,0)),0,1/VLOOKUP(B83,Capa!A:Z,13,0))</f>
        <v>0</v>
      </c>
      <c r="G83" s="182">
        <f t="shared" si="2"/>
        <v>1.000001</v>
      </c>
      <c r="H83" s="183" t="str">
        <f t="shared" si="3"/>
        <v>#N/A</v>
      </c>
      <c r="M83" s="178" t="s">
        <v>3352</v>
      </c>
      <c r="N83" s="179" t="str">
        <f>VLOOKUP(M83,'Dados ClubeFII'!$A:$Z,26,0)</f>
        <v>#N/A</v>
      </c>
      <c r="O83" s="185" t="str">
        <f>VLOOKUP(M83,'Dados ClubeFII'!$A:$Z,18,0)/100</f>
        <v>#N/A</v>
      </c>
      <c r="P83" s="186" t="str">
        <f t="shared" si="5"/>
        <v>#N/A</v>
      </c>
      <c r="Q83" s="187">
        <f>IF(ISERROR(1/VLOOKUP(M83,Capa!A:Z,6,0)),0,1/VLOOKUP(M83,Capa!A:Z,6,0))</f>
        <v>0</v>
      </c>
      <c r="R83" s="188">
        <f t="shared" si="6"/>
        <v>1.000001</v>
      </c>
      <c r="S83" s="189" t="str">
        <f t="shared" si="7"/>
        <v>#N/A</v>
      </c>
    </row>
    <row r="84">
      <c r="A84" s="190"/>
      <c r="B84" s="178" t="s">
        <v>3353</v>
      </c>
      <c r="C84" s="179" t="str">
        <f>VLOOKUP(B84,'Dados ClubeFII'!$A:$Z,26,0)</f>
        <v>#N/A</v>
      </c>
      <c r="D84" s="180" t="str">
        <f>VLOOKUP(B84,'Dados ClubeFII'!$A:$Z,20,0)/100</f>
        <v>#N/A</v>
      </c>
      <c r="E84" s="89" t="str">
        <f t="shared" si="1"/>
        <v>#N/A</v>
      </c>
      <c r="F84" s="181">
        <f>IF(ISERROR(1/VLOOKUP(B84,Capa!A:Z,13,0)),0,1/VLOOKUP(B84,Capa!A:Z,13,0))</f>
        <v>0</v>
      </c>
      <c r="G84" s="182">
        <f t="shared" si="2"/>
        <v>1.000001</v>
      </c>
      <c r="H84" s="183" t="str">
        <f t="shared" si="3"/>
        <v>#N/A</v>
      </c>
      <c r="M84" s="178" t="s">
        <v>3353</v>
      </c>
      <c r="N84" s="179" t="str">
        <f>VLOOKUP(M84,'Dados ClubeFII'!$A:$Z,26,0)</f>
        <v>#N/A</v>
      </c>
      <c r="O84" s="185" t="str">
        <f>VLOOKUP(M84,'Dados ClubeFII'!$A:$Z,18,0)/100</f>
        <v>#N/A</v>
      </c>
      <c r="P84" s="186" t="str">
        <f t="shared" si="5"/>
        <v>#N/A</v>
      </c>
      <c r="Q84" s="187">
        <f>IF(ISERROR(1/VLOOKUP(M84,Capa!A:Z,6,0)),0,1/VLOOKUP(M84,Capa!A:Z,6,0))</f>
        <v>0</v>
      </c>
      <c r="R84" s="188">
        <f t="shared" si="6"/>
        <v>1.000001</v>
      </c>
      <c r="S84" s="189" t="str">
        <f t="shared" si="7"/>
        <v>#N/A</v>
      </c>
    </row>
    <row r="85">
      <c r="A85" s="190"/>
      <c r="B85" s="178" t="s">
        <v>3354</v>
      </c>
      <c r="C85" s="179" t="str">
        <f>VLOOKUP(B85,'Dados ClubeFII'!$A:$Z,26,0)</f>
        <v>#N/A</v>
      </c>
      <c r="D85" s="180" t="str">
        <f>VLOOKUP(B85,'Dados ClubeFII'!$A:$Z,20,0)/100</f>
        <v>#N/A</v>
      </c>
      <c r="E85" s="89" t="str">
        <f t="shared" si="1"/>
        <v>#N/A</v>
      </c>
      <c r="F85" s="181">
        <f>IF(ISERROR(1/VLOOKUP(B85,Capa!A:Z,13,0)),0,1/VLOOKUP(B85,Capa!A:Z,13,0))</f>
        <v>0</v>
      </c>
      <c r="G85" s="182">
        <f t="shared" si="2"/>
        <v>1.000001</v>
      </c>
      <c r="H85" s="183" t="str">
        <f t="shared" si="3"/>
        <v>#N/A</v>
      </c>
      <c r="M85" s="178" t="s">
        <v>3354</v>
      </c>
      <c r="N85" s="179" t="str">
        <f>VLOOKUP(M85,'Dados ClubeFII'!$A:$Z,26,0)</f>
        <v>#N/A</v>
      </c>
      <c r="O85" s="185" t="str">
        <f>VLOOKUP(M85,'Dados ClubeFII'!$A:$Z,18,0)/100</f>
        <v>#N/A</v>
      </c>
      <c r="P85" s="186" t="str">
        <f t="shared" si="5"/>
        <v>#N/A</v>
      </c>
      <c r="Q85" s="187">
        <f>IF(ISERROR(1/VLOOKUP(M85,Capa!A:Z,6,0)),0,1/VLOOKUP(M85,Capa!A:Z,6,0))</f>
        <v>0</v>
      </c>
      <c r="R85" s="188">
        <f t="shared" si="6"/>
        <v>1.000001</v>
      </c>
      <c r="S85" s="189" t="str">
        <f t="shared" si="7"/>
        <v>#N/A</v>
      </c>
    </row>
    <row r="86">
      <c r="A86" s="190"/>
      <c r="B86" s="178" t="s">
        <v>3355</v>
      </c>
      <c r="C86" s="179" t="str">
        <f>VLOOKUP(B86,'Dados ClubeFII'!$A:$Z,26,0)</f>
        <v>#N/A</v>
      </c>
      <c r="D86" s="180" t="str">
        <f>VLOOKUP(B86,'Dados ClubeFII'!$A:$Z,20,0)/100</f>
        <v>#N/A</v>
      </c>
      <c r="E86" s="89" t="str">
        <f t="shared" si="1"/>
        <v>#N/A</v>
      </c>
      <c r="F86" s="181">
        <f>IF(ISERROR(1/VLOOKUP(B86,Capa!A:Z,13,0)),0,1/VLOOKUP(B86,Capa!A:Z,13,0))</f>
        <v>0</v>
      </c>
      <c r="G86" s="182">
        <f t="shared" si="2"/>
        <v>1.000001</v>
      </c>
      <c r="H86" s="183" t="str">
        <f t="shared" si="3"/>
        <v>#N/A</v>
      </c>
      <c r="M86" s="178" t="s">
        <v>3355</v>
      </c>
      <c r="N86" s="179" t="str">
        <f>VLOOKUP(M86,'Dados ClubeFII'!$A:$Z,26,0)</f>
        <v>#N/A</v>
      </c>
      <c r="O86" s="185" t="str">
        <f>VLOOKUP(M86,'Dados ClubeFII'!$A:$Z,18,0)/100</f>
        <v>#N/A</v>
      </c>
      <c r="P86" s="186" t="str">
        <f t="shared" si="5"/>
        <v>#N/A</v>
      </c>
      <c r="Q86" s="187">
        <f>IF(ISERROR(1/VLOOKUP(M86,Capa!A:Z,6,0)),0,1/VLOOKUP(M86,Capa!A:Z,6,0))</f>
        <v>0</v>
      </c>
      <c r="R86" s="188">
        <f t="shared" si="6"/>
        <v>1.000001</v>
      </c>
      <c r="S86" s="189" t="str">
        <f t="shared" si="7"/>
        <v>#N/A</v>
      </c>
    </row>
    <row r="87">
      <c r="A87" s="190"/>
      <c r="B87" s="178" t="s">
        <v>3356</v>
      </c>
      <c r="C87" s="179" t="str">
        <f>VLOOKUP(B87,'Dados ClubeFII'!$A:$Z,26,0)</f>
        <v>#N/A</v>
      </c>
      <c r="D87" s="180" t="str">
        <f>VLOOKUP(B87,'Dados ClubeFII'!$A:$Z,20,0)/100</f>
        <v>#N/A</v>
      </c>
      <c r="E87" s="89" t="str">
        <f t="shared" si="1"/>
        <v>#N/A</v>
      </c>
      <c r="F87" s="181">
        <f>IF(ISERROR(1/VLOOKUP(B87,Capa!A:Z,13,0)),0,1/VLOOKUP(B87,Capa!A:Z,13,0))</f>
        <v>0</v>
      </c>
      <c r="G87" s="182">
        <f t="shared" si="2"/>
        <v>1.000001</v>
      </c>
      <c r="H87" s="183" t="str">
        <f t="shared" si="3"/>
        <v>#N/A</v>
      </c>
      <c r="M87" s="178" t="s">
        <v>3356</v>
      </c>
      <c r="N87" s="179" t="str">
        <f>VLOOKUP(M87,'Dados ClubeFII'!$A:$Z,26,0)</f>
        <v>#N/A</v>
      </c>
      <c r="O87" s="185" t="str">
        <f>VLOOKUP(M87,'Dados ClubeFII'!$A:$Z,18,0)/100</f>
        <v>#N/A</v>
      </c>
      <c r="P87" s="186" t="str">
        <f t="shared" si="5"/>
        <v>#N/A</v>
      </c>
      <c r="Q87" s="187">
        <f>IF(ISERROR(1/VLOOKUP(M87,Capa!A:Z,6,0)),0,1/VLOOKUP(M87,Capa!A:Z,6,0))</f>
        <v>0</v>
      </c>
      <c r="R87" s="188">
        <f t="shared" si="6"/>
        <v>1.000001</v>
      </c>
      <c r="S87" s="189" t="str">
        <f t="shared" si="7"/>
        <v>#N/A</v>
      </c>
    </row>
    <row r="88">
      <c r="A88" s="190"/>
      <c r="B88" s="178" t="s">
        <v>3357</v>
      </c>
      <c r="C88" s="179" t="str">
        <f>VLOOKUP(B88,'Dados ClubeFII'!$A:$Z,26,0)</f>
        <v>#N/A</v>
      </c>
      <c r="D88" s="180" t="str">
        <f>VLOOKUP(B88,'Dados ClubeFII'!$A:$Z,20,0)/100</f>
        <v>#N/A</v>
      </c>
      <c r="E88" s="89" t="str">
        <f t="shared" si="1"/>
        <v>#N/A</v>
      </c>
      <c r="F88" s="181">
        <f>IF(ISERROR(1/VLOOKUP(B88,Capa!A:Z,13,0)),0,1/VLOOKUP(B88,Capa!A:Z,13,0))</f>
        <v>0</v>
      </c>
      <c r="G88" s="182">
        <f t="shared" si="2"/>
        <v>1.000001</v>
      </c>
      <c r="H88" s="183" t="str">
        <f t="shared" si="3"/>
        <v>#N/A</v>
      </c>
      <c r="M88" s="178" t="s">
        <v>3357</v>
      </c>
      <c r="N88" s="179" t="str">
        <f>VLOOKUP(M88,'Dados ClubeFII'!$A:$Z,26,0)</f>
        <v>#N/A</v>
      </c>
      <c r="O88" s="185" t="str">
        <f>VLOOKUP(M88,'Dados ClubeFII'!$A:$Z,18,0)/100</f>
        <v>#N/A</v>
      </c>
      <c r="P88" s="186" t="str">
        <f t="shared" si="5"/>
        <v>#N/A</v>
      </c>
      <c r="Q88" s="187">
        <f>IF(ISERROR(1/VLOOKUP(M88,Capa!A:Z,6,0)),0,1/VLOOKUP(M88,Capa!A:Z,6,0))</f>
        <v>0</v>
      </c>
      <c r="R88" s="188">
        <f t="shared" si="6"/>
        <v>1.000001</v>
      </c>
      <c r="S88" s="189" t="str">
        <f t="shared" si="7"/>
        <v>#N/A</v>
      </c>
    </row>
    <row r="89">
      <c r="A89" s="190"/>
      <c r="B89" s="178" t="s">
        <v>3358</v>
      </c>
      <c r="C89" s="179" t="str">
        <f>VLOOKUP(B89,'Dados ClubeFII'!$A:$Z,26,0)</f>
        <v>#N/A</v>
      </c>
      <c r="D89" s="180" t="str">
        <f>VLOOKUP(B89,'Dados ClubeFII'!$A:$Z,20,0)/100</f>
        <v>#N/A</v>
      </c>
      <c r="E89" s="89" t="str">
        <f t="shared" si="1"/>
        <v>#N/A</v>
      </c>
      <c r="F89" s="181">
        <f>IF(ISERROR(1/VLOOKUP(B89,Capa!A:Z,13,0)),0,1/VLOOKUP(B89,Capa!A:Z,13,0))</f>
        <v>0</v>
      </c>
      <c r="G89" s="182">
        <f t="shared" si="2"/>
        <v>1.000001</v>
      </c>
      <c r="H89" s="183" t="str">
        <f t="shared" si="3"/>
        <v>#N/A</v>
      </c>
      <c r="M89" s="178" t="s">
        <v>3358</v>
      </c>
      <c r="N89" s="179" t="str">
        <f>VLOOKUP(M89,'Dados ClubeFII'!$A:$Z,26,0)</f>
        <v>#N/A</v>
      </c>
      <c r="O89" s="185" t="str">
        <f>VLOOKUP(M89,'Dados ClubeFII'!$A:$Z,18,0)/100</f>
        <v>#N/A</v>
      </c>
      <c r="P89" s="186" t="str">
        <f t="shared" si="5"/>
        <v>#N/A</v>
      </c>
      <c r="Q89" s="187">
        <f>IF(ISERROR(1/VLOOKUP(M89,Capa!A:Z,6,0)),0,1/VLOOKUP(M89,Capa!A:Z,6,0))</f>
        <v>0</v>
      </c>
      <c r="R89" s="188">
        <f t="shared" si="6"/>
        <v>1.000001</v>
      </c>
      <c r="S89" s="189" t="str">
        <f t="shared" si="7"/>
        <v>#N/A</v>
      </c>
    </row>
    <row r="90">
      <c r="A90" s="190"/>
      <c r="B90" s="178" t="s">
        <v>3359</v>
      </c>
      <c r="C90" s="179" t="str">
        <f>VLOOKUP(B90,'Dados ClubeFII'!$A:$Z,26,0)</f>
        <v>#N/A</v>
      </c>
      <c r="D90" s="180" t="str">
        <f>VLOOKUP(B90,'Dados ClubeFII'!$A:$Z,20,0)/100</f>
        <v>#N/A</v>
      </c>
      <c r="E90" s="89" t="str">
        <f t="shared" si="1"/>
        <v>#N/A</v>
      </c>
      <c r="F90" s="181">
        <f>IF(ISERROR(1/VLOOKUP(B90,Capa!A:Z,13,0)),0,1/VLOOKUP(B90,Capa!A:Z,13,0))</f>
        <v>0</v>
      </c>
      <c r="G90" s="182">
        <f t="shared" si="2"/>
        <v>1.000001</v>
      </c>
      <c r="H90" s="183" t="str">
        <f t="shared" si="3"/>
        <v>#N/A</v>
      </c>
      <c r="M90" s="178" t="s">
        <v>3359</v>
      </c>
      <c r="N90" s="179" t="str">
        <f>VLOOKUP(M90,'Dados ClubeFII'!$A:$Z,26,0)</f>
        <v>#N/A</v>
      </c>
      <c r="O90" s="185" t="str">
        <f>VLOOKUP(M90,'Dados ClubeFII'!$A:$Z,18,0)/100</f>
        <v>#N/A</v>
      </c>
      <c r="P90" s="186" t="str">
        <f t="shared" si="5"/>
        <v>#N/A</v>
      </c>
      <c r="Q90" s="187">
        <f>IF(ISERROR(1/VLOOKUP(M90,Capa!A:Z,6,0)),0,1/VLOOKUP(M90,Capa!A:Z,6,0))</f>
        <v>0</v>
      </c>
      <c r="R90" s="188">
        <f t="shared" si="6"/>
        <v>1.000001</v>
      </c>
      <c r="S90" s="189" t="str">
        <f t="shared" si="7"/>
        <v>#N/A</v>
      </c>
    </row>
    <row r="91">
      <c r="A91" s="190"/>
      <c r="B91" s="178" t="s">
        <v>3360</v>
      </c>
      <c r="C91" s="179" t="str">
        <f>VLOOKUP(B91,'Dados ClubeFII'!$A:$Z,26,0)</f>
        <v>#N/A</v>
      </c>
      <c r="D91" s="180" t="str">
        <f>VLOOKUP(B91,'Dados ClubeFII'!$A:$Z,20,0)/100</f>
        <v>#N/A</v>
      </c>
      <c r="E91" s="89" t="str">
        <f t="shared" si="1"/>
        <v>#N/A</v>
      </c>
      <c r="F91" s="181">
        <f>IF(ISERROR(1/VLOOKUP(B91,Capa!A:Z,13,0)),0,1/VLOOKUP(B91,Capa!A:Z,13,0))</f>
        <v>0</v>
      </c>
      <c r="G91" s="182">
        <f t="shared" si="2"/>
        <v>1.000001</v>
      </c>
      <c r="H91" s="183" t="str">
        <f t="shared" si="3"/>
        <v>#N/A</v>
      </c>
      <c r="M91" s="178" t="s">
        <v>3360</v>
      </c>
      <c r="N91" s="179" t="str">
        <f>VLOOKUP(M91,'Dados ClubeFII'!$A:$Z,26,0)</f>
        <v>#N/A</v>
      </c>
      <c r="O91" s="185" t="str">
        <f>VLOOKUP(M91,'Dados ClubeFII'!$A:$Z,18,0)/100</f>
        <v>#N/A</v>
      </c>
      <c r="P91" s="186" t="str">
        <f t="shared" si="5"/>
        <v>#N/A</v>
      </c>
      <c r="Q91" s="187">
        <f>IF(ISERROR(1/VLOOKUP(M91,Capa!A:Z,6,0)),0,1/VLOOKUP(M91,Capa!A:Z,6,0))</f>
        <v>0</v>
      </c>
      <c r="R91" s="188">
        <f t="shared" si="6"/>
        <v>1.000001</v>
      </c>
      <c r="S91" s="189" t="str">
        <f t="shared" si="7"/>
        <v>#N/A</v>
      </c>
    </row>
    <row r="92">
      <c r="A92" s="190"/>
      <c r="B92" s="178" t="s">
        <v>3361</v>
      </c>
      <c r="C92" s="179" t="str">
        <f>VLOOKUP(B92,'Dados ClubeFII'!$A:$Z,26,0)</f>
        <v>#N/A</v>
      </c>
      <c r="D92" s="180" t="str">
        <f>VLOOKUP(B92,'Dados ClubeFII'!$A:$Z,20,0)/100</f>
        <v>#N/A</v>
      </c>
      <c r="E92" s="89" t="str">
        <f t="shared" si="1"/>
        <v>#N/A</v>
      </c>
      <c r="F92" s="181">
        <f>IF(ISERROR(1/VLOOKUP(B92,Capa!A:Z,13,0)),0,1/VLOOKUP(B92,Capa!A:Z,13,0))</f>
        <v>0</v>
      </c>
      <c r="G92" s="182">
        <f t="shared" si="2"/>
        <v>1.000001</v>
      </c>
      <c r="H92" s="183" t="str">
        <f t="shared" si="3"/>
        <v>#N/A</v>
      </c>
      <c r="M92" s="178" t="s">
        <v>3361</v>
      </c>
      <c r="N92" s="179" t="str">
        <f>VLOOKUP(M92,'Dados ClubeFII'!$A:$Z,26,0)</f>
        <v>#N/A</v>
      </c>
      <c r="O92" s="185" t="str">
        <f>VLOOKUP(M92,'Dados ClubeFII'!$A:$Z,18,0)/100</f>
        <v>#N/A</v>
      </c>
      <c r="P92" s="186" t="str">
        <f t="shared" si="5"/>
        <v>#N/A</v>
      </c>
      <c r="Q92" s="187">
        <f>IF(ISERROR(1/VLOOKUP(M92,Capa!A:Z,6,0)),0,1/VLOOKUP(M92,Capa!A:Z,6,0))</f>
        <v>0</v>
      </c>
      <c r="R92" s="188">
        <f t="shared" si="6"/>
        <v>1.000001</v>
      </c>
      <c r="S92" s="189" t="str">
        <f t="shared" si="7"/>
        <v>#N/A</v>
      </c>
    </row>
    <row r="93">
      <c r="A93" s="190"/>
      <c r="B93" s="178" t="s">
        <v>3362</v>
      </c>
      <c r="C93" s="179" t="str">
        <f>VLOOKUP(B93,'Dados ClubeFII'!$A:$Z,26,0)</f>
        <v>#N/A</v>
      </c>
      <c r="D93" s="180" t="str">
        <f>VLOOKUP(B93,'Dados ClubeFII'!$A:$Z,20,0)/100</f>
        <v>#N/A</v>
      </c>
      <c r="E93" s="89" t="str">
        <f t="shared" si="1"/>
        <v>#N/A</v>
      </c>
      <c r="F93" s="181">
        <f>IF(ISERROR(1/VLOOKUP(B93,Capa!A:Z,13,0)),0,1/VLOOKUP(B93,Capa!A:Z,13,0))</f>
        <v>0</v>
      </c>
      <c r="G93" s="182">
        <f t="shared" si="2"/>
        <v>1.000001</v>
      </c>
      <c r="H93" s="183" t="str">
        <f t="shared" si="3"/>
        <v>#N/A</v>
      </c>
      <c r="M93" s="178" t="s">
        <v>3362</v>
      </c>
      <c r="N93" s="179" t="str">
        <f>VLOOKUP(M93,'Dados ClubeFII'!$A:$Z,26,0)</f>
        <v>#N/A</v>
      </c>
      <c r="O93" s="185" t="str">
        <f>VLOOKUP(M93,'Dados ClubeFII'!$A:$Z,18,0)/100</f>
        <v>#N/A</v>
      </c>
      <c r="P93" s="186" t="str">
        <f t="shared" si="5"/>
        <v>#N/A</v>
      </c>
      <c r="Q93" s="187">
        <f>IF(ISERROR(1/VLOOKUP(M93,Capa!A:Z,6,0)),0,1/VLOOKUP(M93,Capa!A:Z,6,0))</f>
        <v>0</v>
      </c>
      <c r="R93" s="188">
        <f t="shared" si="6"/>
        <v>1.000001</v>
      </c>
      <c r="S93" s="189" t="str">
        <f t="shared" si="7"/>
        <v>#N/A</v>
      </c>
    </row>
    <row r="94">
      <c r="A94" s="190"/>
      <c r="B94" s="178" t="s">
        <v>3363</v>
      </c>
      <c r="C94" s="179" t="str">
        <f>VLOOKUP(B94,'Dados ClubeFII'!$A:$Z,26,0)</f>
        <v>#N/A</v>
      </c>
      <c r="D94" s="180" t="str">
        <f>VLOOKUP(B94,'Dados ClubeFII'!$A:$Z,20,0)/100</f>
        <v>#N/A</v>
      </c>
      <c r="E94" s="89" t="str">
        <f t="shared" si="1"/>
        <v>#N/A</v>
      </c>
      <c r="F94" s="181">
        <f>IF(ISERROR(1/VLOOKUP(B94,Capa!A:Z,13,0)),0,1/VLOOKUP(B94,Capa!A:Z,13,0))</f>
        <v>0</v>
      </c>
      <c r="G94" s="182">
        <f t="shared" si="2"/>
        <v>1.000001</v>
      </c>
      <c r="H94" s="183" t="str">
        <f t="shared" si="3"/>
        <v>#N/A</v>
      </c>
      <c r="M94" s="178" t="s">
        <v>3363</v>
      </c>
      <c r="N94" s="179" t="str">
        <f>VLOOKUP(M94,'Dados ClubeFII'!$A:$Z,26,0)</f>
        <v>#N/A</v>
      </c>
      <c r="O94" s="185" t="str">
        <f>VLOOKUP(M94,'Dados ClubeFII'!$A:$Z,18,0)/100</f>
        <v>#N/A</v>
      </c>
      <c r="P94" s="186" t="str">
        <f t="shared" si="5"/>
        <v>#N/A</v>
      </c>
      <c r="Q94" s="187">
        <f>IF(ISERROR(1/VLOOKUP(M94,Capa!A:Z,6,0)),0,1/VLOOKUP(M94,Capa!A:Z,6,0))</f>
        <v>0</v>
      </c>
      <c r="R94" s="188">
        <f t="shared" si="6"/>
        <v>1.000001</v>
      </c>
      <c r="S94" s="189" t="str">
        <f t="shared" si="7"/>
        <v>#N/A</v>
      </c>
    </row>
    <row r="95">
      <c r="A95" s="190"/>
      <c r="B95" s="178" t="s">
        <v>3364</v>
      </c>
      <c r="C95" s="179" t="str">
        <f>VLOOKUP(B95,'Dados ClubeFII'!$A:$Z,26,0)</f>
        <v>#N/A</v>
      </c>
      <c r="D95" s="180" t="str">
        <f>VLOOKUP(B95,'Dados ClubeFII'!$A:$Z,20,0)/100</f>
        <v>#N/A</v>
      </c>
      <c r="E95" s="89" t="str">
        <f t="shared" si="1"/>
        <v>#N/A</v>
      </c>
      <c r="F95" s="181">
        <f>IF(ISERROR(1/VLOOKUP(B95,Capa!A:Z,13,0)),0,1/VLOOKUP(B95,Capa!A:Z,13,0))</f>
        <v>0</v>
      </c>
      <c r="G95" s="182">
        <f t="shared" si="2"/>
        <v>1.000001</v>
      </c>
      <c r="H95" s="183" t="str">
        <f t="shared" si="3"/>
        <v>#N/A</v>
      </c>
      <c r="M95" s="178" t="s">
        <v>3364</v>
      </c>
      <c r="N95" s="179" t="str">
        <f>VLOOKUP(M95,'Dados ClubeFII'!$A:$Z,26,0)</f>
        <v>#N/A</v>
      </c>
      <c r="O95" s="185" t="str">
        <f>VLOOKUP(M95,'Dados ClubeFII'!$A:$Z,18,0)/100</f>
        <v>#N/A</v>
      </c>
      <c r="P95" s="186" t="str">
        <f t="shared" si="5"/>
        <v>#N/A</v>
      </c>
      <c r="Q95" s="187">
        <f>IF(ISERROR(1/VLOOKUP(M95,Capa!A:Z,6,0)),0,1/VLOOKUP(M95,Capa!A:Z,6,0))</f>
        <v>0</v>
      </c>
      <c r="R95" s="188">
        <f t="shared" si="6"/>
        <v>1.000001</v>
      </c>
      <c r="S95" s="189" t="str">
        <f t="shared" si="7"/>
        <v>#N/A</v>
      </c>
    </row>
    <row r="96">
      <c r="A96" s="190"/>
      <c r="B96" s="178" t="s">
        <v>3365</v>
      </c>
      <c r="C96" s="179" t="str">
        <f>VLOOKUP(B96,'Dados ClubeFII'!$A:$Z,26,0)</f>
        <v>#N/A</v>
      </c>
      <c r="D96" s="180" t="str">
        <f>VLOOKUP(B96,'Dados ClubeFII'!$A:$Z,20,0)/100</f>
        <v>#N/A</v>
      </c>
      <c r="E96" s="89" t="str">
        <f t="shared" si="1"/>
        <v>#N/A</v>
      </c>
      <c r="F96" s="181">
        <f>IF(ISERROR(1/VLOOKUP(B96,Capa!A:Z,13,0)),0,1/VLOOKUP(B96,Capa!A:Z,13,0))</f>
        <v>0</v>
      </c>
      <c r="G96" s="182">
        <f t="shared" si="2"/>
        <v>1.000001</v>
      </c>
      <c r="H96" s="183" t="str">
        <f t="shared" si="3"/>
        <v>#N/A</v>
      </c>
      <c r="M96" s="178" t="s">
        <v>3365</v>
      </c>
      <c r="N96" s="179" t="str">
        <f>VLOOKUP(M96,'Dados ClubeFII'!$A:$Z,26,0)</f>
        <v>#N/A</v>
      </c>
      <c r="O96" s="185" t="str">
        <f>VLOOKUP(M96,'Dados ClubeFII'!$A:$Z,18,0)/100</f>
        <v>#N/A</v>
      </c>
      <c r="P96" s="186" t="str">
        <f t="shared" si="5"/>
        <v>#N/A</v>
      </c>
      <c r="Q96" s="187">
        <f>IF(ISERROR(1/VLOOKUP(M96,Capa!A:Z,6,0)),0,1/VLOOKUP(M96,Capa!A:Z,6,0))</f>
        <v>0</v>
      </c>
      <c r="R96" s="188">
        <f t="shared" si="6"/>
        <v>1.000001</v>
      </c>
      <c r="S96" s="189" t="str">
        <f t="shared" si="7"/>
        <v>#N/A</v>
      </c>
    </row>
    <row r="97">
      <c r="A97" s="190"/>
      <c r="B97" s="178" t="s">
        <v>3366</v>
      </c>
      <c r="C97" s="179" t="str">
        <f>VLOOKUP(B97,'Dados ClubeFII'!$A:$Z,26,0)</f>
        <v>#N/A</v>
      </c>
      <c r="D97" s="180" t="str">
        <f>VLOOKUP(B97,'Dados ClubeFII'!$A:$Z,20,0)/100</f>
        <v>#N/A</v>
      </c>
      <c r="E97" s="89" t="str">
        <f t="shared" si="1"/>
        <v>#N/A</v>
      </c>
      <c r="F97" s="181">
        <f>IF(ISERROR(1/VLOOKUP(B97,Capa!A:Z,13,0)),0,1/VLOOKUP(B97,Capa!A:Z,13,0))</f>
        <v>0</v>
      </c>
      <c r="G97" s="182">
        <f t="shared" si="2"/>
        <v>1.000001</v>
      </c>
      <c r="H97" s="183" t="str">
        <f t="shared" si="3"/>
        <v>#N/A</v>
      </c>
      <c r="M97" s="178" t="s">
        <v>3366</v>
      </c>
      <c r="N97" s="179" t="str">
        <f>VLOOKUP(M97,'Dados ClubeFII'!$A:$Z,26,0)</f>
        <v>#N/A</v>
      </c>
      <c r="O97" s="185" t="str">
        <f>VLOOKUP(M97,'Dados ClubeFII'!$A:$Z,18,0)/100</f>
        <v>#N/A</v>
      </c>
      <c r="P97" s="186" t="str">
        <f t="shared" si="5"/>
        <v>#N/A</v>
      </c>
      <c r="Q97" s="187">
        <f>IF(ISERROR(1/VLOOKUP(M97,Capa!A:Z,6,0)),0,1/VLOOKUP(M97,Capa!A:Z,6,0))</f>
        <v>0</v>
      </c>
      <c r="R97" s="188">
        <f t="shared" si="6"/>
        <v>1.000001</v>
      </c>
      <c r="S97" s="189" t="str">
        <f t="shared" si="7"/>
        <v>#N/A</v>
      </c>
    </row>
    <row r="98">
      <c r="A98" s="190"/>
      <c r="B98" s="178" t="s">
        <v>3367</v>
      </c>
      <c r="C98" s="179" t="str">
        <f>VLOOKUP(B98,'Dados ClubeFII'!$A:$Z,26,0)</f>
        <v>#N/A</v>
      </c>
      <c r="D98" s="180" t="str">
        <f>VLOOKUP(B98,'Dados ClubeFII'!$A:$Z,20,0)/100</f>
        <v>#N/A</v>
      </c>
      <c r="E98" s="89" t="str">
        <f t="shared" si="1"/>
        <v>#N/A</v>
      </c>
      <c r="F98" s="181">
        <f>IF(ISERROR(1/VLOOKUP(B98,Capa!A:Z,13,0)),0,1/VLOOKUP(B98,Capa!A:Z,13,0))</f>
        <v>0</v>
      </c>
      <c r="G98" s="182">
        <f t="shared" si="2"/>
        <v>1.000001</v>
      </c>
      <c r="H98" s="183" t="str">
        <f t="shared" si="3"/>
        <v>#N/A</v>
      </c>
      <c r="M98" s="178" t="s">
        <v>3367</v>
      </c>
      <c r="N98" s="179" t="str">
        <f>VLOOKUP(M98,'Dados ClubeFII'!$A:$Z,26,0)</f>
        <v>#N/A</v>
      </c>
      <c r="O98" s="185" t="str">
        <f>VLOOKUP(M98,'Dados ClubeFII'!$A:$Z,18,0)/100</f>
        <v>#N/A</v>
      </c>
      <c r="P98" s="186" t="str">
        <f t="shared" si="5"/>
        <v>#N/A</v>
      </c>
      <c r="Q98" s="187">
        <f>IF(ISERROR(1/VLOOKUP(M98,Capa!A:Z,6,0)),0,1/VLOOKUP(M98,Capa!A:Z,6,0))</f>
        <v>0</v>
      </c>
      <c r="R98" s="188">
        <f t="shared" si="6"/>
        <v>1.000001</v>
      </c>
      <c r="S98" s="189" t="str">
        <f t="shared" si="7"/>
        <v>#N/A</v>
      </c>
    </row>
    <row r="99">
      <c r="A99" s="190"/>
      <c r="B99" s="178" t="s">
        <v>3368</v>
      </c>
      <c r="C99" s="179" t="str">
        <f>VLOOKUP(B99,'Dados ClubeFII'!$A:$Z,26,0)</f>
        <v>#N/A</v>
      </c>
      <c r="D99" s="180" t="str">
        <f>VLOOKUP(B99,'Dados ClubeFII'!$A:$Z,20,0)/100</f>
        <v>#N/A</v>
      </c>
      <c r="E99" s="89" t="str">
        <f t="shared" si="1"/>
        <v>#N/A</v>
      </c>
      <c r="F99" s="181">
        <f>IF(ISERROR(1/VLOOKUP(B99,Capa!A:Z,13,0)),0,1/VLOOKUP(B99,Capa!A:Z,13,0))</f>
        <v>0</v>
      </c>
      <c r="G99" s="182">
        <f t="shared" si="2"/>
        <v>1.000001</v>
      </c>
      <c r="H99" s="183" t="str">
        <f t="shared" si="3"/>
        <v>#N/A</v>
      </c>
      <c r="M99" s="178" t="s">
        <v>3368</v>
      </c>
      <c r="N99" s="179" t="str">
        <f>VLOOKUP(M99,'Dados ClubeFII'!$A:$Z,26,0)</f>
        <v>#N/A</v>
      </c>
      <c r="O99" s="185" t="str">
        <f>VLOOKUP(M99,'Dados ClubeFII'!$A:$Z,18,0)/100</f>
        <v>#N/A</v>
      </c>
      <c r="P99" s="186" t="str">
        <f t="shared" si="5"/>
        <v>#N/A</v>
      </c>
      <c r="Q99" s="187">
        <f>IF(ISERROR(1/VLOOKUP(M99,Capa!A:Z,6,0)),0,1/VLOOKUP(M99,Capa!A:Z,6,0))</f>
        <v>0</v>
      </c>
      <c r="R99" s="188">
        <f t="shared" si="6"/>
        <v>1.000001</v>
      </c>
      <c r="S99" s="189" t="str">
        <f t="shared" si="7"/>
        <v>#N/A</v>
      </c>
    </row>
    <row r="100">
      <c r="A100" s="190"/>
      <c r="B100" s="178" t="s">
        <v>3369</v>
      </c>
      <c r="C100" s="179" t="str">
        <f>VLOOKUP(B100,'Dados ClubeFII'!$A:$Z,26,0)</f>
        <v>#N/A</v>
      </c>
      <c r="D100" s="180" t="str">
        <f>VLOOKUP(B100,'Dados ClubeFII'!$A:$Z,20,0)/100</f>
        <v>#N/A</v>
      </c>
      <c r="E100" s="89" t="str">
        <f t="shared" si="1"/>
        <v>#N/A</v>
      </c>
      <c r="F100" s="181">
        <f>IF(ISERROR(1/VLOOKUP(B100,Capa!A:Z,13,0)),0,1/VLOOKUP(B100,Capa!A:Z,13,0))</f>
        <v>0</v>
      </c>
      <c r="G100" s="182">
        <f t="shared" si="2"/>
        <v>1.000001</v>
      </c>
      <c r="H100" s="183" t="str">
        <f t="shared" si="3"/>
        <v>#N/A</v>
      </c>
      <c r="M100" s="178" t="s">
        <v>3369</v>
      </c>
      <c r="N100" s="179" t="str">
        <f>VLOOKUP(M100,'Dados ClubeFII'!$A:$Z,26,0)</f>
        <v>#N/A</v>
      </c>
      <c r="O100" s="185" t="str">
        <f>VLOOKUP(M100,'Dados ClubeFII'!$A:$Z,18,0)/100</f>
        <v>#N/A</v>
      </c>
      <c r="P100" s="186" t="str">
        <f t="shared" si="5"/>
        <v>#N/A</v>
      </c>
      <c r="Q100" s="187">
        <f>IF(ISERROR(1/VLOOKUP(M100,Capa!A:Z,6,0)),0,1/VLOOKUP(M100,Capa!A:Z,6,0))</f>
        <v>0</v>
      </c>
      <c r="R100" s="188">
        <f t="shared" si="6"/>
        <v>1.000001</v>
      </c>
      <c r="S100" s="189" t="str">
        <f t="shared" si="7"/>
        <v>#N/A</v>
      </c>
    </row>
    <row r="101">
      <c r="A101" s="190"/>
      <c r="B101" s="178" t="s">
        <v>3370</v>
      </c>
      <c r="C101" s="179" t="str">
        <f>VLOOKUP(B101,'Dados ClubeFII'!$A:$Z,26,0)</f>
        <v>#N/A</v>
      </c>
      <c r="D101" s="180" t="str">
        <f>VLOOKUP(B101,'Dados ClubeFII'!$A:$Z,20,0)/100</f>
        <v>#N/A</v>
      </c>
      <c r="E101" s="89" t="str">
        <f t="shared" si="1"/>
        <v>#N/A</v>
      </c>
      <c r="F101" s="181">
        <f>IF(ISERROR(1/VLOOKUP(B101,Capa!A:Z,13,0)),0,1/VLOOKUP(B101,Capa!A:Z,13,0))</f>
        <v>0</v>
      </c>
      <c r="G101" s="182">
        <f t="shared" si="2"/>
        <v>1.000001</v>
      </c>
      <c r="H101" s="183" t="str">
        <f t="shared" si="3"/>
        <v>#N/A</v>
      </c>
      <c r="M101" s="178" t="s">
        <v>3370</v>
      </c>
      <c r="N101" s="179" t="str">
        <f>VLOOKUP(M101,'Dados ClubeFII'!$A:$Z,26,0)</f>
        <v>#N/A</v>
      </c>
      <c r="O101" s="185" t="str">
        <f>VLOOKUP(M101,'Dados ClubeFII'!$A:$Z,18,0)/100</f>
        <v>#N/A</v>
      </c>
      <c r="P101" s="186" t="str">
        <f t="shared" si="5"/>
        <v>#N/A</v>
      </c>
      <c r="Q101" s="187">
        <f>IF(ISERROR(1/VLOOKUP(M101,Capa!A:Z,6,0)),0,1/VLOOKUP(M101,Capa!A:Z,6,0))</f>
        <v>0</v>
      </c>
      <c r="R101" s="188">
        <f t="shared" si="6"/>
        <v>1.000001</v>
      </c>
      <c r="S101" s="189" t="str">
        <f t="shared" si="7"/>
        <v>#N/A</v>
      </c>
    </row>
    <row r="102">
      <c r="A102" s="190"/>
      <c r="B102" s="178" t="s">
        <v>3371</v>
      </c>
      <c r="C102" s="179" t="str">
        <f>VLOOKUP(B102,'Dados ClubeFII'!$A:$Z,26,0)</f>
        <v>#N/A</v>
      </c>
      <c r="D102" s="180" t="str">
        <f>VLOOKUP(B102,'Dados ClubeFII'!$A:$Z,20,0)/100</f>
        <v>#N/A</v>
      </c>
      <c r="E102" s="89" t="str">
        <f t="shared" si="1"/>
        <v>#N/A</v>
      </c>
      <c r="F102" s="181">
        <f>IF(ISERROR(1/VLOOKUP(B102,Capa!A:Z,13,0)),0,1/VLOOKUP(B102,Capa!A:Z,13,0))</f>
        <v>0</v>
      </c>
      <c r="G102" s="182">
        <f t="shared" si="2"/>
        <v>1.000001</v>
      </c>
      <c r="H102" s="183" t="str">
        <f t="shared" si="3"/>
        <v>#N/A</v>
      </c>
      <c r="M102" s="178" t="s">
        <v>3371</v>
      </c>
      <c r="N102" s="179" t="str">
        <f>VLOOKUP(M102,'Dados ClubeFII'!$A:$Z,26,0)</f>
        <v>#N/A</v>
      </c>
      <c r="O102" s="185" t="str">
        <f>VLOOKUP(M102,'Dados ClubeFII'!$A:$Z,18,0)/100</f>
        <v>#N/A</v>
      </c>
      <c r="P102" s="186" t="str">
        <f t="shared" si="5"/>
        <v>#N/A</v>
      </c>
      <c r="Q102" s="187">
        <f>IF(ISERROR(1/VLOOKUP(M102,Capa!A:Z,6,0)),0,1/VLOOKUP(M102,Capa!A:Z,6,0))</f>
        <v>0</v>
      </c>
      <c r="R102" s="188">
        <f t="shared" si="6"/>
        <v>1.000001</v>
      </c>
      <c r="S102" s="189" t="str">
        <f t="shared" si="7"/>
        <v>#N/A</v>
      </c>
    </row>
    <row r="103">
      <c r="A103" s="190"/>
      <c r="B103" s="178" t="s">
        <v>3372</v>
      </c>
      <c r="C103" s="179" t="str">
        <f>VLOOKUP(B103,'Dados ClubeFII'!$A:$Z,26,0)</f>
        <v>#N/A</v>
      </c>
      <c r="D103" s="180" t="str">
        <f>VLOOKUP(B103,'Dados ClubeFII'!$A:$Z,20,0)/100</f>
        <v>#N/A</v>
      </c>
      <c r="E103" s="89" t="str">
        <f t="shared" si="1"/>
        <v>#N/A</v>
      </c>
      <c r="F103" s="181">
        <f>IF(ISERROR(1/VLOOKUP(B103,Capa!A:Z,13,0)),0,1/VLOOKUP(B103,Capa!A:Z,13,0))</f>
        <v>0</v>
      </c>
      <c r="G103" s="182">
        <f t="shared" si="2"/>
        <v>1.000001</v>
      </c>
      <c r="H103" s="183" t="str">
        <f t="shared" si="3"/>
        <v>#N/A</v>
      </c>
      <c r="M103" s="178" t="s">
        <v>3372</v>
      </c>
      <c r="N103" s="179" t="str">
        <f>VLOOKUP(M103,'Dados ClubeFII'!$A:$Z,26,0)</f>
        <v>#N/A</v>
      </c>
      <c r="O103" s="185" t="str">
        <f>VLOOKUP(M103,'Dados ClubeFII'!$A:$Z,18,0)/100</f>
        <v>#N/A</v>
      </c>
      <c r="P103" s="186" t="str">
        <f t="shared" si="5"/>
        <v>#N/A</v>
      </c>
      <c r="Q103" s="187">
        <f>IF(ISERROR(1/VLOOKUP(M103,Capa!A:Z,6,0)),0,1/VLOOKUP(M103,Capa!A:Z,6,0))</f>
        <v>0</v>
      </c>
      <c r="R103" s="188">
        <f t="shared" si="6"/>
        <v>1.000001</v>
      </c>
      <c r="S103" s="189" t="str">
        <f t="shared" si="7"/>
        <v>#N/A</v>
      </c>
    </row>
    <row r="104">
      <c r="A104" s="190"/>
      <c r="B104" s="178" t="s">
        <v>3373</v>
      </c>
      <c r="C104" s="179" t="str">
        <f>VLOOKUP(B104,'Dados ClubeFII'!$A:$Z,26,0)</f>
        <v>#N/A</v>
      </c>
      <c r="D104" s="180" t="str">
        <f>VLOOKUP(B104,'Dados ClubeFII'!$A:$Z,20,0)/100</f>
        <v>#N/A</v>
      </c>
      <c r="E104" s="89" t="str">
        <f t="shared" si="1"/>
        <v>#N/A</v>
      </c>
      <c r="F104" s="181">
        <f>IF(ISERROR(1/VLOOKUP(B104,Capa!A:Z,13,0)),0,1/VLOOKUP(B104,Capa!A:Z,13,0))</f>
        <v>0</v>
      </c>
      <c r="G104" s="182">
        <f t="shared" si="2"/>
        <v>1.000001</v>
      </c>
      <c r="H104" s="183" t="str">
        <f t="shared" si="3"/>
        <v>#N/A</v>
      </c>
      <c r="M104" s="178" t="s">
        <v>3373</v>
      </c>
      <c r="N104" s="179" t="str">
        <f>VLOOKUP(M104,'Dados ClubeFII'!$A:$Z,26,0)</f>
        <v>#N/A</v>
      </c>
      <c r="O104" s="185" t="str">
        <f>VLOOKUP(M104,'Dados ClubeFII'!$A:$Z,18,0)/100</f>
        <v>#N/A</v>
      </c>
      <c r="P104" s="186" t="str">
        <f t="shared" si="5"/>
        <v>#N/A</v>
      </c>
      <c r="Q104" s="187">
        <f>IF(ISERROR(1/VLOOKUP(M104,Capa!A:Z,6,0)),0,1/VLOOKUP(M104,Capa!A:Z,6,0))</f>
        <v>0</v>
      </c>
      <c r="R104" s="188">
        <f t="shared" si="6"/>
        <v>1.000001</v>
      </c>
      <c r="S104" s="189" t="str">
        <f t="shared" si="7"/>
        <v>#N/A</v>
      </c>
    </row>
    <row r="105">
      <c r="A105" s="190"/>
      <c r="B105" s="178" t="s">
        <v>3374</v>
      </c>
      <c r="C105" s="179" t="str">
        <f>VLOOKUP(B105,'Dados ClubeFII'!$A:$Z,26,0)</f>
        <v>#N/A</v>
      </c>
      <c r="D105" s="180" t="str">
        <f>VLOOKUP(B105,'Dados ClubeFII'!$A:$Z,20,0)/100</f>
        <v>#N/A</v>
      </c>
      <c r="E105" s="89" t="str">
        <f t="shared" si="1"/>
        <v>#N/A</v>
      </c>
      <c r="F105" s="181">
        <f>IF(ISERROR(1/VLOOKUP(B105,Capa!A:Z,13,0)),0,1/VLOOKUP(B105,Capa!A:Z,13,0))</f>
        <v>0</v>
      </c>
      <c r="G105" s="182">
        <f t="shared" si="2"/>
        <v>1.000001</v>
      </c>
      <c r="H105" s="183" t="str">
        <f t="shared" si="3"/>
        <v>#N/A</v>
      </c>
      <c r="M105" s="178" t="s">
        <v>3374</v>
      </c>
      <c r="N105" s="179" t="str">
        <f>VLOOKUP(M105,'Dados ClubeFII'!$A:$Z,26,0)</f>
        <v>#N/A</v>
      </c>
      <c r="O105" s="185" t="str">
        <f>VLOOKUP(M105,'Dados ClubeFII'!$A:$Z,18,0)/100</f>
        <v>#N/A</v>
      </c>
      <c r="P105" s="186" t="str">
        <f t="shared" si="5"/>
        <v>#N/A</v>
      </c>
      <c r="Q105" s="187">
        <f>IF(ISERROR(1/VLOOKUP(M105,Capa!A:Z,6,0)),0,1/VLOOKUP(M105,Capa!A:Z,6,0))</f>
        <v>0</v>
      </c>
      <c r="R105" s="188">
        <f t="shared" si="6"/>
        <v>1.000001</v>
      </c>
      <c r="S105" s="189" t="str">
        <f t="shared" si="7"/>
        <v>#N/A</v>
      </c>
    </row>
    <row r="106">
      <c r="A106" s="190"/>
      <c r="B106" s="178" t="s">
        <v>3375</v>
      </c>
      <c r="C106" s="179" t="str">
        <f>VLOOKUP(B106,'Dados ClubeFII'!$A:$Z,26,0)</f>
        <v>#N/A</v>
      </c>
      <c r="D106" s="180" t="str">
        <f>VLOOKUP(B106,'Dados ClubeFII'!$A:$Z,20,0)/100</f>
        <v>#N/A</v>
      </c>
      <c r="E106" s="89" t="str">
        <f t="shared" si="1"/>
        <v>#N/A</v>
      </c>
      <c r="F106" s="181">
        <f>IF(ISERROR(1/VLOOKUP(B106,Capa!A:Z,13,0)),0,1/VLOOKUP(B106,Capa!A:Z,13,0))</f>
        <v>0</v>
      </c>
      <c r="G106" s="182">
        <f t="shared" si="2"/>
        <v>1.000001</v>
      </c>
      <c r="H106" s="183" t="str">
        <f t="shared" si="3"/>
        <v>#N/A</v>
      </c>
      <c r="M106" s="178" t="s">
        <v>3375</v>
      </c>
      <c r="N106" s="179" t="str">
        <f>VLOOKUP(M106,'Dados ClubeFII'!$A:$Z,26,0)</f>
        <v>#N/A</v>
      </c>
      <c r="O106" s="185" t="str">
        <f>VLOOKUP(M106,'Dados ClubeFII'!$A:$Z,18,0)/100</f>
        <v>#N/A</v>
      </c>
      <c r="P106" s="186" t="str">
        <f t="shared" si="5"/>
        <v>#N/A</v>
      </c>
      <c r="Q106" s="187">
        <f>IF(ISERROR(1/VLOOKUP(M106,Capa!A:Z,6,0)),0,1/VLOOKUP(M106,Capa!A:Z,6,0))</f>
        <v>0</v>
      </c>
      <c r="R106" s="188">
        <f t="shared" si="6"/>
        <v>1.000001</v>
      </c>
      <c r="S106" s="189" t="str">
        <f t="shared" si="7"/>
        <v>#N/A</v>
      </c>
    </row>
    <row r="107">
      <c r="A107" s="190"/>
      <c r="B107" s="178" t="s">
        <v>3376</v>
      </c>
      <c r="C107" s="179" t="str">
        <f>VLOOKUP(B107,'Dados ClubeFII'!$A:$Z,26,0)</f>
        <v>#N/A</v>
      </c>
      <c r="D107" s="180" t="str">
        <f>VLOOKUP(B107,'Dados ClubeFII'!$A:$Z,20,0)/100</f>
        <v>#N/A</v>
      </c>
      <c r="E107" s="89" t="str">
        <f t="shared" si="1"/>
        <v>#N/A</v>
      </c>
      <c r="F107" s="181">
        <f>IF(ISERROR(1/VLOOKUP(B107,Capa!A:Z,13,0)),0,1/VLOOKUP(B107,Capa!A:Z,13,0))</f>
        <v>0</v>
      </c>
      <c r="G107" s="182">
        <f t="shared" si="2"/>
        <v>1.000001</v>
      </c>
      <c r="H107" s="183" t="str">
        <f t="shared" si="3"/>
        <v>#N/A</v>
      </c>
      <c r="M107" s="178" t="s">
        <v>3376</v>
      </c>
      <c r="N107" s="179" t="str">
        <f>VLOOKUP(M107,'Dados ClubeFII'!$A:$Z,26,0)</f>
        <v>#N/A</v>
      </c>
      <c r="O107" s="185" t="str">
        <f>VLOOKUP(M107,'Dados ClubeFII'!$A:$Z,18,0)/100</f>
        <v>#N/A</v>
      </c>
      <c r="P107" s="186" t="str">
        <f t="shared" si="5"/>
        <v>#N/A</v>
      </c>
      <c r="Q107" s="187">
        <f>IF(ISERROR(1/VLOOKUP(M107,Capa!A:Z,6,0)),0,1/VLOOKUP(M107,Capa!A:Z,6,0))</f>
        <v>0</v>
      </c>
      <c r="R107" s="188">
        <f t="shared" si="6"/>
        <v>1.000001</v>
      </c>
      <c r="S107" s="189" t="str">
        <f t="shared" si="7"/>
        <v>#N/A</v>
      </c>
    </row>
    <row r="108">
      <c r="A108" s="190"/>
      <c r="B108" s="178" t="s">
        <v>3377</v>
      </c>
      <c r="C108" s="179" t="str">
        <f>VLOOKUP(B108,'Dados ClubeFII'!$A:$Z,26,0)</f>
        <v>#N/A</v>
      </c>
      <c r="D108" s="180" t="str">
        <f>VLOOKUP(B108,'Dados ClubeFII'!$A:$Z,20,0)/100</f>
        <v>#N/A</v>
      </c>
      <c r="E108" s="89" t="str">
        <f t="shared" si="1"/>
        <v>#N/A</v>
      </c>
      <c r="F108" s="181">
        <f>IF(ISERROR(1/VLOOKUP(B108,Capa!A:Z,13,0)),0,1/VLOOKUP(B108,Capa!A:Z,13,0))</f>
        <v>0</v>
      </c>
      <c r="G108" s="182">
        <f t="shared" si="2"/>
        <v>1.000001</v>
      </c>
      <c r="H108" s="183" t="str">
        <f t="shared" si="3"/>
        <v>#N/A</v>
      </c>
      <c r="M108" s="178" t="s">
        <v>3377</v>
      </c>
      <c r="N108" s="179" t="str">
        <f>VLOOKUP(M108,'Dados ClubeFII'!$A:$Z,26,0)</f>
        <v>#N/A</v>
      </c>
      <c r="O108" s="185" t="str">
        <f>VLOOKUP(M108,'Dados ClubeFII'!$A:$Z,18,0)/100</f>
        <v>#N/A</v>
      </c>
      <c r="P108" s="186" t="str">
        <f t="shared" si="5"/>
        <v>#N/A</v>
      </c>
      <c r="Q108" s="187">
        <f>IF(ISERROR(1/VLOOKUP(M108,Capa!A:Z,6,0)),0,1/VLOOKUP(M108,Capa!A:Z,6,0))</f>
        <v>0</v>
      </c>
      <c r="R108" s="188">
        <f t="shared" si="6"/>
        <v>1.000001</v>
      </c>
      <c r="S108" s="189" t="str">
        <f t="shared" si="7"/>
        <v>#N/A</v>
      </c>
    </row>
    <row r="109">
      <c r="A109" s="190"/>
      <c r="B109" s="178" t="s">
        <v>3378</v>
      </c>
      <c r="C109" s="179" t="str">
        <f>VLOOKUP(B109,'Dados ClubeFII'!$A:$Z,26,0)</f>
        <v>#N/A</v>
      </c>
      <c r="D109" s="180" t="str">
        <f>VLOOKUP(B109,'Dados ClubeFII'!$A:$Z,20,0)/100</f>
        <v>#N/A</v>
      </c>
      <c r="E109" s="89" t="str">
        <f t="shared" si="1"/>
        <v>#N/A</v>
      </c>
      <c r="F109" s="181">
        <f>IF(ISERROR(1/VLOOKUP(B109,Capa!A:Z,13,0)),0,1/VLOOKUP(B109,Capa!A:Z,13,0))</f>
        <v>0</v>
      </c>
      <c r="G109" s="182">
        <f t="shared" si="2"/>
        <v>1.000001</v>
      </c>
      <c r="H109" s="183" t="str">
        <f t="shared" si="3"/>
        <v>#N/A</v>
      </c>
      <c r="M109" s="178" t="s">
        <v>3378</v>
      </c>
      <c r="N109" s="179" t="str">
        <f>VLOOKUP(M109,'Dados ClubeFII'!$A:$Z,26,0)</f>
        <v>#N/A</v>
      </c>
      <c r="O109" s="185" t="str">
        <f>VLOOKUP(M109,'Dados ClubeFII'!$A:$Z,18,0)/100</f>
        <v>#N/A</v>
      </c>
      <c r="P109" s="186" t="str">
        <f t="shared" si="5"/>
        <v>#N/A</v>
      </c>
      <c r="Q109" s="187">
        <f>IF(ISERROR(1/VLOOKUP(M109,Capa!A:Z,6,0)),0,1/VLOOKUP(M109,Capa!A:Z,6,0))</f>
        <v>0</v>
      </c>
      <c r="R109" s="188">
        <f t="shared" si="6"/>
        <v>1.000001</v>
      </c>
      <c r="S109" s="189" t="str">
        <f t="shared" si="7"/>
        <v>#N/A</v>
      </c>
    </row>
    <row r="110">
      <c r="A110" s="190"/>
      <c r="B110" s="178" t="s">
        <v>3379</v>
      </c>
      <c r="C110" s="179" t="str">
        <f>VLOOKUP(B110,'Dados ClubeFII'!$A:$Z,26,0)</f>
        <v>#N/A</v>
      </c>
      <c r="D110" s="180" t="str">
        <f>VLOOKUP(B110,'Dados ClubeFII'!$A:$Z,20,0)/100</f>
        <v>#N/A</v>
      </c>
      <c r="E110" s="89" t="str">
        <f t="shared" si="1"/>
        <v>#N/A</v>
      </c>
      <c r="F110" s="181">
        <f>IF(ISERROR(1/VLOOKUP(B110,Capa!A:Z,13,0)),0,1/VLOOKUP(B110,Capa!A:Z,13,0))</f>
        <v>0</v>
      </c>
      <c r="G110" s="182">
        <f t="shared" si="2"/>
        <v>1.000001</v>
      </c>
      <c r="H110" s="183" t="str">
        <f t="shared" si="3"/>
        <v>#N/A</v>
      </c>
      <c r="M110" s="178" t="s">
        <v>3379</v>
      </c>
      <c r="N110" s="179" t="str">
        <f>VLOOKUP(M110,'Dados ClubeFII'!$A:$Z,26,0)</f>
        <v>#N/A</v>
      </c>
      <c r="O110" s="185" t="str">
        <f>VLOOKUP(M110,'Dados ClubeFII'!$A:$Z,18,0)/100</f>
        <v>#N/A</v>
      </c>
      <c r="P110" s="186" t="str">
        <f t="shared" si="5"/>
        <v>#N/A</v>
      </c>
      <c r="Q110" s="187">
        <f>IF(ISERROR(1/VLOOKUP(M110,Capa!A:Z,6,0)),0,1/VLOOKUP(M110,Capa!A:Z,6,0))</f>
        <v>0</v>
      </c>
      <c r="R110" s="188">
        <f t="shared" si="6"/>
        <v>1.000001</v>
      </c>
      <c r="S110" s="189" t="str">
        <f t="shared" si="7"/>
        <v>#N/A</v>
      </c>
    </row>
    <row r="111">
      <c r="A111" s="190"/>
      <c r="B111" s="178" t="s">
        <v>3380</v>
      </c>
      <c r="C111" s="179" t="str">
        <f>VLOOKUP(B111,'Dados ClubeFII'!$A:$Z,26,0)</f>
        <v>#N/A</v>
      </c>
      <c r="D111" s="180" t="str">
        <f>VLOOKUP(B111,'Dados ClubeFII'!$A:$Z,20,0)/100</f>
        <v>#N/A</v>
      </c>
      <c r="E111" s="89" t="str">
        <f t="shared" si="1"/>
        <v>#N/A</v>
      </c>
      <c r="F111" s="181">
        <f>IF(ISERROR(1/VLOOKUP(B111,Capa!A:Z,13,0)),0,1/VLOOKUP(B111,Capa!A:Z,13,0))</f>
        <v>0</v>
      </c>
      <c r="G111" s="182">
        <f t="shared" si="2"/>
        <v>1.000001</v>
      </c>
      <c r="H111" s="183" t="str">
        <f t="shared" si="3"/>
        <v>#N/A</v>
      </c>
      <c r="M111" s="178" t="s">
        <v>3380</v>
      </c>
      <c r="N111" s="179" t="str">
        <f>VLOOKUP(M111,'Dados ClubeFII'!$A:$Z,26,0)</f>
        <v>#N/A</v>
      </c>
      <c r="O111" s="185" t="str">
        <f>VLOOKUP(M111,'Dados ClubeFII'!$A:$Z,18,0)/100</f>
        <v>#N/A</v>
      </c>
      <c r="P111" s="186" t="str">
        <f t="shared" si="5"/>
        <v>#N/A</v>
      </c>
      <c r="Q111" s="187">
        <f>IF(ISERROR(1/VLOOKUP(M111,Capa!A:Z,6,0)),0,1/VLOOKUP(M111,Capa!A:Z,6,0))</f>
        <v>0</v>
      </c>
      <c r="R111" s="188">
        <f t="shared" si="6"/>
        <v>1.000001</v>
      </c>
      <c r="S111" s="189" t="str">
        <f t="shared" si="7"/>
        <v>#N/A</v>
      </c>
    </row>
    <row r="112">
      <c r="A112" s="190"/>
      <c r="B112" s="178" t="s">
        <v>3381</v>
      </c>
      <c r="C112" s="179" t="str">
        <f>VLOOKUP(B112,'Dados ClubeFII'!$A:$Z,26,0)</f>
        <v>#N/A</v>
      </c>
      <c r="D112" s="180" t="str">
        <f>VLOOKUP(B112,'Dados ClubeFII'!$A:$Z,20,0)/100</f>
        <v>#N/A</v>
      </c>
      <c r="E112" s="89" t="str">
        <f t="shared" si="1"/>
        <v>#N/A</v>
      </c>
      <c r="F112" s="181">
        <f>IF(ISERROR(1/VLOOKUP(B112,Capa!A:Z,13,0)),0,1/VLOOKUP(B112,Capa!A:Z,13,0))</f>
        <v>0</v>
      </c>
      <c r="G112" s="182">
        <f t="shared" si="2"/>
        <v>1.000001</v>
      </c>
      <c r="H112" s="183" t="str">
        <f t="shared" si="3"/>
        <v>#N/A</v>
      </c>
      <c r="M112" s="178" t="s">
        <v>3381</v>
      </c>
      <c r="N112" s="179" t="str">
        <f>VLOOKUP(M112,'Dados ClubeFII'!$A:$Z,26,0)</f>
        <v>#N/A</v>
      </c>
      <c r="O112" s="185" t="str">
        <f>VLOOKUP(M112,'Dados ClubeFII'!$A:$Z,18,0)/100</f>
        <v>#N/A</v>
      </c>
      <c r="P112" s="186" t="str">
        <f t="shared" si="5"/>
        <v>#N/A</v>
      </c>
      <c r="Q112" s="187">
        <f>IF(ISERROR(1/VLOOKUP(M112,Capa!A:Z,6,0)),0,1/VLOOKUP(M112,Capa!A:Z,6,0))</f>
        <v>0</v>
      </c>
      <c r="R112" s="188">
        <f t="shared" si="6"/>
        <v>1.000001</v>
      </c>
      <c r="S112" s="189" t="str">
        <f t="shared" si="7"/>
        <v>#N/A</v>
      </c>
    </row>
    <row r="113">
      <c r="A113" s="190"/>
      <c r="B113" s="178" t="s">
        <v>3382</v>
      </c>
      <c r="C113" s="179" t="str">
        <f>VLOOKUP(B113,'Dados ClubeFII'!$A:$Z,26,0)</f>
        <v>#N/A</v>
      </c>
      <c r="D113" s="180" t="str">
        <f>VLOOKUP(B113,'Dados ClubeFII'!$A:$Z,20,0)/100</f>
        <v>#N/A</v>
      </c>
      <c r="E113" s="89" t="str">
        <f t="shared" si="1"/>
        <v>#N/A</v>
      </c>
      <c r="F113" s="181">
        <f>IF(ISERROR(1/VLOOKUP(B113,Capa!A:Z,13,0)),0,1/VLOOKUP(B113,Capa!A:Z,13,0))</f>
        <v>0</v>
      </c>
      <c r="G113" s="182">
        <f t="shared" si="2"/>
        <v>1.000001</v>
      </c>
      <c r="H113" s="183" t="str">
        <f t="shared" si="3"/>
        <v>#N/A</v>
      </c>
      <c r="M113" s="178" t="s">
        <v>3382</v>
      </c>
      <c r="N113" s="179" t="str">
        <f>VLOOKUP(M113,'Dados ClubeFII'!$A:$Z,26,0)</f>
        <v>#N/A</v>
      </c>
      <c r="O113" s="185" t="str">
        <f>VLOOKUP(M113,'Dados ClubeFII'!$A:$Z,18,0)/100</f>
        <v>#N/A</v>
      </c>
      <c r="P113" s="186" t="str">
        <f t="shared" si="5"/>
        <v>#N/A</v>
      </c>
      <c r="Q113" s="187">
        <f>IF(ISERROR(1/VLOOKUP(M113,Capa!A:Z,6,0)),0,1/VLOOKUP(M113,Capa!A:Z,6,0))</f>
        <v>0</v>
      </c>
      <c r="R113" s="188">
        <f t="shared" si="6"/>
        <v>1.000001</v>
      </c>
      <c r="S113" s="189" t="str">
        <f t="shared" si="7"/>
        <v>#N/A</v>
      </c>
    </row>
    <row r="114">
      <c r="A114" s="190"/>
      <c r="B114" s="178" t="s">
        <v>3383</v>
      </c>
      <c r="C114" s="179" t="str">
        <f>VLOOKUP(B114,'Dados ClubeFII'!$A:$Z,26,0)</f>
        <v>#N/A</v>
      </c>
      <c r="D114" s="180" t="str">
        <f>VLOOKUP(B114,'Dados ClubeFII'!$A:$Z,20,0)/100</f>
        <v>#N/A</v>
      </c>
      <c r="E114" s="89" t="str">
        <f t="shared" si="1"/>
        <v>#N/A</v>
      </c>
      <c r="F114" s="181">
        <f>IF(ISERROR(1/VLOOKUP(B114,Capa!A:Z,13,0)),0,1/VLOOKUP(B114,Capa!A:Z,13,0))</f>
        <v>0</v>
      </c>
      <c r="G114" s="182">
        <f t="shared" si="2"/>
        <v>1.000001</v>
      </c>
      <c r="H114" s="183" t="str">
        <f t="shared" si="3"/>
        <v>#N/A</v>
      </c>
      <c r="M114" s="178" t="s">
        <v>3383</v>
      </c>
      <c r="N114" s="179" t="str">
        <f>VLOOKUP(M114,'Dados ClubeFII'!$A:$Z,26,0)</f>
        <v>#N/A</v>
      </c>
      <c r="O114" s="185" t="str">
        <f>VLOOKUP(M114,'Dados ClubeFII'!$A:$Z,18,0)/100</f>
        <v>#N/A</v>
      </c>
      <c r="P114" s="186" t="str">
        <f t="shared" si="5"/>
        <v>#N/A</v>
      </c>
      <c r="Q114" s="187">
        <f>IF(ISERROR(1/VLOOKUP(M114,Capa!A:Z,6,0)),0,1/VLOOKUP(M114,Capa!A:Z,6,0))</f>
        <v>0</v>
      </c>
      <c r="R114" s="188">
        <f t="shared" si="6"/>
        <v>1.000001</v>
      </c>
      <c r="S114" s="189" t="str">
        <f t="shared" si="7"/>
        <v>#N/A</v>
      </c>
    </row>
    <row r="115">
      <c r="A115" s="190"/>
      <c r="B115" s="178" t="s">
        <v>3384</v>
      </c>
      <c r="C115" s="179" t="str">
        <f>VLOOKUP(B115,'Dados ClubeFII'!$A:$Z,26,0)</f>
        <v>#N/A</v>
      </c>
      <c r="D115" s="180" t="str">
        <f>VLOOKUP(B115,'Dados ClubeFII'!$A:$Z,20,0)/100</f>
        <v>#N/A</v>
      </c>
      <c r="E115" s="89" t="str">
        <f t="shared" si="1"/>
        <v>#N/A</v>
      </c>
      <c r="F115" s="181">
        <f>IF(ISERROR(1/VLOOKUP(B115,Capa!A:Z,13,0)),0,1/VLOOKUP(B115,Capa!A:Z,13,0))</f>
        <v>0</v>
      </c>
      <c r="G115" s="182">
        <f t="shared" si="2"/>
        <v>1.000001</v>
      </c>
      <c r="H115" s="183" t="str">
        <f t="shared" si="3"/>
        <v>#N/A</v>
      </c>
      <c r="M115" s="178" t="s">
        <v>3384</v>
      </c>
      <c r="N115" s="179" t="str">
        <f>VLOOKUP(M115,'Dados ClubeFII'!$A:$Z,26,0)</f>
        <v>#N/A</v>
      </c>
      <c r="O115" s="185" t="str">
        <f>VLOOKUP(M115,'Dados ClubeFII'!$A:$Z,18,0)/100</f>
        <v>#N/A</v>
      </c>
      <c r="P115" s="186" t="str">
        <f t="shared" si="5"/>
        <v>#N/A</v>
      </c>
      <c r="Q115" s="187">
        <f>IF(ISERROR(1/VLOOKUP(M115,Capa!A:Z,6,0)),0,1/VLOOKUP(M115,Capa!A:Z,6,0))</f>
        <v>0</v>
      </c>
      <c r="R115" s="188">
        <f t="shared" si="6"/>
        <v>1.000001</v>
      </c>
      <c r="S115" s="189" t="str">
        <f t="shared" si="7"/>
        <v>#N/A</v>
      </c>
    </row>
    <row r="116">
      <c r="A116" s="190"/>
      <c r="B116" s="178" t="s">
        <v>3385</v>
      </c>
      <c r="C116" s="179" t="str">
        <f>VLOOKUP(B116,'Dados ClubeFII'!$A:$Z,26,0)</f>
        <v>#N/A</v>
      </c>
      <c r="D116" s="180" t="str">
        <f>VLOOKUP(B116,'Dados ClubeFII'!$A:$Z,20,0)/100</f>
        <v>#N/A</v>
      </c>
      <c r="E116" s="89" t="str">
        <f t="shared" si="1"/>
        <v>#N/A</v>
      </c>
      <c r="F116" s="181">
        <f>IF(ISERROR(1/VLOOKUP(B116,Capa!A:Z,13,0)),0,1/VLOOKUP(B116,Capa!A:Z,13,0))</f>
        <v>0</v>
      </c>
      <c r="G116" s="182">
        <f t="shared" si="2"/>
        <v>1.000001</v>
      </c>
      <c r="H116" s="183" t="str">
        <f t="shared" si="3"/>
        <v>#N/A</v>
      </c>
      <c r="M116" s="178" t="s">
        <v>3385</v>
      </c>
      <c r="N116" s="179" t="str">
        <f>VLOOKUP(M116,'Dados ClubeFII'!$A:$Z,26,0)</f>
        <v>#N/A</v>
      </c>
      <c r="O116" s="185" t="str">
        <f>VLOOKUP(M116,'Dados ClubeFII'!$A:$Z,18,0)/100</f>
        <v>#N/A</v>
      </c>
      <c r="P116" s="186" t="str">
        <f t="shared" si="5"/>
        <v>#N/A</v>
      </c>
      <c r="Q116" s="187">
        <f>IF(ISERROR(1/VLOOKUP(M116,Capa!A:Z,6,0)),0,1/VLOOKUP(M116,Capa!A:Z,6,0))</f>
        <v>0</v>
      </c>
      <c r="R116" s="188">
        <f t="shared" si="6"/>
        <v>1.000001</v>
      </c>
      <c r="S116" s="189" t="str">
        <f t="shared" si="7"/>
        <v>#N/A</v>
      </c>
    </row>
    <row r="117">
      <c r="A117" s="190"/>
      <c r="B117" s="178" t="s">
        <v>3386</v>
      </c>
      <c r="C117" s="179" t="str">
        <f>VLOOKUP(B117,'Dados ClubeFII'!$A:$Z,26,0)</f>
        <v>#N/A</v>
      </c>
      <c r="D117" s="180" t="str">
        <f>VLOOKUP(B117,'Dados ClubeFII'!$A:$Z,20,0)/100</f>
        <v>#N/A</v>
      </c>
      <c r="E117" s="89" t="str">
        <f t="shared" si="1"/>
        <v>#N/A</v>
      </c>
      <c r="F117" s="181">
        <f>IF(ISERROR(1/VLOOKUP(B117,Capa!A:Z,13,0)),0,1/VLOOKUP(B117,Capa!A:Z,13,0))</f>
        <v>0</v>
      </c>
      <c r="G117" s="182">
        <f t="shared" si="2"/>
        <v>1.000001</v>
      </c>
      <c r="H117" s="183" t="str">
        <f t="shared" si="3"/>
        <v>#N/A</v>
      </c>
      <c r="M117" s="178" t="s">
        <v>3386</v>
      </c>
      <c r="N117" s="179" t="str">
        <f>VLOOKUP(M117,'Dados ClubeFII'!$A:$Z,26,0)</f>
        <v>#N/A</v>
      </c>
      <c r="O117" s="185" t="str">
        <f>VLOOKUP(M117,'Dados ClubeFII'!$A:$Z,18,0)/100</f>
        <v>#N/A</v>
      </c>
      <c r="P117" s="186" t="str">
        <f t="shared" si="5"/>
        <v>#N/A</v>
      </c>
      <c r="Q117" s="187">
        <f>IF(ISERROR(1/VLOOKUP(M117,Capa!A:Z,6,0)),0,1/VLOOKUP(M117,Capa!A:Z,6,0))</f>
        <v>0</v>
      </c>
      <c r="R117" s="188">
        <f t="shared" si="6"/>
        <v>1.000001</v>
      </c>
      <c r="S117" s="189" t="str">
        <f t="shared" si="7"/>
        <v>#N/A</v>
      </c>
    </row>
    <row r="118">
      <c r="A118" s="190"/>
      <c r="B118" s="178" t="s">
        <v>3387</v>
      </c>
      <c r="C118" s="179" t="str">
        <f>VLOOKUP(B118,'Dados ClubeFII'!$A:$Z,26,0)</f>
        <v>#N/A</v>
      </c>
      <c r="D118" s="180" t="str">
        <f>VLOOKUP(B118,'Dados ClubeFII'!$A:$Z,20,0)/100</f>
        <v>#N/A</v>
      </c>
      <c r="E118" s="89" t="str">
        <f t="shared" si="1"/>
        <v>#N/A</v>
      </c>
      <c r="F118" s="181">
        <f>IF(ISERROR(1/VLOOKUP(B118,Capa!A:Z,13,0)),0,1/VLOOKUP(B118,Capa!A:Z,13,0))</f>
        <v>0</v>
      </c>
      <c r="G118" s="182">
        <f t="shared" si="2"/>
        <v>1.000001</v>
      </c>
      <c r="H118" s="183" t="str">
        <f t="shared" si="3"/>
        <v>#N/A</v>
      </c>
      <c r="M118" s="178" t="s">
        <v>3387</v>
      </c>
      <c r="N118" s="179" t="str">
        <f>VLOOKUP(M118,'Dados ClubeFII'!$A:$Z,26,0)</f>
        <v>#N/A</v>
      </c>
      <c r="O118" s="185" t="str">
        <f>VLOOKUP(M118,'Dados ClubeFII'!$A:$Z,18,0)/100</f>
        <v>#N/A</v>
      </c>
      <c r="P118" s="186" t="str">
        <f t="shared" si="5"/>
        <v>#N/A</v>
      </c>
      <c r="Q118" s="187">
        <f>IF(ISERROR(1/VLOOKUP(M118,Capa!A:Z,6,0)),0,1/VLOOKUP(M118,Capa!A:Z,6,0))</f>
        <v>0</v>
      </c>
      <c r="R118" s="188">
        <f t="shared" si="6"/>
        <v>1.000001</v>
      </c>
      <c r="S118" s="189" t="str">
        <f t="shared" si="7"/>
        <v>#N/A</v>
      </c>
    </row>
    <row r="119">
      <c r="A119" s="190"/>
      <c r="B119" s="178" t="s">
        <v>3388</v>
      </c>
      <c r="C119" s="179" t="str">
        <f>VLOOKUP(B119,'Dados ClubeFII'!$A:$Z,26,0)</f>
        <v>#N/A</v>
      </c>
      <c r="D119" s="180" t="str">
        <f>VLOOKUP(B119,'Dados ClubeFII'!$A:$Z,20,0)/100</f>
        <v>#N/A</v>
      </c>
      <c r="E119" s="89" t="str">
        <f t="shared" si="1"/>
        <v>#N/A</v>
      </c>
      <c r="F119" s="181">
        <f>IF(ISERROR(1/VLOOKUP(B119,Capa!A:Z,13,0)),0,1/VLOOKUP(B119,Capa!A:Z,13,0))</f>
        <v>0</v>
      </c>
      <c r="G119" s="182">
        <f t="shared" si="2"/>
        <v>1.000001</v>
      </c>
      <c r="H119" s="183" t="str">
        <f t="shared" si="3"/>
        <v>#N/A</v>
      </c>
      <c r="M119" s="178" t="s">
        <v>3388</v>
      </c>
      <c r="N119" s="179" t="str">
        <f>VLOOKUP(M119,'Dados ClubeFII'!$A:$Z,26,0)</f>
        <v>#N/A</v>
      </c>
      <c r="O119" s="185" t="str">
        <f>VLOOKUP(M119,'Dados ClubeFII'!$A:$Z,18,0)/100</f>
        <v>#N/A</v>
      </c>
      <c r="P119" s="186" t="str">
        <f t="shared" si="5"/>
        <v>#N/A</v>
      </c>
      <c r="Q119" s="187">
        <f>IF(ISERROR(1/VLOOKUP(M119,Capa!A:Z,6,0)),0,1/VLOOKUP(M119,Capa!A:Z,6,0))</f>
        <v>0</v>
      </c>
      <c r="R119" s="188">
        <f t="shared" si="6"/>
        <v>1.000001</v>
      </c>
      <c r="S119" s="189" t="str">
        <f t="shared" si="7"/>
        <v>#N/A</v>
      </c>
    </row>
    <row r="120">
      <c r="A120" s="190"/>
      <c r="B120" s="178" t="s">
        <v>3389</v>
      </c>
      <c r="C120" s="179" t="str">
        <f>VLOOKUP(B120,'Dados ClubeFII'!$A:$Z,26,0)</f>
        <v>#N/A</v>
      </c>
      <c r="D120" s="180" t="str">
        <f>VLOOKUP(B120,'Dados ClubeFII'!$A:$Z,20,0)/100</f>
        <v>#N/A</v>
      </c>
      <c r="E120" s="89" t="str">
        <f t="shared" si="1"/>
        <v>#N/A</v>
      </c>
      <c r="F120" s="181">
        <f>IF(ISERROR(1/VLOOKUP(B120,Capa!A:Z,13,0)),0,1/VLOOKUP(B120,Capa!A:Z,13,0))</f>
        <v>0</v>
      </c>
      <c r="G120" s="182">
        <f t="shared" si="2"/>
        <v>1.000001</v>
      </c>
      <c r="H120" s="183" t="str">
        <f t="shared" si="3"/>
        <v>#N/A</v>
      </c>
      <c r="M120" s="178" t="s">
        <v>3389</v>
      </c>
      <c r="N120" s="179" t="str">
        <f>VLOOKUP(M120,'Dados ClubeFII'!$A:$Z,26,0)</f>
        <v>#N/A</v>
      </c>
      <c r="O120" s="185" t="str">
        <f>VLOOKUP(M120,'Dados ClubeFII'!$A:$Z,18,0)/100</f>
        <v>#N/A</v>
      </c>
      <c r="P120" s="186" t="str">
        <f t="shared" si="5"/>
        <v>#N/A</v>
      </c>
      <c r="Q120" s="187">
        <f>IF(ISERROR(1/VLOOKUP(M120,Capa!A:Z,6,0)),0,1/VLOOKUP(M120,Capa!A:Z,6,0))</f>
        <v>0</v>
      </c>
      <c r="R120" s="188">
        <f t="shared" si="6"/>
        <v>1.000001</v>
      </c>
      <c r="S120" s="189" t="str">
        <f t="shared" si="7"/>
        <v>#N/A</v>
      </c>
    </row>
    <row r="121">
      <c r="A121" s="190"/>
      <c r="B121" s="178" t="s">
        <v>3390</v>
      </c>
      <c r="C121" s="179" t="str">
        <f>VLOOKUP(B121,'Dados ClubeFII'!$A:$Z,26,0)</f>
        <v>#N/A</v>
      </c>
      <c r="D121" s="180" t="str">
        <f>VLOOKUP(B121,'Dados ClubeFII'!$A:$Z,20,0)/100</f>
        <v>#N/A</v>
      </c>
      <c r="E121" s="89" t="str">
        <f t="shared" si="1"/>
        <v>#N/A</v>
      </c>
      <c r="F121" s="181">
        <f>IF(ISERROR(1/VLOOKUP(B121,Capa!A:Z,13,0)),0,1/VLOOKUP(B121,Capa!A:Z,13,0))</f>
        <v>0</v>
      </c>
      <c r="G121" s="182">
        <f t="shared" si="2"/>
        <v>1.000001</v>
      </c>
      <c r="H121" s="183" t="str">
        <f t="shared" si="3"/>
        <v>#N/A</v>
      </c>
      <c r="M121" s="178" t="s">
        <v>3390</v>
      </c>
      <c r="N121" s="179" t="str">
        <f>VLOOKUP(M121,'Dados ClubeFII'!$A:$Z,26,0)</f>
        <v>#N/A</v>
      </c>
      <c r="O121" s="185" t="str">
        <f>VLOOKUP(M121,'Dados ClubeFII'!$A:$Z,18,0)/100</f>
        <v>#N/A</v>
      </c>
      <c r="P121" s="186" t="str">
        <f t="shared" si="5"/>
        <v>#N/A</v>
      </c>
      <c r="Q121" s="187">
        <f>IF(ISERROR(1/VLOOKUP(M121,Capa!A:Z,6,0)),0,1/VLOOKUP(M121,Capa!A:Z,6,0))</f>
        <v>0</v>
      </c>
      <c r="R121" s="188">
        <f t="shared" si="6"/>
        <v>1.000001</v>
      </c>
      <c r="S121" s="189" t="str">
        <f t="shared" si="7"/>
        <v>#N/A</v>
      </c>
    </row>
    <row r="122">
      <c r="A122" s="190"/>
      <c r="B122" s="178" t="s">
        <v>3391</v>
      </c>
      <c r="C122" s="179" t="str">
        <f>VLOOKUP(B122,'Dados ClubeFII'!$A:$Z,26,0)</f>
        <v>#N/A</v>
      </c>
      <c r="D122" s="180" t="str">
        <f>VLOOKUP(B122,'Dados ClubeFII'!$A:$Z,20,0)/100</f>
        <v>#N/A</v>
      </c>
      <c r="E122" s="89" t="str">
        <f t="shared" si="1"/>
        <v>#N/A</v>
      </c>
      <c r="F122" s="181">
        <f>IF(ISERROR(1/VLOOKUP(B122,Capa!A:Z,13,0)),0,1/VLOOKUP(B122,Capa!A:Z,13,0))</f>
        <v>0</v>
      </c>
      <c r="G122" s="182">
        <f t="shared" si="2"/>
        <v>1.000001</v>
      </c>
      <c r="H122" s="183" t="str">
        <f t="shared" si="3"/>
        <v>#N/A</v>
      </c>
      <c r="M122" s="178" t="s">
        <v>3391</v>
      </c>
      <c r="N122" s="179" t="str">
        <f>VLOOKUP(M122,'Dados ClubeFII'!$A:$Z,26,0)</f>
        <v>#N/A</v>
      </c>
      <c r="O122" s="185" t="str">
        <f>VLOOKUP(M122,'Dados ClubeFII'!$A:$Z,18,0)/100</f>
        <v>#N/A</v>
      </c>
      <c r="P122" s="186" t="str">
        <f t="shared" si="5"/>
        <v>#N/A</v>
      </c>
      <c r="Q122" s="187">
        <f>IF(ISERROR(1/VLOOKUP(M122,Capa!A:Z,6,0)),0,1/VLOOKUP(M122,Capa!A:Z,6,0))</f>
        <v>0</v>
      </c>
      <c r="R122" s="188">
        <f t="shared" si="6"/>
        <v>1.000001</v>
      </c>
      <c r="S122" s="189" t="str">
        <f t="shared" si="7"/>
        <v>#N/A</v>
      </c>
    </row>
    <row r="123">
      <c r="A123" s="190"/>
      <c r="B123" s="178" t="s">
        <v>3392</v>
      </c>
      <c r="C123" s="179" t="str">
        <f>VLOOKUP(B123,'Dados ClubeFII'!$A:$Z,26,0)</f>
        <v>#N/A</v>
      </c>
      <c r="D123" s="180" t="str">
        <f>VLOOKUP(B123,'Dados ClubeFII'!$A:$Z,20,0)/100</f>
        <v>#N/A</v>
      </c>
      <c r="E123" s="89" t="str">
        <f t="shared" si="1"/>
        <v>#N/A</v>
      </c>
      <c r="F123" s="181">
        <f>IF(ISERROR(1/VLOOKUP(B123,Capa!A:Z,13,0)),0,1/VLOOKUP(B123,Capa!A:Z,13,0))</f>
        <v>0</v>
      </c>
      <c r="G123" s="182">
        <f t="shared" si="2"/>
        <v>1.000001</v>
      </c>
      <c r="H123" s="183" t="str">
        <f t="shared" si="3"/>
        <v>#N/A</v>
      </c>
      <c r="M123" s="178" t="s">
        <v>3392</v>
      </c>
      <c r="N123" s="179" t="str">
        <f>VLOOKUP(M123,'Dados ClubeFII'!$A:$Z,26,0)</f>
        <v>#N/A</v>
      </c>
      <c r="O123" s="185" t="str">
        <f>VLOOKUP(M123,'Dados ClubeFII'!$A:$Z,18,0)/100</f>
        <v>#N/A</v>
      </c>
      <c r="P123" s="186" t="str">
        <f t="shared" si="5"/>
        <v>#N/A</v>
      </c>
      <c r="Q123" s="187">
        <f>IF(ISERROR(1/VLOOKUP(M123,Capa!A:Z,6,0)),0,1/VLOOKUP(M123,Capa!A:Z,6,0))</f>
        <v>0</v>
      </c>
      <c r="R123" s="188">
        <f t="shared" si="6"/>
        <v>1.000001</v>
      </c>
      <c r="S123" s="189" t="str">
        <f t="shared" si="7"/>
        <v>#N/A</v>
      </c>
    </row>
    <row r="124">
      <c r="A124" s="190"/>
      <c r="B124" s="178" t="s">
        <v>3393</v>
      </c>
      <c r="C124" s="179" t="str">
        <f>VLOOKUP(B124,'Dados ClubeFII'!$A:$Z,26,0)</f>
        <v>#N/A</v>
      </c>
      <c r="D124" s="180" t="str">
        <f>VLOOKUP(B124,'Dados ClubeFII'!$A:$Z,20,0)/100</f>
        <v>#N/A</v>
      </c>
      <c r="E124" s="89" t="str">
        <f t="shared" si="1"/>
        <v>#N/A</v>
      </c>
      <c r="F124" s="181">
        <f>IF(ISERROR(1/VLOOKUP(B124,Capa!A:Z,13,0)),0,1/VLOOKUP(B124,Capa!A:Z,13,0))</f>
        <v>0</v>
      </c>
      <c r="G124" s="182">
        <f t="shared" si="2"/>
        <v>1.000001</v>
      </c>
      <c r="H124" s="183" t="str">
        <f t="shared" si="3"/>
        <v>#N/A</v>
      </c>
      <c r="M124" s="178" t="s">
        <v>3393</v>
      </c>
      <c r="N124" s="179" t="str">
        <f>VLOOKUP(M124,'Dados ClubeFII'!$A:$Z,26,0)</f>
        <v>#N/A</v>
      </c>
      <c r="O124" s="185" t="str">
        <f>VLOOKUP(M124,'Dados ClubeFII'!$A:$Z,18,0)/100</f>
        <v>#N/A</v>
      </c>
      <c r="P124" s="186" t="str">
        <f t="shared" si="5"/>
        <v>#N/A</v>
      </c>
      <c r="Q124" s="187">
        <f>IF(ISERROR(1/VLOOKUP(M124,Capa!A:Z,6,0)),0,1/VLOOKUP(M124,Capa!A:Z,6,0))</f>
        <v>0</v>
      </c>
      <c r="R124" s="188">
        <f t="shared" si="6"/>
        <v>1.000001</v>
      </c>
      <c r="S124" s="189" t="str">
        <f t="shared" si="7"/>
        <v>#N/A</v>
      </c>
    </row>
    <row r="125">
      <c r="A125" s="190"/>
      <c r="B125" s="178" t="s">
        <v>3394</v>
      </c>
      <c r="C125" s="179" t="str">
        <f>VLOOKUP(B125,'Dados ClubeFII'!$A:$Z,26,0)</f>
        <v>#N/A</v>
      </c>
      <c r="D125" s="180" t="str">
        <f>VLOOKUP(B125,'Dados ClubeFII'!$A:$Z,20,0)/100</f>
        <v>#N/A</v>
      </c>
      <c r="E125" s="89" t="str">
        <f t="shared" si="1"/>
        <v>#N/A</v>
      </c>
      <c r="F125" s="181">
        <f>IF(ISERROR(1/VLOOKUP(B125,Capa!A:Z,13,0)),0,1/VLOOKUP(B125,Capa!A:Z,13,0))</f>
        <v>0</v>
      </c>
      <c r="G125" s="182">
        <f t="shared" si="2"/>
        <v>1.000001</v>
      </c>
      <c r="H125" s="183" t="str">
        <f t="shared" si="3"/>
        <v>#N/A</v>
      </c>
      <c r="M125" s="178" t="s">
        <v>3394</v>
      </c>
      <c r="N125" s="179" t="str">
        <f>VLOOKUP(M125,'Dados ClubeFII'!$A:$Z,26,0)</f>
        <v>#N/A</v>
      </c>
      <c r="O125" s="185" t="str">
        <f>VLOOKUP(M125,'Dados ClubeFII'!$A:$Z,18,0)/100</f>
        <v>#N/A</v>
      </c>
      <c r="P125" s="186" t="str">
        <f t="shared" si="5"/>
        <v>#N/A</v>
      </c>
      <c r="Q125" s="187">
        <f>IF(ISERROR(1/VLOOKUP(M125,Capa!A:Z,6,0)),0,1/VLOOKUP(M125,Capa!A:Z,6,0))</f>
        <v>0</v>
      </c>
      <c r="R125" s="188">
        <f t="shared" si="6"/>
        <v>1.000001</v>
      </c>
      <c r="S125" s="189" t="str">
        <f t="shared" si="7"/>
        <v>#N/A</v>
      </c>
    </row>
    <row r="126">
      <c r="A126" s="190"/>
      <c r="B126" s="178" t="s">
        <v>3395</v>
      </c>
      <c r="C126" s="179" t="str">
        <f>VLOOKUP(B126,'Dados ClubeFII'!$A:$Z,26,0)</f>
        <v>#N/A</v>
      </c>
      <c r="D126" s="180" t="str">
        <f>VLOOKUP(B126,'Dados ClubeFII'!$A:$Z,20,0)/100</f>
        <v>#N/A</v>
      </c>
      <c r="E126" s="89" t="str">
        <f t="shared" si="1"/>
        <v>#N/A</v>
      </c>
      <c r="F126" s="181">
        <f>IF(ISERROR(1/VLOOKUP(B126,Capa!A:Z,13,0)),0,1/VLOOKUP(B126,Capa!A:Z,13,0))</f>
        <v>0</v>
      </c>
      <c r="G126" s="182">
        <f t="shared" si="2"/>
        <v>1.000001</v>
      </c>
      <c r="H126" s="183" t="str">
        <f t="shared" si="3"/>
        <v>#N/A</v>
      </c>
      <c r="M126" s="178" t="s">
        <v>3395</v>
      </c>
      <c r="N126" s="179" t="str">
        <f>VLOOKUP(M126,'Dados ClubeFII'!$A:$Z,26,0)</f>
        <v>#N/A</v>
      </c>
      <c r="O126" s="185" t="str">
        <f>VLOOKUP(M126,'Dados ClubeFII'!$A:$Z,18,0)/100</f>
        <v>#N/A</v>
      </c>
      <c r="P126" s="186" t="str">
        <f t="shared" si="5"/>
        <v>#N/A</v>
      </c>
      <c r="Q126" s="187">
        <f>IF(ISERROR(1/VLOOKUP(M126,Capa!A:Z,6,0)),0,1/VLOOKUP(M126,Capa!A:Z,6,0))</f>
        <v>0</v>
      </c>
      <c r="R126" s="188">
        <f t="shared" si="6"/>
        <v>1.000001</v>
      </c>
      <c r="S126" s="189" t="str">
        <f t="shared" si="7"/>
        <v>#N/A</v>
      </c>
    </row>
    <row r="127">
      <c r="A127" s="190"/>
      <c r="B127" s="178" t="s">
        <v>3396</v>
      </c>
      <c r="C127" s="179" t="str">
        <f>VLOOKUP(B127,'Dados ClubeFII'!$A:$Z,26,0)</f>
        <v>#N/A</v>
      </c>
      <c r="D127" s="180" t="str">
        <f>VLOOKUP(B127,'Dados ClubeFII'!$A:$Z,20,0)/100</f>
        <v>#N/A</v>
      </c>
      <c r="E127" s="89" t="str">
        <f t="shared" si="1"/>
        <v>#N/A</v>
      </c>
      <c r="F127" s="181">
        <f>IF(ISERROR(1/VLOOKUP(B127,Capa!A:Z,13,0)),0,1/VLOOKUP(B127,Capa!A:Z,13,0))</f>
        <v>0</v>
      </c>
      <c r="G127" s="182">
        <f t="shared" si="2"/>
        <v>1.000001</v>
      </c>
      <c r="H127" s="183" t="str">
        <f t="shared" si="3"/>
        <v>#N/A</v>
      </c>
      <c r="M127" s="178" t="s">
        <v>3396</v>
      </c>
      <c r="N127" s="179" t="str">
        <f>VLOOKUP(M127,'Dados ClubeFII'!$A:$Z,26,0)</f>
        <v>#N/A</v>
      </c>
      <c r="O127" s="185" t="str">
        <f>VLOOKUP(M127,'Dados ClubeFII'!$A:$Z,18,0)/100</f>
        <v>#N/A</v>
      </c>
      <c r="P127" s="186" t="str">
        <f t="shared" si="5"/>
        <v>#N/A</v>
      </c>
      <c r="Q127" s="187">
        <f>IF(ISERROR(1/VLOOKUP(M127,Capa!A:Z,6,0)),0,1/VLOOKUP(M127,Capa!A:Z,6,0))</f>
        <v>0</v>
      </c>
      <c r="R127" s="188">
        <f t="shared" si="6"/>
        <v>1.000001</v>
      </c>
      <c r="S127" s="189" t="str">
        <f t="shared" si="7"/>
        <v>#N/A</v>
      </c>
    </row>
    <row r="128">
      <c r="A128" s="190"/>
      <c r="B128" s="178" t="s">
        <v>3397</v>
      </c>
      <c r="C128" s="179" t="str">
        <f>VLOOKUP(B128,'Dados ClubeFII'!$A:$Z,26,0)</f>
        <v>#N/A</v>
      </c>
      <c r="D128" s="180" t="str">
        <f>VLOOKUP(B128,'Dados ClubeFII'!$A:$Z,20,0)/100</f>
        <v>#N/A</v>
      </c>
      <c r="E128" s="89" t="str">
        <f t="shared" si="1"/>
        <v>#N/A</v>
      </c>
      <c r="F128" s="181">
        <f>IF(ISERROR(1/VLOOKUP(B128,Capa!A:Z,13,0)),0,1/VLOOKUP(B128,Capa!A:Z,13,0))</f>
        <v>0</v>
      </c>
      <c r="G128" s="182">
        <f t="shared" si="2"/>
        <v>1.000001</v>
      </c>
      <c r="H128" s="183" t="str">
        <f t="shared" si="3"/>
        <v>#N/A</v>
      </c>
      <c r="M128" s="178" t="s">
        <v>3397</v>
      </c>
      <c r="N128" s="179" t="str">
        <f>VLOOKUP(M128,'Dados ClubeFII'!$A:$Z,26,0)</f>
        <v>#N/A</v>
      </c>
      <c r="O128" s="185" t="str">
        <f>VLOOKUP(M128,'Dados ClubeFII'!$A:$Z,18,0)/100</f>
        <v>#N/A</v>
      </c>
      <c r="P128" s="186" t="str">
        <f t="shared" si="5"/>
        <v>#N/A</v>
      </c>
      <c r="Q128" s="187">
        <f>IF(ISERROR(1/VLOOKUP(M128,Capa!A:Z,6,0)),0,1/VLOOKUP(M128,Capa!A:Z,6,0))</f>
        <v>0</v>
      </c>
      <c r="R128" s="188">
        <f t="shared" si="6"/>
        <v>1.000001</v>
      </c>
      <c r="S128" s="189" t="str">
        <f t="shared" si="7"/>
        <v>#N/A</v>
      </c>
    </row>
    <row r="129">
      <c r="A129" s="190"/>
      <c r="B129" s="178" t="s">
        <v>3398</v>
      </c>
      <c r="C129" s="179" t="str">
        <f>VLOOKUP(B129,'Dados ClubeFII'!$A:$Z,26,0)</f>
        <v>#N/A</v>
      </c>
      <c r="D129" s="180" t="str">
        <f>VLOOKUP(B129,'Dados ClubeFII'!$A:$Z,20,0)/100</f>
        <v>#N/A</v>
      </c>
      <c r="E129" s="89" t="str">
        <f t="shared" si="1"/>
        <v>#N/A</v>
      </c>
      <c r="F129" s="181">
        <f>IF(ISERROR(1/VLOOKUP(B129,Capa!A:Z,13,0)),0,1/VLOOKUP(B129,Capa!A:Z,13,0))</f>
        <v>0</v>
      </c>
      <c r="G129" s="182">
        <f t="shared" si="2"/>
        <v>1.000001</v>
      </c>
      <c r="H129" s="183" t="str">
        <f t="shared" si="3"/>
        <v>#N/A</v>
      </c>
      <c r="M129" s="178" t="s">
        <v>3398</v>
      </c>
      <c r="N129" s="179" t="str">
        <f>VLOOKUP(M129,'Dados ClubeFII'!$A:$Z,26,0)</f>
        <v>#N/A</v>
      </c>
      <c r="O129" s="185" t="str">
        <f>VLOOKUP(M129,'Dados ClubeFII'!$A:$Z,18,0)/100</f>
        <v>#N/A</v>
      </c>
      <c r="P129" s="186" t="str">
        <f t="shared" si="5"/>
        <v>#N/A</v>
      </c>
      <c r="Q129" s="187">
        <f>IF(ISERROR(1/VLOOKUP(M129,Capa!A:Z,6,0)),0,1/VLOOKUP(M129,Capa!A:Z,6,0))</f>
        <v>0</v>
      </c>
      <c r="R129" s="188">
        <f t="shared" si="6"/>
        <v>1.000001</v>
      </c>
      <c r="S129" s="189" t="str">
        <f t="shared" si="7"/>
        <v>#N/A</v>
      </c>
    </row>
    <row r="130">
      <c r="A130" s="190"/>
      <c r="B130" s="178" t="s">
        <v>3399</v>
      </c>
      <c r="C130" s="179" t="str">
        <f>VLOOKUP(B130,'Dados ClubeFII'!$A:$Z,26,0)</f>
        <v>#N/A</v>
      </c>
      <c r="D130" s="180" t="str">
        <f>VLOOKUP(B130,'Dados ClubeFII'!$A:$Z,20,0)/100</f>
        <v>#N/A</v>
      </c>
      <c r="E130" s="89" t="str">
        <f t="shared" si="1"/>
        <v>#N/A</v>
      </c>
      <c r="F130" s="181">
        <f>IF(ISERROR(1/VLOOKUP(B130,Capa!A:Z,13,0)),0,1/VLOOKUP(B130,Capa!A:Z,13,0))</f>
        <v>0</v>
      </c>
      <c r="G130" s="182">
        <f t="shared" si="2"/>
        <v>1.000001</v>
      </c>
      <c r="H130" s="183" t="str">
        <f t="shared" si="3"/>
        <v>#N/A</v>
      </c>
      <c r="M130" s="178" t="s">
        <v>3399</v>
      </c>
      <c r="N130" s="179" t="str">
        <f>VLOOKUP(M130,'Dados ClubeFII'!$A:$Z,26,0)</f>
        <v>#N/A</v>
      </c>
      <c r="O130" s="185" t="str">
        <f>VLOOKUP(M130,'Dados ClubeFII'!$A:$Z,18,0)/100</f>
        <v>#N/A</v>
      </c>
      <c r="P130" s="186" t="str">
        <f t="shared" si="5"/>
        <v>#N/A</v>
      </c>
      <c r="Q130" s="187">
        <f>IF(ISERROR(1/VLOOKUP(M130,Capa!A:Z,6,0)),0,1/VLOOKUP(M130,Capa!A:Z,6,0))</f>
        <v>0</v>
      </c>
      <c r="R130" s="188">
        <f t="shared" si="6"/>
        <v>1.000001</v>
      </c>
      <c r="S130" s="189" t="str">
        <f t="shared" si="7"/>
        <v>#N/A</v>
      </c>
    </row>
    <row r="131">
      <c r="A131" s="190"/>
      <c r="B131" s="178" t="s">
        <v>3400</v>
      </c>
      <c r="C131" s="179" t="str">
        <f>VLOOKUP(B131,'Dados ClubeFII'!$A:$Z,26,0)</f>
        <v>#N/A</v>
      </c>
      <c r="D131" s="180" t="str">
        <f>VLOOKUP(B131,'Dados ClubeFII'!$A:$Z,20,0)/100</f>
        <v>#N/A</v>
      </c>
      <c r="E131" s="89" t="str">
        <f t="shared" si="1"/>
        <v>#N/A</v>
      </c>
      <c r="F131" s="181">
        <f>IF(ISERROR(1/VLOOKUP(B131,Capa!A:Z,13,0)),0,1/VLOOKUP(B131,Capa!A:Z,13,0))</f>
        <v>0</v>
      </c>
      <c r="G131" s="182">
        <f t="shared" si="2"/>
        <v>1.000001</v>
      </c>
      <c r="H131" s="183" t="str">
        <f t="shared" si="3"/>
        <v>#N/A</v>
      </c>
      <c r="M131" s="178" t="s">
        <v>3400</v>
      </c>
      <c r="N131" s="179" t="str">
        <f>VLOOKUP(M131,'Dados ClubeFII'!$A:$Z,26,0)</f>
        <v>#N/A</v>
      </c>
      <c r="O131" s="185" t="str">
        <f>VLOOKUP(M131,'Dados ClubeFII'!$A:$Z,18,0)/100</f>
        <v>#N/A</v>
      </c>
      <c r="P131" s="186" t="str">
        <f t="shared" si="5"/>
        <v>#N/A</v>
      </c>
      <c r="Q131" s="187">
        <f>IF(ISERROR(1/VLOOKUP(M131,Capa!A:Z,6,0)),0,1/VLOOKUP(M131,Capa!A:Z,6,0))</f>
        <v>0</v>
      </c>
      <c r="R131" s="188">
        <f t="shared" si="6"/>
        <v>1.000001</v>
      </c>
      <c r="S131" s="189" t="str">
        <f t="shared" si="7"/>
        <v>#N/A</v>
      </c>
    </row>
    <row r="132">
      <c r="A132" s="190"/>
      <c r="B132" s="178" t="s">
        <v>3401</v>
      </c>
      <c r="C132" s="179" t="str">
        <f>VLOOKUP(B132,'Dados ClubeFII'!$A:$Z,26,0)</f>
        <v>#N/A</v>
      </c>
      <c r="D132" s="180" t="str">
        <f>VLOOKUP(B132,'Dados ClubeFII'!$A:$Z,20,0)/100</f>
        <v>#N/A</v>
      </c>
      <c r="E132" s="89" t="str">
        <f t="shared" si="1"/>
        <v>#N/A</v>
      </c>
      <c r="F132" s="181">
        <f>IF(ISERROR(1/VLOOKUP(B132,Capa!A:Z,13,0)),0,1/VLOOKUP(B132,Capa!A:Z,13,0))</f>
        <v>0</v>
      </c>
      <c r="G132" s="182">
        <f t="shared" si="2"/>
        <v>1.000001</v>
      </c>
      <c r="H132" s="183" t="str">
        <f t="shared" si="3"/>
        <v>#N/A</v>
      </c>
      <c r="M132" s="178" t="s">
        <v>3401</v>
      </c>
      <c r="N132" s="179" t="str">
        <f>VLOOKUP(M132,'Dados ClubeFII'!$A:$Z,26,0)</f>
        <v>#N/A</v>
      </c>
      <c r="O132" s="185" t="str">
        <f>VLOOKUP(M132,'Dados ClubeFII'!$A:$Z,18,0)/100</f>
        <v>#N/A</v>
      </c>
      <c r="P132" s="186" t="str">
        <f t="shared" si="5"/>
        <v>#N/A</v>
      </c>
      <c r="Q132" s="187">
        <f>IF(ISERROR(1/VLOOKUP(M132,Capa!A:Z,6,0)),0,1/VLOOKUP(M132,Capa!A:Z,6,0))</f>
        <v>0</v>
      </c>
      <c r="R132" s="188">
        <f t="shared" si="6"/>
        <v>1.000001</v>
      </c>
      <c r="S132" s="189" t="str">
        <f t="shared" si="7"/>
        <v>#N/A</v>
      </c>
    </row>
    <row r="133">
      <c r="A133" s="190"/>
      <c r="B133" s="178" t="s">
        <v>3402</v>
      </c>
      <c r="C133" s="179" t="str">
        <f>VLOOKUP(B133,'Dados ClubeFII'!$A:$Z,26,0)</f>
        <v>#N/A</v>
      </c>
      <c r="D133" s="180" t="str">
        <f>VLOOKUP(B133,'Dados ClubeFII'!$A:$Z,20,0)/100</f>
        <v>#N/A</v>
      </c>
      <c r="E133" s="89" t="str">
        <f t="shared" si="1"/>
        <v>#N/A</v>
      </c>
      <c r="F133" s="181">
        <f>IF(ISERROR(1/VLOOKUP(B133,Capa!A:Z,13,0)),0,1/VLOOKUP(B133,Capa!A:Z,13,0))</f>
        <v>0</v>
      </c>
      <c r="G133" s="182">
        <f t="shared" si="2"/>
        <v>1.000001</v>
      </c>
      <c r="H133" s="183" t="str">
        <f t="shared" si="3"/>
        <v>#N/A</v>
      </c>
      <c r="M133" s="178" t="s">
        <v>3402</v>
      </c>
      <c r="N133" s="179" t="str">
        <f>VLOOKUP(M133,'Dados ClubeFII'!$A:$Z,26,0)</f>
        <v>#N/A</v>
      </c>
      <c r="O133" s="185" t="str">
        <f>VLOOKUP(M133,'Dados ClubeFII'!$A:$Z,18,0)/100</f>
        <v>#N/A</v>
      </c>
      <c r="P133" s="186" t="str">
        <f t="shared" si="5"/>
        <v>#N/A</v>
      </c>
      <c r="Q133" s="187">
        <f>IF(ISERROR(1/VLOOKUP(M133,Capa!A:Z,6,0)),0,1/VLOOKUP(M133,Capa!A:Z,6,0))</f>
        <v>0</v>
      </c>
      <c r="R133" s="188">
        <f t="shared" si="6"/>
        <v>1.000001</v>
      </c>
      <c r="S133" s="189" t="str">
        <f t="shared" si="7"/>
        <v>#N/A</v>
      </c>
    </row>
    <row r="134">
      <c r="A134" s="190"/>
      <c r="B134" s="178" t="s">
        <v>3403</v>
      </c>
      <c r="C134" s="179" t="str">
        <f>VLOOKUP(B134,'Dados ClubeFII'!$A:$Z,26,0)</f>
        <v>#N/A</v>
      </c>
      <c r="D134" s="180" t="str">
        <f>VLOOKUP(B134,'Dados ClubeFII'!$A:$Z,20,0)/100</f>
        <v>#N/A</v>
      </c>
      <c r="E134" s="89" t="str">
        <f t="shared" si="1"/>
        <v>#N/A</v>
      </c>
      <c r="F134" s="181">
        <f>IF(ISERROR(1/VLOOKUP(B134,Capa!A:Z,13,0)),0,1/VLOOKUP(B134,Capa!A:Z,13,0))</f>
        <v>0</v>
      </c>
      <c r="G134" s="182">
        <f t="shared" si="2"/>
        <v>1.000001</v>
      </c>
      <c r="H134" s="183" t="str">
        <f t="shared" si="3"/>
        <v>#N/A</v>
      </c>
      <c r="M134" s="178" t="s">
        <v>3403</v>
      </c>
      <c r="N134" s="179" t="str">
        <f>VLOOKUP(M134,'Dados ClubeFII'!$A:$Z,26,0)</f>
        <v>#N/A</v>
      </c>
      <c r="O134" s="185" t="str">
        <f>VLOOKUP(M134,'Dados ClubeFII'!$A:$Z,18,0)/100</f>
        <v>#N/A</v>
      </c>
      <c r="P134" s="186" t="str">
        <f t="shared" si="5"/>
        <v>#N/A</v>
      </c>
      <c r="Q134" s="187">
        <f>IF(ISERROR(1/VLOOKUP(M134,Capa!A:Z,6,0)),0,1/VLOOKUP(M134,Capa!A:Z,6,0))</f>
        <v>0</v>
      </c>
      <c r="R134" s="188">
        <f t="shared" si="6"/>
        <v>1.000001</v>
      </c>
      <c r="S134" s="189" t="str">
        <f t="shared" si="7"/>
        <v>#N/A</v>
      </c>
    </row>
    <row r="135">
      <c r="A135" s="190"/>
      <c r="B135" s="178" t="s">
        <v>3404</v>
      </c>
      <c r="C135" s="179" t="str">
        <f>VLOOKUP(B135,'Dados ClubeFII'!$A:$Z,26,0)</f>
        <v>#N/A</v>
      </c>
      <c r="D135" s="180" t="str">
        <f>VLOOKUP(B135,'Dados ClubeFII'!$A:$Z,20,0)/100</f>
        <v>#N/A</v>
      </c>
      <c r="E135" s="89" t="str">
        <f t="shared" si="1"/>
        <v>#N/A</v>
      </c>
      <c r="F135" s="181">
        <f>IF(ISERROR(1/VLOOKUP(B135,Capa!A:Z,13,0)),0,1/VLOOKUP(B135,Capa!A:Z,13,0))</f>
        <v>0</v>
      </c>
      <c r="G135" s="182">
        <f t="shared" si="2"/>
        <v>1.000001</v>
      </c>
      <c r="H135" s="183" t="str">
        <f t="shared" si="3"/>
        <v>#N/A</v>
      </c>
      <c r="M135" s="178" t="s">
        <v>3404</v>
      </c>
      <c r="N135" s="179" t="str">
        <f>VLOOKUP(M135,'Dados ClubeFII'!$A:$Z,26,0)</f>
        <v>#N/A</v>
      </c>
      <c r="O135" s="185" t="str">
        <f>VLOOKUP(M135,'Dados ClubeFII'!$A:$Z,18,0)/100</f>
        <v>#N/A</v>
      </c>
      <c r="P135" s="186" t="str">
        <f t="shared" si="5"/>
        <v>#N/A</v>
      </c>
      <c r="Q135" s="187">
        <f>IF(ISERROR(1/VLOOKUP(M135,Capa!A:Z,6,0)),0,1/VLOOKUP(M135,Capa!A:Z,6,0))</f>
        <v>0</v>
      </c>
      <c r="R135" s="188">
        <f t="shared" si="6"/>
        <v>1.000001</v>
      </c>
      <c r="S135" s="189" t="str">
        <f t="shared" si="7"/>
        <v>#N/A</v>
      </c>
    </row>
    <row r="136">
      <c r="A136" s="190"/>
      <c r="B136" s="178" t="s">
        <v>3405</v>
      </c>
      <c r="C136" s="179" t="str">
        <f>VLOOKUP(B136,'Dados ClubeFII'!$A:$Z,26,0)</f>
        <v>#N/A</v>
      </c>
      <c r="D136" s="180" t="str">
        <f>VLOOKUP(B136,'Dados ClubeFII'!$A:$Z,20,0)/100</f>
        <v>#N/A</v>
      </c>
      <c r="E136" s="89" t="str">
        <f t="shared" si="1"/>
        <v>#N/A</v>
      </c>
      <c r="F136" s="181">
        <f>IF(ISERROR(1/VLOOKUP(B136,Capa!A:Z,13,0)),0,1/VLOOKUP(B136,Capa!A:Z,13,0))</f>
        <v>0</v>
      </c>
      <c r="G136" s="182">
        <f t="shared" si="2"/>
        <v>1.000001</v>
      </c>
      <c r="H136" s="183" t="str">
        <f t="shared" si="3"/>
        <v>#N/A</v>
      </c>
      <c r="M136" s="178" t="s">
        <v>3405</v>
      </c>
      <c r="N136" s="179" t="str">
        <f>VLOOKUP(M136,'Dados ClubeFII'!$A:$Z,26,0)</f>
        <v>#N/A</v>
      </c>
      <c r="O136" s="185" t="str">
        <f>VLOOKUP(M136,'Dados ClubeFII'!$A:$Z,18,0)/100</f>
        <v>#N/A</v>
      </c>
      <c r="P136" s="186" t="str">
        <f t="shared" si="5"/>
        <v>#N/A</v>
      </c>
      <c r="Q136" s="187">
        <f>IF(ISERROR(1/VLOOKUP(M136,Capa!A:Z,6,0)),0,1/VLOOKUP(M136,Capa!A:Z,6,0))</f>
        <v>0</v>
      </c>
      <c r="R136" s="188">
        <f t="shared" si="6"/>
        <v>1.000001</v>
      </c>
      <c r="S136" s="189" t="str">
        <f t="shared" si="7"/>
        <v>#N/A</v>
      </c>
    </row>
    <row r="137">
      <c r="A137" s="190"/>
      <c r="B137" s="178" t="s">
        <v>3406</v>
      </c>
      <c r="C137" s="179" t="str">
        <f>VLOOKUP(B137,'Dados ClubeFII'!$A:$Z,26,0)</f>
        <v>#N/A</v>
      </c>
      <c r="D137" s="180" t="str">
        <f>VLOOKUP(B137,'Dados ClubeFII'!$A:$Z,20,0)/100</f>
        <v>#N/A</v>
      </c>
      <c r="E137" s="89" t="str">
        <f t="shared" si="1"/>
        <v>#N/A</v>
      </c>
      <c r="F137" s="181">
        <f>IF(ISERROR(1/VLOOKUP(B137,Capa!A:Z,13,0)),0,1/VLOOKUP(B137,Capa!A:Z,13,0))</f>
        <v>0</v>
      </c>
      <c r="G137" s="182">
        <f t="shared" si="2"/>
        <v>1.000001</v>
      </c>
      <c r="H137" s="183" t="str">
        <f t="shared" si="3"/>
        <v>#N/A</v>
      </c>
      <c r="M137" s="178" t="s">
        <v>3406</v>
      </c>
      <c r="N137" s="179" t="str">
        <f>VLOOKUP(M137,'Dados ClubeFII'!$A:$Z,26,0)</f>
        <v>#N/A</v>
      </c>
      <c r="O137" s="185" t="str">
        <f>VLOOKUP(M137,'Dados ClubeFII'!$A:$Z,18,0)/100</f>
        <v>#N/A</v>
      </c>
      <c r="P137" s="186" t="str">
        <f t="shared" si="5"/>
        <v>#N/A</v>
      </c>
      <c r="Q137" s="187">
        <f>IF(ISERROR(1/VLOOKUP(M137,Capa!A:Z,6,0)),0,1/VLOOKUP(M137,Capa!A:Z,6,0))</f>
        <v>0</v>
      </c>
      <c r="R137" s="188">
        <f t="shared" si="6"/>
        <v>1.000001</v>
      </c>
      <c r="S137" s="189" t="str">
        <f t="shared" si="7"/>
        <v>#N/A</v>
      </c>
    </row>
    <row r="138">
      <c r="A138" s="190"/>
      <c r="B138" s="178" t="s">
        <v>3407</v>
      </c>
      <c r="C138" s="179" t="str">
        <f>VLOOKUP(B138,'Dados ClubeFII'!$A:$Z,26,0)</f>
        <v>#N/A</v>
      </c>
      <c r="D138" s="180" t="str">
        <f>VLOOKUP(B138,'Dados ClubeFII'!$A:$Z,20,0)/100</f>
        <v>#N/A</v>
      </c>
      <c r="E138" s="89" t="str">
        <f t="shared" si="1"/>
        <v>#N/A</v>
      </c>
      <c r="F138" s="181">
        <f>IF(ISERROR(1/VLOOKUP(B138,Capa!A:Z,13,0)),0,1/VLOOKUP(B138,Capa!A:Z,13,0))</f>
        <v>0</v>
      </c>
      <c r="G138" s="182">
        <f t="shared" si="2"/>
        <v>1.000001</v>
      </c>
      <c r="H138" s="183" t="str">
        <f t="shared" si="3"/>
        <v>#N/A</v>
      </c>
      <c r="M138" s="178" t="s">
        <v>3407</v>
      </c>
      <c r="N138" s="179" t="str">
        <f>VLOOKUP(M138,'Dados ClubeFII'!$A:$Z,26,0)</f>
        <v>#N/A</v>
      </c>
      <c r="O138" s="185" t="str">
        <f>VLOOKUP(M138,'Dados ClubeFII'!$A:$Z,18,0)/100</f>
        <v>#N/A</v>
      </c>
      <c r="P138" s="186" t="str">
        <f t="shared" si="5"/>
        <v>#N/A</v>
      </c>
      <c r="Q138" s="187">
        <f>IF(ISERROR(1/VLOOKUP(M138,Capa!A:Z,6,0)),0,1/VLOOKUP(M138,Capa!A:Z,6,0))</f>
        <v>0</v>
      </c>
      <c r="R138" s="188">
        <f t="shared" si="6"/>
        <v>1.000001</v>
      </c>
      <c r="S138" s="189" t="str">
        <f t="shared" si="7"/>
        <v>#N/A</v>
      </c>
    </row>
    <row r="139">
      <c r="A139" s="190"/>
      <c r="B139" s="178" t="s">
        <v>3408</v>
      </c>
      <c r="C139" s="179" t="str">
        <f>VLOOKUP(B139,'Dados ClubeFII'!$A:$Z,26,0)</f>
        <v>#N/A</v>
      </c>
      <c r="D139" s="180" t="str">
        <f>VLOOKUP(B139,'Dados ClubeFII'!$A:$Z,20,0)/100</f>
        <v>#N/A</v>
      </c>
      <c r="E139" s="89" t="str">
        <f t="shared" si="1"/>
        <v>#N/A</v>
      </c>
      <c r="F139" s="181">
        <f>IF(ISERROR(1/VLOOKUP(B139,Capa!A:Z,13,0)),0,1/VLOOKUP(B139,Capa!A:Z,13,0))</f>
        <v>0</v>
      </c>
      <c r="G139" s="182">
        <f t="shared" si="2"/>
        <v>1.000001</v>
      </c>
      <c r="H139" s="183" t="str">
        <f t="shared" si="3"/>
        <v>#N/A</v>
      </c>
      <c r="M139" s="178" t="s">
        <v>3408</v>
      </c>
      <c r="N139" s="179" t="str">
        <f>VLOOKUP(M139,'Dados ClubeFII'!$A:$Z,26,0)</f>
        <v>#N/A</v>
      </c>
      <c r="O139" s="185" t="str">
        <f>VLOOKUP(M139,'Dados ClubeFII'!$A:$Z,18,0)/100</f>
        <v>#N/A</v>
      </c>
      <c r="P139" s="186" t="str">
        <f t="shared" si="5"/>
        <v>#N/A</v>
      </c>
      <c r="Q139" s="187">
        <f>IF(ISERROR(1/VLOOKUP(M139,Capa!A:Z,6,0)),0,1/VLOOKUP(M139,Capa!A:Z,6,0))</f>
        <v>0</v>
      </c>
      <c r="R139" s="188">
        <f t="shared" si="6"/>
        <v>1.000001</v>
      </c>
      <c r="S139" s="189" t="str">
        <f t="shared" si="7"/>
        <v>#N/A</v>
      </c>
    </row>
    <row r="140">
      <c r="A140" s="190"/>
      <c r="B140" s="178" t="s">
        <v>3409</v>
      </c>
      <c r="C140" s="179" t="str">
        <f>VLOOKUP(B140,'Dados ClubeFII'!$A:$Z,26,0)</f>
        <v>#N/A</v>
      </c>
      <c r="D140" s="180" t="str">
        <f>VLOOKUP(B140,'Dados ClubeFII'!$A:$Z,20,0)/100</f>
        <v>#N/A</v>
      </c>
      <c r="E140" s="89" t="str">
        <f t="shared" si="1"/>
        <v>#N/A</v>
      </c>
      <c r="F140" s="181">
        <f>IF(ISERROR(1/VLOOKUP(B140,Capa!A:Z,13,0)),0,1/VLOOKUP(B140,Capa!A:Z,13,0))</f>
        <v>0</v>
      </c>
      <c r="G140" s="182">
        <f t="shared" si="2"/>
        <v>1.000001</v>
      </c>
      <c r="H140" s="183" t="str">
        <f t="shared" si="3"/>
        <v>#N/A</v>
      </c>
      <c r="M140" s="178" t="s">
        <v>3409</v>
      </c>
      <c r="N140" s="179" t="str">
        <f>VLOOKUP(M140,'Dados ClubeFII'!$A:$Z,26,0)</f>
        <v>#N/A</v>
      </c>
      <c r="O140" s="185" t="str">
        <f>VLOOKUP(M140,'Dados ClubeFII'!$A:$Z,18,0)/100</f>
        <v>#N/A</v>
      </c>
      <c r="P140" s="186" t="str">
        <f t="shared" si="5"/>
        <v>#N/A</v>
      </c>
      <c r="Q140" s="187">
        <f>IF(ISERROR(1/VLOOKUP(M140,Capa!A:Z,6,0)),0,1/VLOOKUP(M140,Capa!A:Z,6,0))</f>
        <v>0</v>
      </c>
      <c r="R140" s="188">
        <f t="shared" si="6"/>
        <v>1.000001</v>
      </c>
      <c r="S140" s="189" t="str">
        <f t="shared" si="7"/>
        <v>#N/A</v>
      </c>
    </row>
    <row r="141">
      <c r="A141" s="190"/>
      <c r="B141" s="178" t="s">
        <v>3410</v>
      </c>
      <c r="C141" s="179" t="str">
        <f>VLOOKUP(B141,'Dados ClubeFII'!$A:$Z,26,0)</f>
        <v>#N/A</v>
      </c>
      <c r="D141" s="180" t="str">
        <f>VLOOKUP(B141,'Dados ClubeFII'!$A:$Z,20,0)/100</f>
        <v>#N/A</v>
      </c>
      <c r="E141" s="89" t="str">
        <f t="shared" si="1"/>
        <v>#N/A</v>
      </c>
      <c r="F141" s="181">
        <f>IF(ISERROR(1/VLOOKUP(B141,Capa!A:Z,13,0)),0,1/VLOOKUP(B141,Capa!A:Z,13,0))</f>
        <v>0</v>
      </c>
      <c r="G141" s="182">
        <f t="shared" si="2"/>
        <v>1.000001</v>
      </c>
      <c r="H141" s="183" t="str">
        <f t="shared" si="3"/>
        <v>#N/A</v>
      </c>
      <c r="M141" s="178" t="s">
        <v>3410</v>
      </c>
      <c r="N141" s="179" t="str">
        <f>VLOOKUP(M141,'Dados ClubeFII'!$A:$Z,26,0)</f>
        <v>#N/A</v>
      </c>
      <c r="O141" s="185" t="str">
        <f>VLOOKUP(M141,'Dados ClubeFII'!$A:$Z,18,0)/100</f>
        <v>#N/A</v>
      </c>
      <c r="P141" s="186" t="str">
        <f t="shared" si="5"/>
        <v>#N/A</v>
      </c>
      <c r="Q141" s="187">
        <f>IF(ISERROR(1/VLOOKUP(M141,Capa!A:Z,6,0)),0,1/VLOOKUP(M141,Capa!A:Z,6,0))</f>
        <v>0</v>
      </c>
      <c r="R141" s="188">
        <f t="shared" si="6"/>
        <v>1.000001</v>
      </c>
      <c r="S141" s="189" t="str">
        <f t="shared" si="7"/>
        <v>#N/A</v>
      </c>
    </row>
    <row r="142">
      <c r="A142" s="190"/>
      <c r="B142" s="178" t="s">
        <v>3411</v>
      </c>
      <c r="C142" s="179" t="str">
        <f>VLOOKUP(B142,'Dados ClubeFII'!$A:$Z,26,0)</f>
        <v>#N/A</v>
      </c>
      <c r="D142" s="180" t="str">
        <f>VLOOKUP(B142,'Dados ClubeFII'!$A:$Z,20,0)/100</f>
        <v>#N/A</v>
      </c>
      <c r="E142" s="89" t="str">
        <f t="shared" si="1"/>
        <v>#N/A</v>
      </c>
      <c r="F142" s="181">
        <f>IF(ISERROR(1/VLOOKUP(B142,Capa!A:Z,13,0)),0,1/VLOOKUP(B142,Capa!A:Z,13,0))</f>
        <v>0</v>
      </c>
      <c r="G142" s="182">
        <f t="shared" si="2"/>
        <v>1.000001</v>
      </c>
      <c r="H142" s="183" t="str">
        <f t="shared" si="3"/>
        <v>#N/A</v>
      </c>
      <c r="M142" s="178" t="s">
        <v>3411</v>
      </c>
      <c r="N142" s="179" t="str">
        <f>VLOOKUP(M142,'Dados ClubeFII'!$A:$Z,26,0)</f>
        <v>#N/A</v>
      </c>
      <c r="O142" s="185" t="str">
        <f>VLOOKUP(M142,'Dados ClubeFII'!$A:$Z,18,0)/100</f>
        <v>#N/A</v>
      </c>
      <c r="P142" s="186" t="str">
        <f t="shared" si="5"/>
        <v>#N/A</v>
      </c>
      <c r="Q142" s="187">
        <f>IF(ISERROR(1/VLOOKUP(M142,Capa!A:Z,6,0)),0,1/VLOOKUP(M142,Capa!A:Z,6,0))</f>
        <v>0</v>
      </c>
      <c r="R142" s="188">
        <f t="shared" si="6"/>
        <v>1.000001</v>
      </c>
      <c r="S142" s="189" t="str">
        <f t="shared" si="7"/>
        <v>#N/A</v>
      </c>
    </row>
    <row r="143">
      <c r="A143" s="190"/>
      <c r="B143" s="178" t="s">
        <v>3412</v>
      </c>
      <c r="C143" s="179" t="str">
        <f>VLOOKUP(B143,'Dados ClubeFII'!$A:$Z,26,0)</f>
        <v>#N/A</v>
      </c>
      <c r="D143" s="180" t="str">
        <f>VLOOKUP(B143,'Dados ClubeFII'!$A:$Z,20,0)/100</f>
        <v>#N/A</v>
      </c>
      <c r="E143" s="89" t="str">
        <f t="shared" si="1"/>
        <v>#N/A</v>
      </c>
      <c r="F143" s="181">
        <f>IF(ISERROR(1/VLOOKUP(B143,Capa!A:Z,13,0)),0,1/VLOOKUP(B143,Capa!A:Z,13,0))</f>
        <v>0</v>
      </c>
      <c r="G143" s="182">
        <f t="shared" si="2"/>
        <v>1.000001</v>
      </c>
      <c r="H143" s="183" t="str">
        <f t="shared" si="3"/>
        <v>#N/A</v>
      </c>
      <c r="M143" s="178" t="s">
        <v>3412</v>
      </c>
      <c r="N143" s="179" t="str">
        <f>VLOOKUP(M143,'Dados ClubeFII'!$A:$Z,26,0)</f>
        <v>#N/A</v>
      </c>
      <c r="O143" s="185" t="str">
        <f>VLOOKUP(M143,'Dados ClubeFII'!$A:$Z,18,0)/100</f>
        <v>#N/A</v>
      </c>
      <c r="P143" s="186" t="str">
        <f t="shared" si="5"/>
        <v>#N/A</v>
      </c>
      <c r="Q143" s="187">
        <f>IF(ISERROR(1/VLOOKUP(M143,Capa!A:Z,6,0)),0,1/VLOOKUP(M143,Capa!A:Z,6,0))</f>
        <v>0</v>
      </c>
      <c r="R143" s="188">
        <f t="shared" si="6"/>
        <v>1.000001</v>
      </c>
      <c r="S143" s="189" t="str">
        <f t="shared" si="7"/>
        <v>#N/A</v>
      </c>
    </row>
    <row r="144">
      <c r="A144" s="190"/>
      <c r="B144" s="178" t="s">
        <v>3413</v>
      </c>
      <c r="C144" s="179" t="str">
        <f>VLOOKUP(B144,'Dados ClubeFII'!$A:$Z,26,0)</f>
        <v>#N/A</v>
      </c>
      <c r="D144" s="180" t="str">
        <f>VLOOKUP(B144,'Dados ClubeFII'!$A:$Z,20,0)/100</f>
        <v>#N/A</v>
      </c>
      <c r="E144" s="89" t="str">
        <f t="shared" si="1"/>
        <v>#N/A</v>
      </c>
      <c r="F144" s="181">
        <f>IF(ISERROR(1/VLOOKUP(B144,Capa!A:Z,13,0)),0,1/VLOOKUP(B144,Capa!A:Z,13,0))</f>
        <v>0</v>
      </c>
      <c r="G144" s="182">
        <f t="shared" si="2"/>
        <v>1.000001</v>
      </c>
      <c r="H144" s="183" t="str">
        <f t="shared" si="3"/>
        <v>#N/A</v>
      </c>
      <c r="M144" s="178" t="s">
        <v>3413</v>
      </c>
      <c r="N144" s="179" t="str">
        <f>VLOOKUP(M144,'Dados ClubeFII'!$A:$Z,26,0)</f>
        <v>#N/A</v>
      </c>
      <c r="O144" s="185" t="str">
        <f>VLOOKUP(M144,'Dados ClubeFII'!$A:$Z,18,0)/100</f>
        <v>#N/A</v>
      </c>
      <c r="P144" s="186" t="str">
        <f t="shared" si="5"/>
        <v>#N/A</v>
      </c>
      <c r="Q144" s="187">
        <f>IF(ISERROR(1/VLOOKUP(M144,Capa!A:Z,6,0)),0,1/VLOOKUP(M144,Capa!A:Z,6,0))</f>
        <v>0</v>
      </c>
      <c r="R144" s="188">
        <f t="shared" si="6"/>
        <v>1.000001</v>
      </c>
      <c r="S144" s="189" t="str">
        <f t="shared" si="7"/>
        <v>#N/A</v>
      </c>
    </row>
    <row r="145">
      <c r="A145" s="190"/>
      <c r="B145" s="178" t="s">
        <v>3414</v>
      </c>
      <c r="C145" s="179" t="str">
        <f>VLOOKUP(B145,'Dados ClubeFII'!$A:$Z,26,0)</f>
        <v>#N/A</v>
      </c>
      <c r="D145" s="180" t="str">
        <f>VLOOKUP(B145,'Dados ClubeFII'!$A:$Z,20,0)/100</f>
        <v>#N/A</v>
      </c>
      <c r="E145" s="89" t="str">
        <f t="shared" si="1"/>
        <v>#N/A</v>
      </c>
      <c r="F145" s="181">
        <f>IF(ISERROR(1/VLOOKUP(B145,Capa!A:Z,13,0)),0,1/VLOOKUP(B145,Capa!A:Z,13,0))</f>
        <v>0</v>
      </c>
      <c r="G145" s="182">
        <f t="shared" si="2"/>
        <v>1.000001</v>
      </c>
      <c r="H145" s="183" t="str">
        <f t="shared" si="3"/>
        <v>#N/A</v>
      </c>
      <c r="M145" s="178" t="s">
        <v>3414</v>
      </c>
      <c r="N145" s="179" t="str">
        <f>VLOOKUP(M145,'Dados ClubeFII'!$A:$Z,26,0)</f>
        <v>#N/A</v>
      </c>
      <c r="O145" s="185" t="str">
        <f>VLOOKUP(M145,'Dados ClubeFII'!$A:$Z,18,0)/100</f>
        <v>#N/A</v>
      </c>
      <c r="P145" s="186" t="str">
        <f t="shared" si="5"/>
        <v>#N/A</v>
      </c>
      <c r="Q145" s="187">
        <f>IF(ISERROR(1/VLOOKUP(M145,Capa!A:Z,6,0)),0,1/VLOOKUP(M145,Capa!A:Z,6,0))</f>
        <v>0</v>
      </c>
      <c r="R145" s="188">
        <f t="shared" si="6"/>
        <v>1.000001</v>
      </c>
      <c r="S145" s="189" t="str">
        <f t="shared" si="7"/>
        <v>#N/A</v>
      </c>
    </row>
    <row r="146">
      <c r="A146" s="190"/>
      <c r="B146" s="178" t="s">
        <v>3415</v>
      </c>
      <c r="C146" s="179" t="str">
        <f>VLOOKUP(B146,'Dados ClubeFII'!$A:$Z,26,0)</f>
        <v>#N/A</v>
      </c>
      <c r="D146" s="180" t="str">
        <f>VLOOKUP(B146,'Dados ClubeFII'!$A:$Z,20,0)/100</f>
        <v>#N/A</v>
      </c>
      <c r="E146" s="89" t="str">
        <f t="shared" si="1"/>
        <v>#N/A</v>
      </c>
      <c r="F146" s="181">
        <f>IF(ISERROR(1/VLOOKUP(B146,Capa!A:Z,13,0)),0,1/VLOOKUP(B146,Capa!A:Z,13,0))</f>
        <v>0</v>
      </c>
      <c r="G146" s="182">
        <f t="shared" si="2"/>
        <v>1.000001</v>
      </c>
      <c r="H146" s="183" t="str">
        <f t="shared" si="3"/>
        <v>#N/A</v>
      </c>
      <c r="M146" s="178" t="s">
        <v>3415</v>
      </c>
      <c r="N146" s="179" t="str">
        <f>VLOOKUP(M146,'Dados ClubeFII'!$A:$Z,26,0)</f>
        <v>#N/A</v>
      </c>
      <c r="O146" s="185" t="str">
        <f>VLOOKUP(M146,'Dados ClubeFII'!$A:$Z,18,0)/100</f>
        <v>#N/A</v>
      </c>
      <c r="P146" s="186" t="str">
        <f t="shared" si="5"/>
        <v>#N/A</v>
      </c>
      <c r="Q146" s="187">
        <f>IF(ISERROR(1/VLOOKUP(M146,Capa!A:Z,6,0)),0,1/VLOOKUP(M146,Capa!A:Z,6,0))</f>
        <v>0</v>
      </c>
      <c r="R146" s="188">
        <f t="shared" si="6"/>
        <v>1.000001</v>
      </c>
      <c r="S146" s="189" t="str">
        <f t="shared" si="7"/>
        <v>#N/A</v>
      </c>
    </row>
    <row r="147">
      <c r="A147" s="190"/>
      <c r="B147" s="178" t="s">
        <v>3416</v>
      </c>
      <c r="C147" s="179" t="str">
        <f>VLOOKUP(B147,'Dados ClubeFII'!$A:$Z,26,0)</f>
        <v>#N/A</v>
      </c>
      <c r="D147" s="180" t="str">
        <f>VLOOKUP(B147,'Dados ClubeFII'!$A:$Z,20,0)/100</f>
        <v>#N/A</v>
      </c>
      <c r="E147" s="89" t="str">
        <f t="shared" si="1"/>
        <v>#N/A</v>
      </c>
      <c r="F147" s="181">
        <f>IF(ISERROR(1/VLOOKUP(B147,Capa!A:Z,13,0)),0,1/VLOOKUP(B147,Capa!A:Z,13,0))</f>
        <v>0</v>
      </c>
      <c r="G147" s="182">
        <f t="shared" si="2"/>
        <v>1.000001</v>
      </c>
      <c r="H147" s="183" t="str">
        <f t="shared" si="3"/>
        <v>#N/A</v>
      </c>
      <c r="M147" s="178" t="s">
        <v>3416</v>
      </c>
      <c r="N147" s="179" t="str">
        <f>VLOOKUP(M147,'Dados ClubeFII'!$A:$Z,26,0)</f>
        <v>#N/A</v>
      </c>
      <c r="O147" s="185" t="str">
        <f>VLOOKUP(M147,'Dados ClubeFII'!$A:$Z,18,0)/100</f>
        <v>#N/A</v>
      </c>
      <c r="P147" s="186" t="str">
        <f t="shared" si="5"/>
        <v>#N/A</v>
      </c>
      <c r="Q147" s="187">
        <f>IF(ISERROR(1/VLOOKUP(M147,Capa!A:Z,6,0)),0,1/VLOOKUP(M147,Capa!A:Z,6,0))</f>
        <v>0</v>
      </c>
      <c r="R147" s="188">
        <f t="shared" si="6"/>
        <v>1.000001</v>
      </c>
      <c r="S147" s="189" t="str">
        <f t="shared" si="7"/>
        <v>#N/A</v>
      </c>
    </row>
    <row r="148">
      <c r="A148" s="190"/>
      <c r="B148" s="178" t="s">
        <v>3417</v>
      </c>
      <c r="C148" s="179" t="str">
        <f>VLOOKUP(B148,'Dados ClubeFII'!$A:$Z,26,0)</f>
        <v>#N/A</v>
      </c>
      <c r="D148" s="180" t="str">
        <f>VLOOKUP(B148,'Dados ClubeFII'!$A:$Z,20,0)/100</f>
        <v>#N/A</v>
      </c>
      <c r="E148" s="89" t="str">
        <f t="shared" si="1"/>
        <v>#N/A</v>
      </c>
      <c r="F148" s="181">
        <f>IF(ISERROR(1/VLOOKUP(B148,Capa!A:Z,13,0)),0,1/VLOOKUP(B148,Capa!A:Z,13,0))</f>
        <v>0</v>
      </c>
      <c r="G148" s="182">
        <f t="shared" si="2"/>
        <v>1.000001</v>
      </c>
      <c r="H148" s="183" t="str">
        <f t="shared" si="3"/>
        <v>#N/A</v>
      </c>
      <c r="M148" s="178" t="s">
        <v>3417</v>
      </c>
      <c r="N148" s="179" t="str">
        <f>VLOOKUP(M148,'Dados ClubeFII'!$A:$Z,26,0)</f>
        <v>#N/A</v>
      </c>
      <c r="O148" s="185" t="str">
        <f>VLOOKUP(M148,'Dados ClubeFII'!$A:$Z,18,0)/100</f>
        <v>#N/A</v>
      </c>
      <c r="P148" s="186" t="str">
        <f t="shared" si="5"/>
        <v>#N/A</v>
      </c>
      <c r="Q148" s="187">
        <f>IF(ISERROR(1/VLOOKUP(M148,Capa!A:Z,6,0)),0,1/VLOOKUP(M148,Capa!A:Z,6,0))</f>
        <v>0</v>
      </c>
      <c r="R148" s="188">
        <f t="shared" si="6"/>
        <v>1.000001</v>
      </c>
      <c r="S148" s="189" t="str">
        <f t="shared" si="7"/>
        <v>#N/A</v>
      </c>
    </row>
    <row r="149">
      <c r="A149" s="190"/>
      <c r="B149" s="178" t="s">
        <v>3418</v>
      </c>
      <c r="C149" s="179" t="str">
        <f>VLOOKUP(B149,'Dados ClubeFII'!$A:$Z,26,0)</f>
        <v>#N/A</v>
      </c>
      <c r="D149" s="180" t="str">
        <f>VLOOKUP(B149,'Dados ClubeFII'!$A:$Z,20,0)/100</f>
        <v>#N/A</v>
      </c>
      <c r="E149" s="89" t="str">
        <f t="shared" si="1"/>
        <v>#N/A</v>
      </c>
      <c r="F149" s="181">
        <f>IF(ISERROR(1/VLOOKUP(B149,Capa!A:Z,13,0)),0,1/VLOOKUP(B149,Capa!A:Z,13,0))</f>
        <v>0</v>
      </c>
      <c r="G149" s="182">
        <f t="shared" si="2"/>
        <v>1.000001</v>
      </c>
      <c r="H149" s="183" t="str">
        <f t="shared" si="3"/>
        <v>#N/A</v>
      </c>
      <c r="M149" s="178" t="s">
        <v>3418</v>
      </c>
      <c r="N149" s="179" t="str">
        <f>VLOOKUP(M149,'Dados ClubeFII'!$A:$Z,26,0)</f>
        <v>#N/A</v>
      </c>
      <c r="O149" s="185" t="str">
        <f>VLOOKUP(M149,'Dados ClubeFII'!$A:$Z,18,0)/100</f>
        <v>#N/A</v>
      </c>
      <c r="P149" s="186" t="str">
        <f t="shared" si="5"/>
        <v>#N/A</v>
      </c>
      <c r="Q149" s="187">
        <f>IF(ISERROR(1/VLOOKUP(M149,Capa!A:Z,6,0)),0,1/VLOOKUP(M149,Capa!A:Z,6,0))</f>
        <v>0</v>
      </c>
      <c r="R149" s="188">
        <f t="shared" si="6"/>
        <v>1.000001</v>
      </c>
      <c r="S149" s="189" t="str">
        <f t="shared" si="7"/>
        <v>#N/A</v>
      </c>
    </row>
    <row r="150">
      <c r="A150" s="190"/>
      <c r="B150" s="178" t="s">
        <v>3419</v>
      </c>
      <c r="C150" s="179" t="str">
        <f>VLOOKUP(B150,'Dados ClubeFII'!$A:$Z,26,0)</f>
        <v>#N/A</v>
      </c>
      <c r="D150" s="180" t="str">
        <f>VLOOKUP(B150,'Dados ClubeFII'!$A:$Z,20,0)/100</f>
        <v>#N/A</v>
      </c>
      <c r="E150" s="89" t="str">
        <f t="shared" si="1"/>
        <v>#N/A</v>
      </c>
      <c r="F150" s="181">
        <f>IF(ISERROR(1/VLOOKUP(B150,Capa!A:Z,13,0)),0,1/VLOOKUP(B150,Capa!A:Z,13,0))</f>
        <v>0</v>
      </c>
      <c r="G150" s="182">
        <f t="shared" si="2"/>
        <v>1.000001</v>
      </c>
      <c r="H150" s="183" t="str">
        <f t="shared" si="3"/>
        <v>#N/A</v>
      </c>
      <c r="M150" s="178" t="s">
        <v>3419</v>
      </c>
      <c r="N150" s="179" t="str">
        <f>VLOOKUP(M150,'Dados ClubeFII'!$A:$Z,26,0)</f>
        <v>#N/A</v>
      </c>
      <c r="O150" s="185" t="str">
        <f>VLOOKUP(M150,'Dados ClubeFII'!$A:$Z,18,0)/100</f>
        <v>#N/A</v>
      </c>
      <c r="P150" s="186" t="str">
        <f t="shared" si="5"/>
        <v>#N/A</v>
      </c>
      <c r="Q150" s="187">
        <f>IF(ISERROR(1/VLOOKUP(M150,Capa!A:Z,6,0)),0,1/VLOOKUP(M150,Capa!A:Z,6,0))</f>
        <v>0</v>
      </c>
      <c r="R150" s="188">
        <f t="shared" si="6"/>
        <v>1.000001</v>
      </c>
      <c r="S150" s="189" t="str">
        <f t="shared" si="7"/>
        <v>#N/A</v>
      </c>
    </row>
    <row r="151">
      <c r="A151" s="190"/>
      <c r="B151" s="178" t="s">
        <v>3420</v>
      </c>
      <c r="C151" s="179" t="str">
        <f>VLOOKUP(B151,'Dados ClubeFII'!$A:$Z,26,0)</f>
        <v>#N/A</v>
      </c>
      <c r="D151" s="180" t="str">
        <f>VLOOKUP(B151,'Dados ClubeFII'!$A:$Z,20,0)/100</f>
        <v>#N/A</v>
      </c>
      <c r="E151" s="89" t="str">
        <f t="shared" si="1"/>
        <v>#N/A</v>
      </c>
      <c r="F151" s="181">
        <f>IF(ISERROR(1/VLOOKUP(B151,Capa!A:Z,13,0)),0,1/VLOOKUP(B151,Capa!A:Z,13,0))</f>
        <v>0</v>
      </c>
      <c r="G151" s="182">
        <f t="shared" si="2"/>
        <v>1.000001</v>
      </c>
      <c r="H151" s="183" t="str">
        <f t="shared" si="3"/>
        <v>#N/A</v>
      </c>
      <c r="M151" s="178" t="s">
        <v>3420</v>
      </c>
      <c r="N151" s="179" t="str">
        <f>VLOOKUP(M151,'Dados ClubeFII'!$A:$Z,26,0)</f>
        <v>#N/A</v>
      </c>
      <c r="O151" s="185" t="str">
        <f>VLOOKUP(M151,'Dados ClubeFII'!$A:$Z,18,0)/100</f>
        <v>#N/A</v>
      </c>
      <c r="P151" s="186" t="str">
        <f t="shared" si="5"/>
        <v>#N/A</v>
      </c>
      <c r="Q151" s="187">
        <f>IF(ISERROR(1/VLOOKUP(M151,Capa!A:Z,6,0)),0,1/VLOOKUP(M151,Capa!A:Z,6,0))</f>
        <v>0</v>
      </c>
      <c r="R151" s="188">
        <f t="shared" si="6"/>
        <v>1.000001</v>
      </c>
      <c r="S151" s="189" t="str">
        <f t="shared" si="7"/>
        <v>#N/A</v>
      </c>
    </row>
    <row r="152">
      <c r="A152" s="190"/>
      <c r="B152" s="178" t="s">
        <v>3421</v>
      </c>
      <c r="C152" s="179" t="str">
        <f>VLOOKUP(B152,'Dados ClubeFII'!$A:$Z,26,0)</f>
        <v>#N/A</v>
      </c>
      <c r="D152" s="180" t="str">
        <f>VLOOKUP(B152,'Dados ClubeFII'!$A:$Z,20,0)/100</f>
        <v>#N/A</v>
      </c>
      <c r="E152" s="89" t="str">
        <f t="shared" si="1"/>
        <v>#N/A</v>
      </c>
      <c r="F152" s="181">
        <f>IF(ISERROR(1/VLOOKUP(B152,Capa!A:Z,13,0)),0,1/VLOOKUP(B152,Capa!A:Z,13,0))</f>
        <v>0</v>
      </c>
      <c r="G152" s="182">
        <f t="shared" si="2"/>
        <v>1.000001</v>
      </c>
      <c r="H152" s="183" t="str">
        <f t="shared" si="3"/>
        <v>#N/A</v>
      </c>
      <c r="M152" s="178" t="s">
        <v>3421</v>
      </c>
      <c r="N152" s="179" t="str">
        <f>VLOOKUP(M152,'Dados ClubeFII'!$A:$Z,26,0)</f>
        <v>#N/A</v>
      </c>
      <c r="O152" s="185" t="str">
        <f>VLOOKUP(M152,'Dados ClubeFII'!$A:$Z,18,0)/100</f>
        <v>#N/A</v>
      </c>
      <c r="P152" s="186" t="str">
        <f t="shared" si="5"/>
        <v>#N/A</v>
      </c>
      <c r="Q152" s="187">
        <f>IF(ISERROR(1/VLOOKUP(M152,Capa!A:Z,6,0)),0,1/VLOOKUP(M152,Capa!A:Z,6,0))</f>
        <v>0</v>
      </c>
      <c r="R152" s="188">
        <f t="shared" si="6"/>
        <v>1.000001</v>
      </c>
      <c r="S152" s="189" t="str">
        <f t="shared" si="7"/>
        <v>#N/A</v>
      </c>
    </row>
    <row r="153">
      <c r="A153" s="190"/>
      <c r="B153" s="178" t="s">
        <v>3422</v>
      </c>
      <c r="C153" s="179" t="str">
        <f>VLOOKUP(B153,'Dados ClubeFII'!$A:$Z,26,0)</f>
        <v>#N/A</v>
      </c>
      <c r="D153" s="180" t="str">
        <f>VLOOKUP(B153,'Dados ClubeFII'!$A:$Z,20,0)/100</f>
        <v>#N/A</v>
      </c>
      <c r="E153" s="89" t="str">
        <f t="shared" si="1"/>
        <v>#N/A</v>
      </c>
      <c r="F153" s="181">
        <f>IF(ISERROR(1/VLOOKUP(B153,Capa!A:Z,13,0)),0,1/VLOOKUP(B153,Capa!A:Z,13,0))</f>
        <v>0</v>
      </c>
      <c r="G153" s="182">
        <f t="shared" si="2"/>
        <v>1.000001</v>
      </c>
      <c r="H153" s="183" t="str">
        <f t="shared" si="3"/>
        <v>#N/A</v>
      </c>
      <c r="M153" s="178" t="s">
        <v>3422</v>
      </c>
      <c r="N153" s="179" t="str">
        <f>VLOOKUP(M153,'Dados ClubeFII'!$A:$Z,26,0)</f>
        <v>#N/A</v>
      </c>
      <c r="O153" s="185" t="str">
        <f>VLOOKUP(M153,'Dados ClubeFII'!$A:$Z,18,0)/100</f>
        <v>#N/A</v>
      </c>
      <c r="P153" s="186" t="str">
        <f t="shared" si="5"/>
        <v>#N/A</v>
      </c>
      <c r="Q153" s="187">
        <f>IF(ISERROR(1/VLOOKUP(M153,Capa!A:Z,6,0)),0,1/VLOOKUP(M153,Capa!A:Z,6,0))</f>
        <v>0</v>
      </c>
      <c r="R153" s="188">
        <f t="shared" si="6"/>
        <v>1.000001</v>
      </c>
      <c r="S153" s="189" t="str">
        <f t="shared" si="7"/>
        <v>#N/A</v>
      </c>
    </row>
    <row r="154">
      <c r="A154" s="190"/>
      <c r="B154" s="178" t="s">
        <v>3423</v>
      </c>
      <c r="C154" s="179" t="str">
        <f>VLOOKUP(B154,'Dados ClubeFII'!$A:$Z,26,0)</f>
        <v>#N/A</v>
      </c>
      <c r="D154" s="180" t="str">
        <f>VLOOKUP(B154,'Dados ClubeFII'!$A:$Z,20,0)/100</f>
        <v>#N/A</v>
      </c>
      <c r="E154" s="89" t="str">
        <f t="shared" si="1"/>
        <v>#N/A</v>
      </c>
      <c r="F154" s="181">
        <f>IF(ISERROR(1/VLOOKUP(B154,Capa!A:Z,13,0)),0,1/VLOOKUP(B154,Capa!A:Z,13,0))</f>
        <v>0</v>
      </c>
      <c r="G154" s="182">
        <f t="shared" si="2"/>
        <v>1.000001</v>
      </c>
      <c r="H154" s="183" t="str">
        <f t="shared" si="3"/>
        <v>#N/A</v>
      </c>
      <c r="M154" s="178" t="s">
        <v>3423</v>
      </c>
      <c r="N154" s="179" t="str">
        <f>VLOOKUP(M154,'Dados ClubeFII'!$A:$Z,26,0)</f>
        <v>#N/A</v>
      </c>
      <c r="O154" s="185" t="str">
        <f>VLOOKUP(M154,'Dados ClubeFII'!$A:$Z,18,0)/100</f>
        <v>#N/A</v>
      </c>
      <c r="P154" s="186" t="str">
        <f t="shared" si="5"/>
        <v>#N/A</v>
      </c>
      <c r="Q154" s="187">
        <f>IF(ISERROR(1/VLOOKUP(M154,Capa!A:Z,6,0)),0,1/VLOOKUP(M154,Capa!A:Z,6,0))</f>
        <v>0</v>
      </c>
      <c r="R154" s="188">
        <f t="shared" si="6"/>
        <v>1.000001</v>
      </c>
      <c r="S154" s="189" t="str">
        <f t="shared" si="7"/>
        <v>#N/A</v>
      </c>
    </row>
    <row r="155">
      <c r="A155" s="190"/>
      <c r="B155" s="178" t="s">
        <v>3424</v>
      </c>
      <c r="C155" s="179" t="str">
        <f>VLOOKUP(B155,'Dados ClubeFII'!$A:$Z,26,0)</f>
        <v>#N/A</v>
      </c>
      <c r="D155" s="180" t="str">
        <f>VLOOKUP(B155,'Dados ClubeFII'!$A:$Z,20,0)/100</f>
        <v>#N/A</v>
      </c>
      <c r="E155" s="89" t="str">
        <f t="shared" si="1"/>
        <v>#N/A</v>
      </c>
      <c r="F155" s="181">
        <f>IF(ISERROR(1/VLOOKUP(B155,Capa!A:Z,13,0)),0,1/VLOOKUP(B155,Capa!A:Z,13,0))</f>
        <v>0</v>
      </c>
      <c r="G155" s="182">
        <f t="shared" si="2"/>
        <v>1.000001</v>
      </c>
      <c r="H155" s="183" t="str">
        <f t="shared" si="3"/>
        <v>#N/A</v>
      </c>
      <c r="M155" s="178" t="s">
        <v>3424</v>
      </c>
      <c r="N155" s="179" t="str">
        <f>VLOOKUP(M155,'Dados ClubeFII'!$A:$Z,26,0)</f>
        <v>#N/A</v>
      </c>
      <c r="O155" s="185" t="str">
        <f>VLOOKUP(M155,'Dados ClubeFII'!$A:$Z,18,0)/100</f>
        <v>#N/A</v>
      </c>
      <c r="P155" s="186" t="str">
        <f t="shared" si="5"/>
        <v>#N/A</v>
      </c>
      <c r="Q155" s="187">
        <f>IF(ISERROR(1/VLOOKUP(M155,Capa!A:Z,6,0)),0,1/VLOOKUP(M155,Capa!A:Z,6,0))</f>
        <v>0</v>
      </c>
      <c r="R155" s="188">
        <f t="shared" si="6"/>
        <v>1.000001</v>
      </c>
      <c r="S155" s="189" t="str">
        <f t="shared" si="7"/>
        <v>#N/A</v>
      </c>
    </row>
    <row r="156">
      <c r="A156" s="190"/>
      <c r="B156" s="178" t="s">
        <v>3425</v>
      </c>
      <c r="C156" s="179" t="str">
        <f>VLOOKUP(B156,'Dados ClubeFII'!$A:$Z,26,0)</f>
        <v>#N/A</v>
      </c>
      <c r="D156" s="180" t="str">
        <f>VLOOKUP(B156,'Dados ClubeFII'!$A:$Z,20,0)/100</f>
        <v>#N/A</v>
      </c>
      <c r="E156" s="89" t="str">
        <f t="shared" si="1"/>
        <v>#N/A</v>
      </c>
      <c r="F156" s="181">
        <f>IF(ISERROR(1/VLOOKUP(B156,Capa!A:Z,13,0)),0,1/VLOOKUP(B156,Capa!A:Z,13,0))</f>
        <v>0</v>
      </c>
      <c r="G156" s="182">
        <f t="shared" si="2"/>
        <v>1.000001</v>
      </c>
      <c r="H156" s="183" t="str">
        <f t="shared" si="3"/>
        <v>#N/A</v>
      </c>
      <c r="M156" s="178" t="s">
        <v>3425</v>
      </c>
      <c r="N156" s="179" t="str">
        <f>VLOOKUP(M156,'Dados ClubeFII'!$A:$Z,26,0)</f>
        <v>#N/A</v>
      </c>
      <c r="O156" s="185" t="str">
        <f>VLOOKUP(M156,'Dados ClubeFII'!$A:$Z,18,0)/100</f>
        <v>#N/A</v>
      </c>
      <c r="P156" s="186" t="str">
        <f t="shared" si="5"/>
        <v>#N/A</v>
      </c>
      <c r="Q156" s="187">
        <f>IF(ISERROR(1/VLOOKUP(M156,Capa!A:Z,6,0)),0,1/VLOOKUP(M156,Capa!A:Z,6,0))</f>
        <v>0</v>
      </c>
      <c r="R156" s="188">
        <f t="shared" si="6"/>
        <v>1.000001</v>
      </c>
      <c r="S156" s="189" t="str">
        <f t="shared" si="7"/>
        <v>#N/A</v>
      </c>
    </row>
    <row r="157">
      <c r="A157" s="190"/>
      <c r="B157" s="178" t="s">
        <v>3426</v>
      </c>
      <c r="C157" s="179" t="str">
        <f>VLOOKUP(B157,'Dados ClubeFII'!$A:$Z,26,0)</f>
        <v>#N/A</v>
      </c>
      <c r="D157" s="180" t="str">
        <f>VLOOKUP(B157,'Dados ClubeFII'!$A:$Z,20,0)/100</f>
        <v>#N/A</v>
      </c>
      <c r="E157" s="89" t="str">
        <f t="shared" si="1"/>
        <v>#N/A</v>
      </c>
      <c r="F157" s="181">
        <f>IF(ISERROR(1/VLOOKUP(B157,Capa!A:Z,13,0)),0,1/VLOOKUP(B157,Capa!A:Z,13,0))</f>
        <v>0</v>
      </c>
      <c r="G157" s="182">
        <f t="shared" si="2"/>
        <v>1.000001</v>
      </c>
      <c r="H157" s="183" t="str">
        <f t="shared" si="3"/>
        <v>#N/A</v>
      </c>
      <c r="M157" s="178" t="s">
        <v>3426</v>
      </c>
      <c r="N157" s="179" t="str">
        <f>VLOOKUP(M157,'Dados ClubeFII'!$A:$Z,26,0)</f>
        <v>#N/A</v>
      </c>
      <c r="O157" s="185" t="str">
        <f>VLOOKUP(M157,'Dados ClubeFII'!$A:$Z,18,0)/100</f>
        <v>#N/A</v>
      </c>
      <c r="P157" s="186" t="str">
        <f t="shared" si="5"/>
        <v>#N/A</v>
      </c>
      <c r="Q157" s="187">
        <f>IF(ISERROR(1/VLOOKUP(M157,Capa!A:Z,6,0)),0,1/VLOOKUP(M157,Capa!A:Z,6,0))</f>
        <v>0</v>
      </c>
      <c r="R157" s="188">
        <f t="shared" si="6"/>
        <v>1.000001</v>
      </c>
      <c r="S157" s="189" t="str">
        <f t="shared" si="7"/>
        <v>#N/A</v>
      </c>
    </row>
    <row r="158">
      <c r="A158" s="190"/>
      <c r="B158" s="178" t="s">
        <v>3427</v>
      </c>
      <c r="C158" s="179" t="str">
        <f>VLOOKUP(B158,'Dados ClubeFII'!$A:$Z,26,0)</f>
        <v>#N/A</v>
      </c>
      <c r="D158" s="180" t="str">
        <f>VLOOKUP(B158,'Dados ClubeFII'!$A:$Z,20,0)/100</f>
        <v>#N/A</v>
      </c>
      <c r="E158" s="89" t="str">
        <f t="shared" si="1"/>
        <v>#N/A</v>
      </c>
      <c r="F158" s="181">
        <f>IF(ISERROR(1/VLOOKUP(B158,Capa!A:Z,13,0)),0,1/VLOOKUP(B158,Capa!A:Z,13,0))</f>
        <v>0</v>
      </c>
      <c r="G158" s="182">
        <f t="shared" si="2"/>
        <v>1.000001</v>
      </c>
      <c r="H158" s="183" t="str">
        <f t="shared" si="3"/>
        <v>#N/A</v>
      </c>
      <c r="M158" s="178" t="s">
        <v>3427</v>
      </c>
      <c r="N158" s="179" t="str">
        <f>VLOOKUP(M158,'Dados ClubeFII'!$A:$Z,26,0)</f>
        <v>#N/A</v>
      </c>
      <c r="O158" s="185" t="str">
        <f>VLOOKUP(M158,'Dados ClubeFII'!$A:$Z,18,0)/100</f>
        <v>#N/A</v>
      </c>
      <c r="P158" s="186" t="str">
        <f t="shared" si="5"/>
        <v>#N/A</v>
      </c>
      <c r="Q158" s="187">
        <f>IF(ISERROR(1/VLOOKUP(M158,Capa!A:Z,6,0)),0,1/VLOOKUP(M158,Capa!A:Z,6,0))</f>
        <v>0</v>
      </c>
      <c r="R158" s="188">
        <f t="shared" si="6"/>
        <v>1.000001</v>
      </c>
      <c r="S158" s="189" t="str">
        <f t="shared" si="7"/>
        <v>#N/A</v>
      </c>
    </row>
    <row r="159">
      <c r="A159" s="190"/>
      <c r="B159" s="178" t="s">
        <v>3428</v>
      </c>
      <c r="C159" s="179" t="str">
        <f>VLOOKUP(B159,'Dados ClubeFII'!$A:$Z,26,0)</f>
        <v>#N/A</v>
      </c>
      <c r="D159" s="180" t="str">
        <f>VLOOKUP(B159,'Dados ClubeFII'!$A:$Z,20,0)/100</f>
        <v>#N/A</v>
      </c>
      <c r="E159" s="89" t="str">
        <f t="shared" si="1"/>
        <v>#N/A</v>
      </c>
      <c r="F159" s="181">
        <f>IF(ISERROR(1/VLOOKUP(B159,Capa!A:Z,13,0)),0,1/VLOOKUP(B159,Capa!A:Z,13,0))</f>
        <v>0</v>
      </c>
      <c r="G159" s="182">
        <f t="shared" si="2"/>
        <v>1.000001</v>
      </c>
      <c r="H159" s="183" t="str">
        <f t="shared" si="3"/>
        <v>#N/A</v>
      </c>
      <c r="M159" s="178" t="s">
        <v>3428</v>
      </c>
      <c r="N159" s="179" t="str">
        <f>VLOOKUP(M159,'Dados ClubeFII'!$A:$Z,26,0)</f>
        <v>#N/A</v>
      </c>
      <c r="O159" s="185" t="str">
        <f>VLOOKUP(M159,'Dados ClubeFII'!$A:$Z,18,0)/100</f>
        <v>#N/A</v>
      </c>
      <c r="P159" s="186" t="str">
        <f t="shared" si="5"/>
        <v>#N/A</v>
      </c>
      <c r="Q159" s="187">
        <f>IF(ISERROR(1/VLOOKUP(M159,Capa!A:Z,6,0)),0,1/VLOOKUP(M159,Capa!A:Z,6,0))</f>
        <v>0</v>
      </c>
      <c r="R159" s="188">
        <f t="shared" si="6"/>
        <v>1.000001</v>
      </c>
      <c r="S159" s="189" t="str">
        <f t="shared" si="7"/>
        <v>#N/A</v>
      </c>
    </row>
    <row r="160">
      <c r="A160" s="190"/>
      <c r="B160" s="178" t="s">
        <v>3429</v>
      </c>
      <c r="C160" s="179" t="str">
        <f>VLOOKUP(B160,'Dados ClubeFII'!$A:$Z,26,0)</f>
        <v>#N/A</v>
      </c>
      <c r="D160" s="180" t="str">
        <f>VLOOKUP(B160,'Dados ClubeFII'!$A:$Z,20,0)/100</f>
        <v>#N/A</v>
      </c>
      <c r="E160" s="89" t="str">
        <f t="shared" si="1"/>
        <v>#N/A</v>
      </c>
      <c r="F160" s="181">
        <f>IF(ISERROR(1/VLOOKUP(B160,Capa!A:Z,13,0)),0,1/VLOOKUP(B160,Capa!A:Z,13,0))</f>
        <v>0</v>
      </c>
      <c r="G160" s="182">
        <f t="shared" si="2"/>
        <v>1.000001</v>
      </c>
      <c r="H160" s="183" t="str">
        <f t="shared" si="3"/>
        <v>#N/A</v>
      </c>
      <c r="M160" s="178" t="s">
        <v>3429</v>
      </c>
      <c r="N160" s="179" t="str">
        <f>VLOOKUP(M160,'Dados ClubeFII'!$A:$Z,26,0)</f>
        <v>#N/A</v>
      </c>
      <c r="O160" s="185" t="str">
        <f>VLOOKUP(M160,'Dados ClubeFII'!$A:$Z,18,0)/100</f>
        <v>#N/A</v>
      </c>
      <c r="P160" s="186" t="str">
        <f t="shared" si="5"/>
        <v>#N/A</v>
      </c>
      <c r="Q160" s="187">
        <f>IF(ISERROR(1/VLOOKUP(M160,Capa!A:Z,6,0)),0,1/VLOOKUP(M160,Capa!A:Z,6,0))</f>
        <v>0</v>
      </c>
      <c r="R160" s="188">
        <f t="shared" si="6"/>
        <v>1.000001</v>
      </c>
      <c r="S160" s="189" t="str">
        <f t="shared" si="7"/>
        <v>#N/A</v>
      </c>
    </row>
    <row r="161">
      <c r="A161" s="190"/>
      <c r="B161" s="178" t="s">
        <v>3430</v>
      </c>
      <c r="C161" s="179" t="str">
        <f>VLOOKUP(B161,'Dados ClubeFII'!$A:$Z,26,0)</f>
        <v>#N/A</v>
      </c>
      <c r="D161" s="180" t="str">
        <f>VLOOKUP(B161,'Dados ClubeFII'!$A:$Z,20,0)/100</f>
        <v>#N/A</v>
      </c>
      <c r="E161" s="89" t="str">
        <f t="shared" si="1"/>
        <v>#N/A</v>
      </c>
      <c r="F161" s="181">
        <f>IF(ISERROR(1/VLOOKUP(B161,Capa!A:Z,13,0)),0,1/VLOOKUP(B161,Capa!A:Z,13,0))</f>
        <v>0</v>
      </c>
      <c r="G161" s="182">
        <f t="shared" si="2"/>
        <v>1.000001</v>
      </c>
      <c r="H161" s="183" t="str">
        <f t="shared" si="3"/>
        <v>#N/A</v>
      </c>
      <c r="M161" s="178" t="s">
        <v>3430</v>
      </c>
      <c r="N161" s="179" t="str">
        <f>VLOOKUP(M161,'Dados ClubeFII'!$A:$Z,26,0)</f>
        <v>#N/A</v>
      </c>
      <c r="O161" s="185" t="str">
        <f>VLOOKUP(M161,'Dados ClubeFII'!$A:$Z,18,0)/100</f>
        <v>#N/A</v>
      </c>
      <c r="P161" s="186" t="str">
        <f t="shared" si="5"/>
        <v>#N/A</v>
      </c>
      <c r="Q161" s="187">
        <f>IF(ISERROR(1/VLOOKUP(M161,Capa!A:Z,6,0)),0,1/VLOOKUP(M161,Capa!A:Z,6,0))</f>
        <v>0</v>
      </c>
      <c r="R161" s="188">
        <f t="shared" si="6"/>
        <v>1.000001</v>
      </c>
      <c r="S161" s="189" t="str">
        <f t="shared" si="7"/>
        <v>#N/A</v>
      </c>
    </row>
    <row r="162">
      <c r="A162" s="190"/>
      <c r="B162" s="178" t="s">
        <v>3431</v>
      </c>
      <c r="C162" s="179" t="str">
        <f>VLOOKUP(B162,'Dados ClubeFII'!$A:$Z,26,0)</f>
        <v>#N/A</v>
      </c>
      <c r="D162" s="180" t="str">
        <f>VLOOKUP(B162,'Dados ClubeFII'!$A:$Z,20,0)/100</f>
        <v>#N/A</v>
      </c>
      <c r="E162" s="89" t="str">
        <f t="shared" si="1"/>
        <v>#N/A</v>
      </c>
      <c r="F162" s="181">
        <f>IF(ISERROR(1/VLOOKUP(B162,Capa!A:Z,13,0)),0,1/VLOOKUP(B162,Capa!A:Z,13,0))</f>
        <v>0</v>
      </c>
      <c r="G162" s="182">
        <f t="shared" si="2"/>
        <v>1.000001</v>
      </c>
      <c r="H162" s="183" t="str">
        <f t="shared" si="3"/>
        <v>#N/A</v>
      </c>
      <c r="M162" s="178" t="s">
        <v>3431</v>
      </c>
      <c r="N162" s="179" t="str">
        <f>VLOOKUP(M162,'Dados ClubeFII'!$A:$Z,26,0)</f>
        <v>#N/A</v>
      </c>
      <c r="O162" s="185" t="str">
        <f>VLOOKUP(M162,'Dados ClubeFII'!$A:$Z,18,0)/100</f>
        <v>#N/A</v>
      </c>
      <c r="P162" s="186" t="str">
        <f t="shared" si="5"/>
        <v>#N/A</v>
      </c>
      <c r="Q162" s="187">
        <f>IF(ISERROR(1/VLOOKUP(M162,Capa!A:Z,6,0)),0,1/VLOOKUP(M162,Capa!A:Z,6,0))</f>
        <v>0</v>
      </c>
      <c r="R162" s="188">
        <f t="shared" si="6"/>
        <v>1.000001</v>
      </c>
      <c r="S162" s="189" t="str">
        <f t="shared" si="7"/>
        <v>#N/A</v>
      </c>
    </row>
    <row r="163">
      <c r="A163" s="190"/>
      <c r="B163" s="178" t="s">
        <v>3432</v>
      </c>
      <c r="C163" s="179" t="str">
        <f>VLOOKUP(B163,'Dados ClubeFII'!$A:$Z,26,0)</f>
        <v>#N/A</v>
      </c>
      <c r="D163" s="180" t="str">
        <f>VLOOKUP(B163,'Dados ClubeFII'!$A:$Z,20,0)/100</f>
        <v>#N/A</v>
      </c>
      <c r="E163" s="89" t="str">
        <f t="shared" si="1"/>
        <v>#N/A</v>
      </c>
      <c r="F163" s="181">
        <f>IF(ISERROR(1/VLOOKUP(B163,Capa!A:Z,13,0)),0,1/VLOOKUP(B163,Capa!A:Z,13,0))</f>
        <v>0</v>
      </c>
      <c r="G163" s="182">
        <f t="shared" si="2"/>
        <v>1.000001</v>
      </c>
      <c r="H163" s="183" t="str">
        <f t="shared" si="3"/>
        <v>#N/A</v>
      </c>
      <c r="M163" s="178" t="s">
        <v>3432</v>
      </c>
      <c r="N163" s="179" t="str">
        <f>VLOOKUP(M163,'Dados ClubeFII'!$A:$Z,26,0)</f>
        <v>#N/A</v>
      </c>
      <c r="O163" s="185" t="str">
        <f>VLOOKUP(M163,'Dados ClubeFII'!$A:$Z,18,0)/100</f>
        <v>#N/A</v>
      </c>
      <c r="P163" s="186" t="str">
        <f t="shared" si="5"/>
        <v>#N/A</v>
      </c>
      <c r="Q163" s="187">
        <f>IF(ISERROR(1/VLOOKUP(M163,Capa!A:Z,6,0)),0,1/VLOOKUP(M163,Capa!A:Z,6,0))</f>
        <v>0</v>
      </c>
      <c r="R163" s="188">
        <f t="shared" si="6"/>
        <v>1.000001</v>
      </c>
      <c r="S163" s="189" t="str">
        <f t="shared" si="7"/>
        <v>#N/A</v>
      </c>
    </row>
    <row r="164">
      <c r="A164" s="190"/>
      <c r="B164" s="178" t="s">
        <v>3433</v>
      </c>
      <c r="C164" s="179" t="str">
        <f>VLOOKUP(B164,'Dados ClubeFII'!$A:$Z,26,0)</f>
        <v>#N/A</v>
      </c>
      <c r="D164" s="180" t="str">
        <f>VLOOKUP(B164,'Dados ClubeFII'!$A:$Z,20,0)/100</f>
        <v>#N/A</v>
      </c>
      <c r="E164" s="89" t="str">
        <f t="shared" si="1"/>
        <v>#N/A</v>
      </c>
      <c r="F164" s="181">
        <f>IF(ISERROR(1/VLOOKUP(B164,Capa!A:Z,13,0)),0,1/VLOOKUP(B164,Capa!A:Z,13,0))</f>
        <v>0</v>
      </c>
      <c r="G164" s="182">
        <f t="shared" si="2"/>
        <v>1.000001</v>
      </c>
      <c r="H164" s="183" t="str">
        <f t="shared" si="3"/>
        <v>#N/A</v>
      </c>
      <c r="M164" s="178" t="s">
        <v>3433</v>
      </c>
      <c r="N164" s="179" t="str">
        <f>VLOOKUP(M164,'Dados ClubeFII'!$A:$Z,26,0)</f>
        <v>#N/A</v>
      </c>
      <c r="O164" s="185" t="str">
        <f>VLOOKUP(M164,'Dados ClubeFII'!$A:$Z,18,0)/100</f>
        <v>#N/A</v>
      </c>
      <c r="P164" s="186" t="str">
        <f t="shared" si="5"/>
        <v>#N/A</v>
      </c>
      <c r="Q164" s="187">
        <f>IF(ISERROR(1/VLOOKUP(M164,Capa!A:Z,6,0)),0,1/VLOOKUP(M164,Capa!A:Z,6,0))</f>
        <v>0</v>
      </c>
      <c r="R164" s="188">
        <f t="shared" si="6"/>
        <v>1.000001</v>
      </c>
      <c r="S164" s="189" t="str">
        <f t="shared" si="7"/>
        <v>#N/A</v>
      </c>
    </row>
    <row r="165">
      <c r="A165" s="190"/>
      <c r="B165" s="178" t="s">
        <v>3434</v>
      </c>
      <c r="C165" s="179" t="str">
        <f>VLOOKUP(B165,'Dados ClubeFII'!$A:$Z,26,0)</f>
        <v>#N/A</v>
      </c>
      <c r="D165" s="180" t="str">
        <f>VLOOKUP(B165,'Dados ClubeFII'!$A:$Z,20,0)/100</f>
        <v>#N/A</v>
      </c>
      <c r="E165" s="89" t="str">
        <f t="shared" si="1"/>
        <v>#N/A</v>
      </c>
      <c r="F165" s="181">
        <f>IF(ISERROR(1/VLOOKUP(B165,Capa!A:Z,13,0)),0,1/VLOOKUP(B165,Capa!A:Z,13,0))</f>
        <v>0</v>
      </c>
      <c r="G165" s="182">
        <f t="shared" si="2"/>
        <v>1.000001</v>
      </c>
      <c r="H165" s="183" t="str">
        <f t="shared" si="3"/>
        <v>#N/A</v>
      </c>
      <c r="M165" s="178" t="s">
        <v>3434</v>
      </c>
      <c r="N165" s="179" t="str">
        <f>VLOOKUP(M165,'Dados ClubeFII'!$A:$Z,26,0)</f>
        <v>#N/A</v>
      </c>
      <c r="O165" s="185" t="str">
        <f>VLOOKUP(M165,'Dados ClubeFII'!$A:$Z,18,0)/100</f>
        <v>#N/A</v>
      </c>
      <c r="P165" s="186" t="str">
        <f t="shared" si="5"/>
        <v>#N/A</v>
      </c>
      <c r="Q165" s="187">
        <f>IF(ISERROR(1/VLOOKUP(M165,Capa!A:Z,6,0)),0,1/VLOOKUP(M165,Capa!A:Z,6,0))</f>
        <v>0</v>
      </c>
      <c r="R165" s="188">
        <f t="shared" si="6"/>
        <v>1.000001</v>
      </c>
      <c r="S165" s="189" t="str">
        <f t="shared" si="7"/>
        <v>#N/A</v>
      </c>
    </row>
    <row r="166">
      <c r="A166" s="190"/>
      <c r="B166" s="178" t="s">
        <v>3435</v>
      </c>
      <c r="C166" s="179" t="str">
        <f>VLOOKUP(B166,'Dados ClubeFII'!$A:$Z,26,0)</f>
        <v>#N/A</v>
      </c>
      <c r="D166" s="180" t="str">
        <f>VLOOKUP(B166,'Dados ClubeFII'!$A:$Z,20,0)/100</f>
        <v>#N/A</v>
      </c>
      <c r="E166" s="89" t="str">
        <f t="shared" si="1"/>
        <v>#N/A</v>
      </c>
      <c r="F166" s="181">
        <f>IF(ISERROR(1/VLOOKUP(B166,Capa!A:Z,13,0)),0,1/VLOOKUP(B166,Capa!A:Z,13,0))</f>
        <v>0</v>
      </c>
      <c r="G166" s="182">
        <f t="shared" si="2"/>
        <v>1.000001</v>
      </c>
      <c r="H166" s="183" t="str">
        <f t="shared" si="3"/>
        <v>#N/A</v>
      </c>
      <c r="M166" s="178" t="s">
        <v>3435</v>
      </c>
      <c r="N166" s="179" t="str">
        <f>VLOOKUP(M166,'Dados ClubeFII'!$A:$Z,26,0)</f>
        <v>#N/A</v>
      </c>
      <c r="O166" s="185" t="str">
        <f>VLOOKUP(M166,'Dados ClubeFII'!$A:$Z,18,0)/100</f>
        <v>#N/A</v>
      </c>
      <c r="P166" s="186" t="str">
        <f t="shared" si="5"/>
        <v>#N/A</v>
      </c>
      <c r="Q166" s="187">
        <f>IF(ISERROR(1/VLOOKUP(M166,Capa!A:Z,6,0)),0,1/VLOOKUP(M166,Capa!A:Z,6,0))</f>
        <v>0</v>
      </c>
      <c r="R166" s="188">
        <f t="shared" si="6"/>
        <v>1.000001</v>
      </c>
      <c r="S166" s="189" t="str">
        <f t="shared" si="7"/>
        <v>#N/A</v>
      </c>
    </row>
    <row r="167">
      <c r="A167" s="190"/>
      <c r="B167" s="178" t="s">
        <v>3436</v>
      </c>
      <c r="C167" s="179" t="str">
        <f>VLOOKUP(B167,'Dados ClubeFII'!$A:$Z,26,0)</f>
        <v>#N/A</v>
      </c>
      <c r="D167" s="180" t="str">
        <f>VLOOKUP(B167,'Dados ClubeFII'!$A:$Z,20,0)/100</f>
        <v>#N/A</v>
      </c>
      <c r="E167" s="89" t="str">
        <f t="shared" si="1"/>
        <v>#N/A</v>
      </c>
      <c r="F167" s="181">
        <f>IF(ISERROR(1/VLOOKUP(B167,Capa!A:Z,13,0)),0,1/VLOOKUP(B167,Capa!A:Z,13,0))</f>
        <v>0</v>
      </c>
      <c r="G167" s="182">
        <f t="shared" si="2"/>
        <v>1.000001</v>
      </c>
      <c r="H167" s="183" t="str">
        <f t="shared" si="3"/>
        <v>#N/A</v>
      </c>
      <c r="M167" s="178" t="s">
        <v>3436</v>
      </c>
      <c r="N167" s="179" t="str">
        <f>VLOOKUP(M167,'Dados ClubeFII'!$A:$Z,26,0)</f>
        <v>#N/A</v>
      </c>
      <c r="O167" s="185" t="str">
        <f>VLOOKUP(M167,'Dados ClubeFII'!$A:$Z,18,0)/100</f>
        <v>#N/A</v>
      </c>
      <c r="P167" s="186" t="str">
        <f t="shared" si="5"/>
        <v>#N/A</v>
      </c>
      <c r="Q167" s="187">
        <f>IF(ISERROR(1/VLOOKUP(M167,Capa!A:Z,6,0)),0,1/VLOOKUP(M167,Capa!A:Z,6,0))</f>
        <v>0</v>
      </c>
      <c r="R167" s="188">
        <f t="shared" si="6"/>
        <v>1.000001</v>
      </c>
      <c r="S167" s="189" t="str">
        <f t="shared" si="7"/>
        <v>#N/A</v>
      </c>
    </row>
    <row r="168">
      <c r="A168" s="190"/>
      <c r="B168" s="178" t="s">
        <v>3437</v>
      </c>
      <c r="C168" s="179" t="str">
        <f>VLOOKUP(B168,'Dados ClubeFII'!$A:$Z,26,0)</f>
        <v>#N/A</v>
      </c>
      <c r="D168" s="180" t="str">
        <f>VLOOKUP(B168,'Dados ClubeFII'!$A:$Z,20,0)/100</f>
        <v>#N/A</v>
      </c>
      <c r="E168" s="89" t="str">
        <f t="shared" si="1"/>
        <v>#N/A</v>
      </c>
      <c r="F168" s="181">
        <f>IF(ISERROR(1/VLOOKUP(B168,Capa!A:Z,13,0)),0,1/VLOOKUP(B168,Capa!A:Z,13,0))</f>
        <v>0</v>
      </c>
      <c r="G168" s="182">
        <f t="shared" si="2"/>
        <v>1.000001</v>
      </c>
      <c r="H168" s="183" t="str">
        <f t="shared" si="3"/>
        <v>#N/A</v>
      </c>
      <c r="M168" s="178" t="s">
        <v>3437</v>
      </c>
      <c r="N168" s="179" t="str">
        <f>VLOOKUP(M168,'Dados ClubeFII'!$A:$Z,26,0)</f>
        <v>#N/A</v>
      </c>
      <c r="O168" s="185" t="str">
        <f>VLOOKUP(M168,'Dados ClubeFII'!$A:$Z,18,0)/100</f>
        <v>#N/A</v>
      </c>
      <c r="P168" s="186" t="str">
        <f t="shared" si="5"/>
        <v>#N/A</v>
      </c>
      <c r="Q168" s="187">
        <f>IF(ISERROR(1/VLOOKUP(M168,Capa!A:Z,6,0)),0,1/VLOOKUP(M168,Capa!A:Z,6,0))</f>
        <v>0</v>
      </c>
      <c r="R168" s="188">
        <f t="shared" si="6"/>
        <v>1.000001</v>
      </c>
      <c r="S168" s="189" t="str">
        <f t="shared" si="7"/>
        <v>#N/A</v>
      </c>
    </row>
    <row r="169">
      <c r="A169" s="190"/>
      <c r="B169" s="178" t="s">
        <v>3438</v>
      </c>
      <c r="C169" s="179" t="str">
        <f>VLOOKUP(B169,'Dados ClubeFII'!$A:$Z,26,0)</f>
        <v>#N/A</v>
      </c>
      <c r="D169" s="180" t="str">
        <f>VLOOKUP(B169,'Dados ClubeFII'!$A:$Z,20,0)/100</f>
        <v>#N/A</v>
      </c>
      <c r="E169" s="89" t="str">
        <f t="shared" si="1"/>
        <v>#N/A</v>
      </c>
      <c r="F169" s="181">
        <f>IF(ISERROR(1/VLOOKUP(B169,Capa!A:Z,13,0)),0,1/VLOOKUP(B169,Capa!A:Z,13,0))</f>
        <v>0</v>
      </c>
      <c r="G169" s="182">
        <f t="shared" si="2"/>
        <v>1.000001</v>
      </c>
      <c r="H169" s="183" t="str">
        <f t="shared" si="3"/>
        <v>#N/A</v>
      </c>
      <c r="M169" s="178" t="s">
        <v>3438</v>
      </c>
      <c r="N169" s="179" t="str">
        <f>VLOOKUP(M169,'Dados ClubeFII'!$A:$Z,26,0)</f>
        <v>#N/A</v>
      </c>
      <c r="O169" s="185" t="str">
        <f>VLOOKUP(M169,'Dados ClubeFII'!$A:$Z,18,0)/100</f>
        <v>#N/A</v>
      </c>
      <c r="P169" s="186" t="str">
        <f t="shared" si="5"/>
        <v>#N/A</v>
      </c>
      <c r="Q169" s="187">
        <f>IF(ISERROR(1/VLOOKUP(M169,Capa!A:Z,6,0)),0,1/VLOOKUP(M169,Capa!A:Z,6,0))</f>
        <v>0</v>
      </c>
      <c r="R169" s="188">
        <f t="shared" si="6"/>
        <v>1.000001</v>
      </c>
      <c r="S169" s="189" t="str">
        <f t="shared" si="7"/>
        <v>#N/A</v>
      </c>
    </row>
    <row r="170">
      <c r="A170" s="190"/>
      <c r="B170" s="178" t="s">
        <v>3439</v>
      </c>
      <c r="C170" s="179" t="str">
        <f>VLOOKUP(B170,'Dados ClubeFII'!$A:$Z,26,0)</f>
        <v>#N/A</v>
      </c>
      <c r="D170" s="180" t="str">
        <f>VLOOKUP(B170,'Dados ClubeFII'!$A:$Z,20,0)/100</f>
        <v>#N/A</v>
      </c>
      <c r="E170" s="89" t="str">
        <f t="shared" si="1"/>
        <v>#N/A</v>
      </c>
      <c r="F170" s="181">
        <f>IF(ISERROR(1/VLOOKUP(B170,Capa!A:Z,13,0)),0,1/VLOOKUP(B170,Capa!A:Z,13,0))</f>
        <v>0</v>
      </c>
      <c r="G170" s="182">
        <f t="shared" si="2"/>
        <v>1.000001</v>
      </c>
      <c r="H170" s="183" t="str">
        <f t="shared" si="3"/>
        <v>#N/A</v>
      </c>
      <c r="M170" s="178" t="s">
        <v>3439</v>
      </c>
      <c r="N170" s="179" t="str">
        <f>VLOOKUP(M170,'Dados ClubeFII'!$A:$Z,26,0)</f>
        <v>#N/A</v>
      </c>
      <c r="O170" s="185" t="str">
        <f>VLOOKUP(M170,'Dados ClubeFII'!$A:$Z,18,0)/100</f>
        <v>#N/A</v>
      </c>
      <c r="P170" s="186" t="str">
        <f t="shared" si="5"/>
        <v>#N/A</v>
      </c>
      <c r="Q170" s="187">
        <f>IF(ISERROR(1/VLOOKUP(M170,Capa!A:Z,6,0)),0,1/VLOOKUP(M170,Capa!A:Z,6,0))</f>
        <v>0</v>
      </c>
      <c r="R170" s="188">
        <f t="shared" si="6"/>
        <v>1.000001</v>
      </c>
      <c r="S170" s="189" t="str">
        <f t="shared" si="7"/>
        <v>#N/A</v>
      </c>
    </row>
    <row r="171">
      <c r="A171" s="190"/>
      <c r="B171" s="178" t="s">
        <v>3440</v>
      </c>
      <c r="C171" s="179" t="str">
        <f>VLOOKUP(B171,'Dados ClubeFII'!$A:$Z,26,0)</f>
        <v>#N/A</v>
      </c>
      <c r="D171" s="180" t="str">
        <f>VLOOKUP(B171,'Dados ClubeFII'!$A:$Z,20,0)/100</f>
        <v>#N/A</v>
      </c>
      <c r="E171" s="89" t="str">
        <f t="shared" si="1"/>
        <v>#N/A</v>
      </c>
      <c r="F171" s="181">
        <f>IF(ISERROR(1/VLOOKUP(B171,Capa!A:Z,13,0)),0,1/VLOOKUP(B171,Capa!A:Z,13,0))</f>
        <v>0</v>
      </c>
      <c r="G171" s="182">
        <f t="shared" si="2"/>
        <v>1.000001</v>
      </c>
      <c r="H171" s="183" t="str">
        <f t="shared" si="3"/>
        <v>#N/A</v>
      </c>
      <c r="M171" s="178" t="s">
        <v>3440</v>
      </c>
      <c r="N171" s="179" t="str">
        <f>VLOOKUP(M171,'Dados ClubeFII'!$A:$Z,26,0)</f>
        <v>#N/A</v>
      </c>
      <c r="O171" s="185" t="str">
        <f>VLOOKUP(M171,'Dados ClubeFII'!$A:$Z,18,0)/100</f>
        <v>#N/A</v>
      </c>
      <c r="P171" s="186" t="str">
        <f t="shared" si="5"/>
        <v>#N/A</v>
      </c>
      <c r="Q171" s="187">
        <f>IF(ISERROR(1/VLOOKUP(M171,Capa!A:Z,6,0)),0,1/VLOOKUP(M171,Capa!A:Z,6,0))</f>
        <v>0</v>
      </c>
      <c r="R171" s="188">
        <f t="shared" si="6"/>
        <v>1.000001</v>
      </c>
      <c r="S171" s="189" t="str">
        <f t="shared" si="7"/>
        <v>#N/A</v>
      </c>
    </row>
    <row r="172">
      <c r="A172" s="190"/>
      <c r="B172" s="178" t="s">
        <v>3441</v>
      </c>
      <c r="C172" s="179" t="str">
        <f>VLOOKUP(B172,'Dados ClubeFII'!$A:$Z,26,0)</f>
        <v>#N/A</v>
      </c>
      <c r="D172" s="180" t="str">
        <f>VLOOKUP(B172,'Dados ClubeFII'!$A:$Z,20,0)/100</f>
        <v>#N/A</v>
      </c>
      <c r="E172" s="89" t="str">
        <f t="shared" si="1"/>
        <v>#N/A</v>
      </c>
      <c r="F172" s="181">
        <f>IF(ISERROR(1/VLOOKUP(B172,Capa!A:Z,13,0)),0,1/VLOOKUP(B172,Capa!A:Z,13,0))</f>
        <v>0</v>
      </c>
      <c r="G172" s="182">
        <f t="shared" si="2"/>
        <v>1.000001</v>
      </c>
      <c r="H172" s="183" t="str">
        <f t="shared" si="3"/>
        <v>#N/A</v>
      </c>
      <c r="M172" s="178" t="s">
        <v>3441</v>
      </c>
      <c r="N172" s="179" t="str">
        <f>VLOOKUP(M172,'Dados ClubeFII'!$A:$Z,26,0)</f>
        <v>#N/A</v>
      </c>
      <c r="O172" s="185" t="str">
        <f>VLOOKUP(M172,'Dados ClubeFII'!$A:$Z,18,0)/100</f>
        <v>#N/A</v>
      </c>
      <c r="P172" s="186" t="str">
        <f t="shared" si="5"/>
        <v>#N/A</v>
      </c>
      <c r="Q172" s="187">
        <f>IF(ISERROR(1/VLOOKUP(M172,Capa!A:Z,6,0)),0,1/VLOOKUP(M172,Capa!A:Z,6,0))</f>
        <v>0</v>
      </c>
      <c r="R172" s="188">
        <f t="shared" si="6"/>
        <v>1.000001</v>
      </c>
      <c r="S172" s="189" t="str">
        <f t="shared" si="7"/>
        <v>#N/A</v>
      </c>
    </row>
    <row r="173">
      <c r="A173" s="190"/>
      <c r="B173" s="178" t="s">
        <v>3442</v>
      </c>
      <c r="C173" s="179" t="str">
        <f>VLOOKUP(B173,'Dados ClubeFII'!$A:$Z,26,0)</f>
        <v>#N/A</v>
      </c>
      <c r="D173" s="180" t="str">
        <f>VLOOKUP(B173,'Dados ClubeFII'!$A:$Z,20,0)/100</f>
        <v>#N/A</v>
      </c>
      <c r="E173" s="89" t="str">
        <f t="shared" si="1"/>
        <v>#N/A</v>
      </c>
      <c r="F173" s="181">
        <f>IF(ISERROR(1/VLOOKUP(B173,Capa!A:Z,13,0)),0,1/VLOOKUP(B173,Capa!A:Z,13,0))</f>
        <v>0</v>
      </c>
      <c r="G173" s="182">
        <f t="shared" si="2"/>
        <v>1.000001</v>
      </c>
      <c r="H173" s="183" t="str">
        <f t="shared" si="3"/>
        <v>#N/A</v>
      </c>
      <c r="M173" s="178" t="s">
        <v>3442</v>
      </c>
      <c r="N173" s="179" t="str">
        <f>VLOOKUP(M173,'Dados ClubeFII'!$A:$Z,26,0)</f>
        <v>#N/A</v>
      </c>
      <c r="O173" s="185" t="str">
        <f>VLOOKUP(M173,'Dados ClubeFII'!$A:$Z,18,0)/100</f>
        <v>#N/A</v>
      </c>
      <c r="P173" s="186" t="str">
        <f t="shared" si="5"/>
        <v>#N/A</v>
      </c>
      <c r="Q173" s="187">
        <f>IF(ISERROR(1/VLOOKUP(M173,Capa!A:Z,6,0)),0,1/VLOOKUP(M173,Capa!A:Z,6,0))</f>
        <v>0</v>
      </c>
      <c r="R173" s="188">
        <f t="shared" si="6"/>
        <v>1.000001</v>
      </c>
      <c r="S173" s="189" t="str">
        <f t="shared" si="7"/>
        <v>#N/A</v>
      </c>
    </row>
    <row r="174">
      <c r="A174" s="190"/>
      <c r="B174" s="178" t="s">
        <v>3443</v>
      </c>
      <c r="C174" s="179" t="str">
        <f>VLOOKUP(B174,'Dados ClubeFII'!$A:$Z,26,0)</f>
        <v>#N/A</v>
      </c>
      <c r="D174" s="180" t="str">
        <f>VLOOKUP(B174,'Dados ClubeFII'!$A:$Z,20,0)/100</f>
        <v>#N/A</v>
      </c>
      <c r="E174" s="89" t="str">
        <f t="shared" si="1"/>
        <v>#N/A</v>
      </c>
      <c r="F174" s="181">
        <f>IF(ISERROR(1/VLOOKUP(B174,Capa!A:Z,13,0)),0,1/VLOOKUP(B174,Capa!A:Z,13,0))</f>
        <v>0</v>
      </c>
      <c r="G174" s="182">
        <f t="shared" si="2"/>
        <v>1.000001</v>
      </c>
      <c r="H174" s="183" t="str">
        <f t="shared" si="3"/>
        <v>#N/A</v>
      </c>
      <c r="M174" s="178" t="s">
        <v>3443</v>
      </c>
      <c r="N174" s="179" t="str">
        <f>VLOOKUP(M174,'Dados ClubeFII'!$A:$Z,26,0)</f>
        <v>#N/A</v>
      </c>
      <c r="O174" s="185" t="str">
        <f>VLOOKUP(M174,'Dados ClubeFII'!$A:$Z,18,0)/100</f>
        <v>#N/A</v>
      </c>
      <c r="P174" s="186" t="str">
        <f t="shared" si="5"/>
        <v>#N/A</v>
      </c>
      <c r="Q174" s="187">
        <f>IF(ISERROR(1/VLOOKUP(M174,Capa!A:Z,6,0)),0,1/VLOOKUP(M174,Capa!A:Z,6,0))</f>
        <v>0</v>
      </c>
      <c r="R174" s="188">
        <f t="shared" si="6"/>
        <v>1.000001</v>
      </c>
      <c r="S174" s="189" t="str">
        <f t="shared" si="7"/>
        <v>#N/A</v>
      </c>
    </row>
    <row r="175">
      <c r="A175" s="190"/>
      <c r="B175" s="178" t="s">
        <v>3444</v>
      </c>
      <c r="C175" s="179" t="str">
        <f>VLOOKUP(B175,'Dados ClubeFII'!$A:$Z,26,0)</f>
        <v>#N/A</v>
      </c>
      <c r="D175" s="180" t="str">
        <f>VLOOKUP(B175,'Dados ClubeFII'!$A:$Z,20,0)/100</f>
        <v>#N/A</v>
      </c>
      <c r="E175" s="89" t="str">
        <f t="shared" si="1"/>
        <v>#N/A</v>
      </c>
      <c r="F175" s="181">
        <f>IF(ISERROR(1/VLOOKUP(B175,Capa!A:Z,13,0)),0,1/VLOOKUP(B175,Capa!A:Z,13,0))</f>
        <v>0</v>
      </c>
      <c r="G175" s="182">
        <f t="shared" si="2"/>
        <v>1.000001</v>
      </c>
      <c r="H175" s="183" t="str">
        <f t="shared" si="3"/>
        <v>#N/A</v>
      </c>
      <c r="M175" s="178" t="s">
        <v>3444</v>
      </c>
      <c r="N175" s="179" t="str">
        <f>VLOOKUP(M175,'Dados ClubeFII'!$A:$Z,26,0)</f>
        <v>#N/A</v>
      </c>
      <c r="O175" s="185" t="str">
        <f>VLOOKUP(M175,'Dados ClubeFII'!$A:$Z,18,0)/100</f>
        <v>#N/A</v>
      </c>
      <c r="P175" s="186" t="str">
        <f t="shared" si="5"/>
        <v>#N/A</v>
      </c>
      <c r="Q175" s="187">
        <f>IF(ISERROR(1/VLOOKUP(M175,Capa!A:Z,6,0)),0,1/VLOOKUP(M175,Capa!A:Z,6,0))</f>
        <v>0</v>
      </c>
      <c r="R175" s="188">
        <f t="shared" si="6"/>
        <v>1.000001</v>
      </c>
      <c r="S175" s="189" t="str">
        <f t="shared" si="7"/>
        <v>#N/A</v>
      </c>
    </row>
    <row r="176">
      <c r="A176" s="190"/>
      <c r="B176" s="178" t="s">
        <v>3445</v>
      </c>
      <c r="C176" s="179" t="str">
        <f>VLOOKUP(B176,'Dados ClubeFII'!$A:$Z,26,0)</f>
        <v>#N/A</v>
      </c>
      <c r="D176" s="180" t="str">
        <f>VLOOKUP(B176,'Dados ClubeFII'!$A:$Z,20,0)/100</f>
        <v>#N/A</v>
      </c>
      <c r="E176" s="89" t="str">
        <f t="shared" si="1"/>
        <v>#N/A</v>
      </c>
      <c r="F176" s="181">
        <f>IF(ISERROR(1/VLOOKUP(B176,Capa!A:Z,13,0)),0,1/VLOOKUP(B176,Capa!A:Z,13,0))</f>
        <v>0</v>
      </c>
      <c r="G176" s="182">
        <f t="shared" si="2"/>
        <v>1.000001</v>
      </c>
      <c r="H176" s="183" t="str">
        <f t="shared" si="3"/>
        <v>#N/A</v>
      </c>
      <c r="M176" s="178" t="s">
        <v>3445</v>
      </c>
      <c r="N176" s="179" t="str">
        <f>VLOOKUP(M176,'Dados ClubeFII'!$A:$Z,26,0)</f>
        <v>#N/A</v>
      </c>
      <c r="O176" s="185" t="str">
        <f>VLOOKUP(M176,'Dados ClubeFII'!$A:$Z,18,0)/100</f>
        <v>#N/A</v>
      </c>
      <c r="P176" s="186" t="str">
        <f t="shared" si="5"/>
        <v>#N/A</v>
      </c>
      <c r="Q176" s="187">
        <f>IF(ISERROR(1/VLOOKUP(M176,Capa!A:Z,6,0)),0,1/VLOOKUP(M176,Capa!A:Z,6,0))</f>
        <v>0</v>
      </c>
      <c r="R176" s="188">
        <f t="shared" si="6"/>
        <v>1.000001</v>
      </c>
      <c r="S176" s="189" t="str">
        <f t="shared" si="7"/>
        <v>#N/A</v>
      </c>
    </row>
    <row r="177">
      <c r="A177" s="190"/>
      <c r="B177" s="178" t="s">
        <v>3446</v>
      </c>
      <c r="C177" s="179" t="str">
        <f>VLOOKUP(B177,'Dados ClubeFII'!$A:$Z,26,0)</f>
        <v>#N/A</v>
      </c>
      <c r="D177" s="180" t="str">
        <f>VLOOKUP(B177,'Dados ClubeFII'!$A:$Z,20,0)/100</f>
        <v>#N/A</v>
      </c>
      <c r="E177" s="89" t="str">
        <f t="shared" si="1"/>
        <v>#N/A</v>
      </c>
      <c r="F177" s="181">
        <f>IF(ISERROR(1/VLOOKUP(B177,Capa!A:Z,13,0)),0,1/VLOOKUP(B177,Capa!A:Z,13,0))</f>
        <v>0</v>
      </c>
      <c r="G177" s="182">
        <f t="shared" si="2"/>
        <v>1.000001</v>
      </c>
      <c r="H177" s="183" t="str">
        <f t="shared" si="3"/>
        <v>#N/A</v>
      </c>
      <c r="M177" s="178" t="s">
        <v>3446</v>
      </c>
      <c r="N177" s="179" t="str">
        <f>VLOOKUP(M177,'Dados ClubeFII'!$A:$Z,26,0)</f>
        <v>#N/A</v>
      </c>
      <c r="O177" s="185" t="str">
        <f>VLOOKUP(M177,'Dados ClubeFII'!$A:$Z,18,0)/100</f>
        <v>#N/A</v>
      </c>
      <c r="P177" s="186" t="str">
        <f t="shared" si="5"/>
        <v>#N/A</v>
      </c>
      <c r="Q177" s="187">
        <f>IF(ISERROR(1/VLOOKUP(M177,Capa!A:Z,6,0)),0,1/VLOOKUP(M177,Capa!A:Z,6,0))</f>
        <v>0</v>
      </c>
      <c r="R177" s="188">
        <f t="shared" si="6"/>
        <v>1.000001</v>
      </c>
      <c r="S177" s="189" t="str">
        <f t="shared" si="7"/>
        <v>#N/A</v>
      </c>
    </row>
    <row r="178">
      <c r="A178" s="190"/>
      <c r="B178" s="178" t="s">
        <v>3447</v>
      </c>
      <c r="C178" s="179" t="str">
        <f>VLOOKUP(B178,'Dados ClubeFII'!$A:$Z,26,0)</f>
        <v>#N/A</v>
      </c>
      <c r="D178" s="180" t="str">
        <f>VLOOKUP(B178,'Dados ClubeFII'!$A:$Z,20,0)/100</f>
        <v>#N/A</v>
      </c>
      <c r="E178" s="89" t="str">
        <f t="shared" si="1"/>
        <v>#N/A</v>
      </c>
      <c r="F178" s="181">
        <f>IF(ISERROR(1/VLOOKUP(B178,Capa!A:Z,13,0)),0,1/VLOOKUP(B178,Capa!A:Z,13,0))</f>
        <v>0</v>
      </c>
      <c r="G178" s="182">
        <f t="shared" si="2"/>
        <v>1.000001</v>
      </c>
      <c r="H178" s="183" t="str">
        <f t="shared" si="3"/>
        <v>#N/A</v>
      </c>
      <c r="M178" s="178" t="s">
        <v>3447</v>
      </c>
      <c r="N178" s="179" t="str">
        <f>VLOOKUP(M178,'Dados ClubeFII'!$A:$Z,26,0)</f>
        <v>#N/A</v>
      </c>
      <c r="O178" s="185" t="str">
        <f>VLOOKUP(M178,'Dados ClubeFII'!$A:$Z,18,0)/100</f>
        <v>#N/A</v>
      </c>
      <c r="P178" s="186" t="str">
        <f t="shared" si="5"/>
        <v>#N/A</v>
      </c>
      <c r="Q178" s="187">
        <f>IF(ISERROR(1/VLOOKUP(M178,Capa!A:Z,6,0)),0,1/VLOOKUP(M178,Capa!A:Z,6,0))</f>
        <v>0</v>
      </c>
      <c r="R178" s="188">
        <f t="shared" si="6"/>
        <v>1.000001</v>
      </c>
      <c r="S178" s="189" t="str">
        <f t="shared" si="7"/>
        <v>#N/A</v>
      </c>
    </row>
    <row r="179">
      <c r="A179" s="190"/>
      <c r="B179" s="178" t="s">
        <v>3448</v>
      </c>
      <c r="C179" s="179" t="str">
        <f>VLOOKUP(B179,'Dados ClubeFII'!$A:$Z,26,0)</f>
        <v>#N/A</v>
      </c>
      <c r="D179" s="180" t="str">
        <f>VLOOKUP(B179,'Dados ClubeFII'!$A:$Z,20,0)/100</f>
        <v>#N/A</v>
      </c>
      <c r="E179" s="89" t="str">
        <f t="shared" si="1"/>
        <v>#N/A</v>
      </c>
      <c r="F179" s="181">
        <f>IF(ISERROR(1/VLOOKUP(B179,Capa!A:Z,13,0)),0,1/VLOOKUP(B179,Capa!A:Z,13,0))</f>
        <v>0</v>
      </c>
      <c r="G179" s="182">
        <f t="shared" si="2"/>
        <v>1.000001</v>
      </c>
      <c r="H179" s="183" t="str">
        <f t="shared" si="3"/>
        <v>#N/A</v>
      </c>
      <c r="M179" s="178" t="s">
        <v>3448</v>
      </c>
      <c r="N179" s="179" t="str">
        <f>VLOOKUP(M179,'Dados ClubeFII'!$A:$Z,26,0)</f>
        <v>#N/A</v>
      </c>
      <c r="O179" s="185" t="str">
        <f>VLOOKUP(M179,'Dados ClubeFII'!$A:$Z,18,0)/100</f>
        <v>#N/A</v>
      </c>
      <c r="P179" s="186" t="str">
        <f t="shared" si="5"/>
        <v>#N/A</v>
      </c>
      <c r="Q179" s="187">
        <f>IF(ISERROR(1/VLOOKUP(M179,Capa!A:Z,6,0)),0,1/VLOOKUP(M179,Capa!A:Z,6,0))</f>
        <v>0</v>
      </c>
      <c r="R179" s="188">
        <f t="shared" si="6"/>
        <v>1.000001</v>
      </c>
      <c r="S179" s="189" t="str">
        <f t="shared" si="7"/>
        <v>#N/A</v>
      </c>
    </row>
    <row r="180">
      <c r="A180" s="190"/>
      <c r="B180" s="178" t="s">
        <v>3449</v>
      </c>
      <c r="C180" s="179" t="str">
        <f>VLOOKUP(B180,'Dados ClubeFII'!$A:$Z,26,0)</f>
        <v>#N/A</v>
      </c>
      <c r="D180" s="180" t="str">
        <f>VLOOKUP(B180,'Dados ClubeFII'!$A:$Z,20,0)/100</f>
        <v>#N/A</v>
      </c>
      <c r="E180" s="89" t="str">
        <f t="shared" si="1"/>
        <v>#N/A</v>
      </c>
      <c r="F180" s="181">
        <f>IF(ISERROR(1/VLOOKUP(B180,Capa!A:Z,13,0)),0,1/VLOOKUP(B180,Capa!A:Z,13,0))</f>
        <v>0</v>
      </c>
      <c r="G180" s="182">
        <f t="shared" si="2"/>
        <v>1.000001</v>
      </c>
      <c r="H180" s="183" t="str">
        <f t="shared" si="3"/>
        <v>#N/A</v>
      </c>
      <c r="M180" s="178" t="s">
        <v>3449</v>
      </c>
      <c r="N180" s="179" t="str">
        <f>VLOOKUP(M180,'Dados ClubeFII'!$A:$Z,26,0)</f>
        <v>#N/A</v>
      </c>
      <c r="O180" s="185" t="str">
        <f>VLOOKUP(M180,'Dados ClubeFII'!$A:$Z,18,0)/100</f>
        <v>#N/A</v>
      </c>
      <c r="P180" s="186" t="str">
        <f t="shared" si="5"/>
        <v>#N/A</v>
      </c>
      <c r="Q180" s="187">
        <f>IF(ISERROR(1/VLOOKUP(M180,Capa!A:Z,6,0)),0,1/VLOOKUP(M180,Capa!A:Z,6,0))</f>
        <v>0</v>
      </c>
      <c r="R180" s="188">
        <f t="shared" si="6"/>
        <v>1.000001</v>
      </c>
      <c r="S180" s="189" t="str">
        <f t="shared" si="7"/>
        <v>#N/A</v>
      </c>
    </row>
    <row r="181">
      <c r="A181" s="190"/>
      <c r="B181" s="178" t="s">
        <v>3450</v>
      </c>
      <c r="C181" s="179" t="str">
        <f>VLOOKUP(B181,'Dados ClubeFII'!$A:$Z,26,0)</f>
        <v>#N/A</v>
      </c>
      <c r="D181" s="180" t="str">
        <f>VLOOKUP(B181,'Dados ClubeFII'!$A:$Z,20,0)/100</f>
        <v>#N/A</v>
      </c>
      <c r="E181" s="89" t="str">
        <f t="shared" si="1"/>
        <v>#N/A</v>
      </c>
      <c r="F181" s="181">
        <f>IF(ISERROR(1/VLOOKUP(B181,Capa!A:Z,13,0)),0,1/VLOOKUP(B181,Capa!A:Z,13,0))</f>
        <v>0</v>
      </c>
      <c r="G181" s="182">
        <f t="shared" si="2"/>
        <v>1.000001</v>
      </c>
      <c r="H181" s="183" t="str">
        <f t="shared" si="3"/>
        <v>#N/A</v>
      </c>
      <c r="M181" s="178" t="s">
        <v>3450</v>
      </c>
      <c r="N181" s="179" t="str">
        <f>VLOOKUP(M181,'Dados ClubeFII'!$A:$Z,26,0)</f>
        <v>#N/A</v>
      </c>
      <c r="O181" s="185" t="str">
        <f>VLOOKUP(M181,'Dados ClubeFII'!$A:$Z,18,0)/100</f>
        <v>#N/A</v>
      </c>
      <c r="P181" s="186" t="str">
        <f t="shared" si="5"/>
        <v>#N/A</v>
      </c>
      <c r="Q181" s="187">
        <f>IF(ISERROR(1/VLOOKUP(M181,Capa!A:Z,6,0)),0,1/VLOOKUP(M181,Capa!A:Z,6,0))</f>
        <v>0</v>
      </c>
      <c r="R181" s="188">
        <f t="shared" si="6"/>
        <v>1.000001</v>
      </c>
      <c r="S181" s="189" t="str">
        <f t="shared" si="7"/>
        <v>#N/A</v>
      </c>
    </row>
    <row r="182">
      <c r="A182" s="190"/>
      <c r="B182" s="178" t="s">
        <v>3451</v>
      </c>
      <c r="C182" s="179" t="str">
        <f>VLOOKUP(B182,'Dados ClubeFII'!$A:$Z,26,0)</f>
        <v>#N/A</v>
      </c>
      <c r="D182" s="180" t="str">
        <f>VLOOKUP(B182,'Dados ClubeFII'!$A:$Z,20,0)/100</f>
        <v>#N/A</v>
      </c>
      <c r="E182" s="89" t="str">
        <f t="shared" si="1"/>
        <v>#N/A</v>
      </c>
      <c r="F182" s="181">
        <f>IF(ISERROR(1/VLOOKUP(B182,Capa!A:Z,13,0)),0,1/VLOOKUP(B182,Capa!A:Z,13,0))</f>
        <v>0</v>
      </c>
      <c r="G182" s="182">
        <f t="shared" si="2"/>
        <v>1.000001</v>
      </c>
      <c r="H182" s="183" t="str">
        <f t="shared" si="3"/>
        <v>#N/A</v>
      </c>
      <c r="M182" s="178" t="s">
        <v>3451</v>
      </c>
      <c r="N182" s="179" t="str">
        <f>VLOOKUP(M182,'Dados ClubeFII'!$A:$Z,26,0)</f>
        <v>#N/A</v>
      </c>
      <c r="O182" s="185" t="str">
        <f>VLOOKUP(M182,'Dados ClubeFII'!$A:$Z,18,0)/100</f>
        <v>#N/A</v>
      </c>
      <c r="P182" s="186" t="str">
        <f t="shared" si="5"/>
        <v>#N/A</v>
      </c>
      <c r="Q182" s="187">
        <f>IF(ISERROR(1/VLOOKUP(M182,Capa!A:Z,6,0)),0,1/VLOOKUP(M182,Capa!A:Z,6,0))</f>
        <v>0</v>
      </c>
      <c r="R182" s="188">
        <f t="shared" si="6"/>
        <v>1.000001</v>
      </c>
      <c r="S182" s="189" t="str">
        <f t="shared" si="7"/>
        <v>#N/A</v>
      </c>
    </row>
    <row r="183">
      <c r="A183" s="190"/>
      <c r="B183" s="178" t="s">
        <v>3452</v>
      </c>
      <c r="C183" s="179" t="str">
        <f>VLOOKUP(B183,'Dados ClubeFII'!$A:$Z,26,0)</f>
        <v>#N/A</v>
      </c>
      <c r="D183" s="180" t="str">
        <f>VLOOKUP(B183,'Dados ClubeFII'!$A:$Z,20,0)/100</f>
        <v>#N/A</v>
      </c>
      <c r="E183" s="89" t="str">
        <f t="shared" si="1"/>
        <v>#N/A</v>
      </c>
      <c r="F183" s="181">
        <f>IF(ISERROR(1/VLOOKUP(B183,Capa!A:Z,13,0)),0,1/VLOOKUP(B183,Capa!A:Z,13,0))</f>
        <v>0</v>
      </c>
      <c r="G183" s="182">
        <f t="shared" si="2"/>
        <v>1.000001</v>
      </c>
      <c r="H183" s="183" t="str">
        <f t="shared" si="3"/>
        <v>#N/A</v>
      </c>
      <c r="M183" s="178" t="s">
        <v>3452</v>
      </c>
      <c r="N183" s="179" t="str">
        <f>VLOOKUP(M183,'Dados ClubeFII'!$A:$Z,26,0)</f>
        <v>#N/A</v>
      </c>
      <c r="O183" s="185" t="str">
        <f>VLOOKUP(M183,'Dados ClubeFII'!$A:$Z,18,0)/100</f>
        <v>#N/A</v>
      </c>
      <c r="P183" s="186" t="str">
        <f t="shared" si="5"/>
        <v>#N/A</v>
      </c>
      <c r="Q183" s="187">
        <f>IF(ISERROR(1/VLOOKUP(M183,Capa!A:Z,6,0)),0,1/VLOOKUP(M183,Capa!A:Z,6,0))</f>
        <v>0</v>
      </c>
      <c r="R183" s="188">
        <f t="shared" si="6"/>
        <v>1.000001</v>
      </c>
      <c r="S183" s="189" t="str">
        <f t="shared" si="7"/>
        <v>#N/A</v>
      </c>
    </row>
    <row r="184">
      <c r="A184" s="190"/>
      <c r="B184" s="178" t="s">
        <v>3453</v>
      </c>
      <c r="C184" s="179" t="str">
        <f>VLOOKUP(B184,'Dados ClubeFII'!$A:$Z,26,0)</f>
        <v>#N/A</v>
      </c>
      <c r="D184" s="180" t="str">
        <f>VLOOKUP(B184,'Dados ClubeFII'!$A:$Z,20,0)/100</f>
        <v>#N/A</v>
      </c>
      <c r="E184" s="89" t="str">
        <f t="shared" si="1"/>
        <v>#N/A</v>
      </c>
      <c r="F184" s="181">
        <f>IF(ISERROR(1/VLOOKUP(B184,Capa!A:Z,13,0)),0,1/VLOOKUP(B184,Capa!A:Z,13,0))</f>
        <v>0</v>
      </c>
      <c r="G184" s="182">
        <f t="shared" si="2"/>
        <v>1.000001</v>
      </c>
      <c r="H184" s="183" t="str">
        <f t="shared" si="3"/>
        <v>#N/A</v>
      </c>
      <c r="M184" s="178" t="s">
        <v>3453</v>
      </c>
      <c r="N184" s="179" t="str">
        <f>VLOOKUP(M184,'Dados ClubeFII'!$A:$Z,26,0)</f>
        <v>#N/A</v>
      </c>
      <c r="O184" s="185" t="str">
        <f>VLOOKUP(M184,'Dados ClubeFII'!$A:$Z,18,0)/100</f>
        <v>#N/A</v>
      </c>
      <c r="P184" s="186" t="str">
        <f t="shared" si="5"/>
        <v>#N/A</v>
      </c>
      <c r="Q184" s="187">
        <f>IF(ISERROR(1/VLOOKUP(M184,Capa!A:Z,6,0)),0,1/VLOOKUP(M184,Capa!A:Z,6,0))</f>
        <v>0</v>
      </c>
      <c r="R184" s="188">
        <f t="shared" si="6"/>
        <v>1.000001</v>
      </c>
      <c r="S184" s="189" t="str">
        <f t="shared" si="7"/>
        <v>#N/A</v>
      </c>
    </row>
    <row r="185">
      <c r="A185" s="190"/>
      <c r="B185" s="178" t="s">
        <v>3454</v>
      </c>
      <c r="C185" s="179" t="str">
        <f>VLOOKUP(B185,'Dados ClubeFII'!$A:$Z,26,0)</f>
        <v>#N/A</v>
      </c>
      <c r="D185" s="180" t="str">
        <f>VLOOKUP(B185,'Dados ClubeFII'!$A:$Z,20,0)/100</f>
        <v>#N/A</v>
      </c>
      <c r="E185" s="89" t="str">
        <f t="shared" si="1"/>
        <v>#N/A</v>
      </c>
      <c r="F185" s="181">
        <f>IF(ISERROR(1/VLOOKUP(B185,Capa!A:Z,13,0)),0,1/VLOOKUP(B185,Capa!A:Z,13,0))</f>
        <v>0</v>
      </c>
      <c r="G185" s="182">
        <f t="shared" si="2"/>
        <v>1.000001</v>
      </c>
      <c r="H185" s="183" t="str">
        <f t="shared" si="3"/>
        <v>#N/A</v>
      </c>
      <c r="M185" s="178" t="s">
        <v>3454</v>
      </c>
      <c r="N185" s="179" t="str">
        <f>VLOOKUP(M185,'Dados ClubeFII'!$A:$Z,26,0)</f>
        <v>#N/A</v>
      </c>
      <c r="O185" s="185" t="str">
        <f>VLOOKUP(M185,'Dados ClubeFII'!$A:$Z,18,0)/100</f>
        <v>#N/A</v>
      </c>
      <c r="P185" s="186" t="str">
        <f t="shared" si="5"/>
        <v>#N/A</v>
      </c>
      <c r="Q185" s="187">
        <f>IF(ISERROR(1/VLOOKUP(M185,Capa!A:Z,6,0)),0,1/VLOOKUP(M185,Capa!A:Z,6,0))</f>
        <v>0</v>
      </c>
      <c r="R185" s="188">
        <f t="shared" si="6"/>
        <v>1.000001</v>
      </c>
      <c r="S185" s="189" t="str">
        <f t="shared" si="7"/>
        <v>#N/A</v>
      </c>
    </row>
    <row r="186">
      <c r="A186" s="190"/>
      <c r="B186" s="178" t="s">
        <v>3455</v>
      </c>
      <c r="C186" s="179" t="str">
        <f>VLOOKUP(B186,'Dados ClubeFII'!$A:$Z,26,0)</f>
        <v>#N/A</v>
      </c>
      <c r="D186" s="180" t="str">
        <f>VLOOKUP(B186,'Dados ClubeFII'!$A:$Z,20,0)/100</f>
        <v>#N/A</v>
      </c>
      <c r="E186" s="89" t="str">
        <f t="shared" si="1"/>
        <v>#N/A</v>
      </c>
      <c r="F186" s="181">
        <f>IF(ISERROR(1/VLOOKUP(B186,Capa!A:Z,13,0)),0,1/VLOOKUP(B186,Capa!A:Z,13,0))</f>
        <v>0</v>
      </c>
      <c r="G186" s="182">
        <f t="shared" si="2"/>
        <v>1.000001</v>
      </c>
      <c r="H186" s="183" t="str">
        <f t="shared" si="3"/>
        <v>#N/A</v>
      </c>
      <c r="M186" s="178" t="s">
        <v>3455</v>
      </c>
      <c r="N186" s="179" t="str">
        <f>VLOOKUP(M186,'Dados ClubeFII'!$A:$Z,26,0)</f>
        <v>#N/A</v>
      </c>
      <c r="O186" s="185" t="str">
        <f>VLOOKUP(M186,'Dados ClubeFII'!$A:$Z,18,0)/100</f>
        <v>#N/A</v>
      </c>
      <c r="P186" s="186" t="str">
        <f t="shared" si="5"/>
        <v>#N/A</v>
      </c>
      <c r="Q186" s="187">
        <f>IF(ISERROR(1/VLOOKUP(M186,Capa!A:Z,6,0)),0,1/VLOOKUP(M186,Capa!A:Z,6,0))</f>
        <v>0</v>
      </c>
      <c r="R186" s="188">
        <f t="shared" si="6"/>
        <v>1.000001</v>
      </c>
      <c r="S186" s="189" t="str">
        <f t="shared" si="7"/>
        <v>#N/A</v>
      </c>
    </row>
    <row r="187">
      <c r="A187" s="190"/>
      <c r="B187" s="178" t="s">
        <v>3456</v>
      </c>
      <c r="C187" s="179" t="str">
        <f>VLOOKUP(B187,'Dados ClubeFII'!$A:$Z,26,0)</f>
        <v>#N/A</v>
      </c>
      <c r="D187" s="180" t="str">
        <f>VLOOKUP(B187,'Dados ClubeFII'!$A:$Z,20,0)/100</f>
        <v>#N/A</v>
      </c>
      <c r="E187" s="89" t="str">
        <f t="shared" si="1"/>
        <v>#N/A</v>
      </c>
      <c r="F187" s="181">
        <f>IF(ISERROR(1/VLOOKUP(B187,Capa!A:Z,13,0)),0,1/VLOOKUP(B187,Capa!A:Z,13,0))</f>
        <v>0</v>
      </c>
      <c r="G187" s="182">
        <f t="shared" si="2"/>
        <v>1.000001</v>
      </c>
      <c r="H187" s="183" t="str">
        <f t="shared" si="3"/>
        <v>#N/A</v>
      </c>
      <c r="M187" s="178" t="s">
        <v>3456</v>
      </c>
      <c r="N187" s="179" t="str">
        <f>VLOOKUP(M187,'Dados ClubeFII'!$A:$Z,26,0)</f>
        <v>#N/A</v>
      </c>
      <c r="O187" s="185" t="str">
        <f>VLOOKUP(M187,'Dados ClubeFII'!$A:$Z,18,0)/100</f>
        <v>#N/A</v>
      </c>
      <c r="P187" s="186" t="str">
        <f t="shared" si="5"/>
        <v>#N/A</v>
      </c>
      <c r="Q187" s="187">
        <f>IF(ISERROR(1/VLOOKUP(M187,Capa!A:Z,6,0)),0,1/VLOOKUP(M187,Capa!A:Z,6,0))</f>
        <v>0</v>
      </c>
      <c r="R187" s="188">
        <f t="shared" si="6"/>
        <v>1.000001</v>
      </c>
      <c r="S187" s="189" t="str">
        <f t="shared" si="7"/>
        <v>#N/A</v>
      </c>
    </row>
    <row r="188">
      <c r="A188" s="190"/>
      <c r="B188" s="178" t="s">
        <v>3457</v>
      </c>
      <c r="C188" s="179" t="str">
        <f>VLOOKUP(B188,'Dados ClubeFII'!$A:$Z,26,0)</f>
        <v>#N/A</v>
      </c>
      <c r="D188" s="180" t="str">
        <f>VLOOKUP(B188,'Dados ClubeFII'!$A:$Z,20,0)/100</f>
        <v>#N/A</v>
      </c>
      <c r="E188" s="89" t="str">
        <f t="shared" si="1"/>
        <v>#N/A</v>
      </c>
      <c r="F188" s="181">
        <f>IF(ISERROR(1/VLOOKUP(B188,Capa!A:Z,13,0)),0,1/VLOOKUP(B188,Capa!A:Z,13,0))</f>
        <v>0</v>
      </c>
      <c r="G188" s="182">
        <f t="shared" si="2"/>
        <v>1.000001</v>
      </c>
      <c r="H188" s="183" t="str">
        <f t="shared" si="3"/>
        <v>#N/A</v>
      </c>
      <c r="M188" s="178" t="s">
        <v>3457</v>
      </c>
      <c r="N188" s="179" t="str">
        <f>VLOOKUP(M188,'Dados ClubeFII'!$A:$Z,26,0)</f>
        <v>#N/A</v>
      </c>
      <c r="O188" s="185" t="str">
        <f>VLOOKUP(M188,'Dados ClubeFII'!$A:$Z,18,0)/100</f>
        <v>#N/A</v>
      </c>
      <c r="P188" s="186" t="str">
        <f t="shared" si="5"/>
        <v>#N/A</v>
      </c>
      <c r="Q188" s="187">
        <f>IF(ISERROR(1/VLOOKUP(M188,Capa!A:Z,6,0)),0,1/VLOOKUP(M188,Capa!A:Z,6,0))</f>
        <v>0</v>
      </c>
      <c r="R188" s="188">
        <f t="shared" si="6"/>
        <v>1.000001</v>
      </c>
      <c r="S188" s="189" t="str">
        <f t="shared" si="7"/>
        <v>#N/A</v>
      </c>
    </row>
    <row r="189">
      <c r="A189" s="190"/>
      <c r="B189" s="178" t="s">
        <v>3458</v>
      </c>
      <c r="C189" s="179" t="str">
        <f>VLOOKUP(B189,'Dados ClubeFII'!$A:$Z,26,0)</f>
        <v>#N/A</v>
      </c>
      <c r="D189" s="180" t="str">
        <f>VLOOKUP(B189,'Dados ClubeFII'!$A:$Z,20,0)/100</f>
        <v>#N/A</v>
      </c>
      <c r="E189" s="89" t="str">
        <f t="shared" si="1"/>
        <v>#N/A</v>
      </c>
      <c r="F189" s="181">
        <f>IF(ISERROR(1/VLOOKUP(B189,Capa!A:Z,13,0)),0,1/VLOOKUP(B189,Capa!A:Z,13,0))</f>
        <v>0</v>
      </c>
      <c r="G189" s="182">
        <f t="shared" si="2"/>
        <v>1.000001</v>
      </c>
      <c r="H189" s="183" t="str">
        <f t="shared" si="3"/>
        <v>#N/A</v>
      </c>
      <c r="M189" s="178" t="s">
        <v>3458</v>
      </c>
      <c r="N189" s="179" t="str">
        <f>VLOOKUP(M189,'Dados ClubeFII'!$A:$Z,26,0)</f>
        <v>#N/A</v>
      </c>
      <c r="O189" s="185" t="str">
        <f>VLOOKUP(M189,'Dados ClubeFII'!$A:$Z,18,0)/100</f>
        <v>#N/A</v>
      </c>
      <c r="P189" s="186" t="str">
        <f t="shared" si="5"/>
        <v>#N/A</v>
      </c>
      <c r="Q189" s="187">
        <f>IF(ISERROR(1/VLOOKUP(M189,Capa!A:Z,6,0)),0,1/VLOOKUP(M189,Capa!A:Z,6,0))</f>
        <v>0</v>
      </c>
      <c r="R189" s="188">
        <f t="shared" si="6"/>
        <v>1.000001</v>
      </c>
      <c r="S189" s="189" t="str">
        <f t="shared" si="7"/>
        <v>#N/A</v>
      </c>
    </row>
    <row r="190">
      <c r="A190" s="190"/>
      <c r="B190" s="178" t="s">
        <v>3459</v>
      </c>
      <c r="C190" s="179" t="str">
        <f>VLOOKUP(B190,'Dados ClubeFII'!$A:$Z,26,0)</f>
        <v>#N/A</v>
      </c>
      <c r="D190" s="180" t="str">
        <f>VLOOKUP(B190,'Dados ClubeFII'!$A:$Z,20,0)/100</f>
        <v>#N/A</v>
      </c>
      <c r="E190" s="89" t="str">
        <f t="shared" si="1"/>
        <v>#N/A</v>
      </c>
      <c r="F190" s="181">
        <f>IF(ISERROR(1/VLOOKUP(B190,Capa!A:Z,13,0)),0,1/VLOOKUP(B190,Capa!A:Z,13,0))</f>
        <v>0</v>
      </c>
      <c r="G190" s="182">
        <f t="shared" si="2"/>
        <v>1.000001</v>
      </c>
      <c r="H190" s="183" t="str">
        <f t="shared" si="3"/>
        <v>#N/A</v>
      </c>
      <c r="M190" s="178" t="s">
        <v>3459</v>
      </c>
      <c r="N190" s="179" t="str">
        <f>VLOOKUP(M190,'Dados ClubeFII'!$A:$Z,26,0)</f>
        <v>#N/A</v>
      </c>
      <c r="O190" s="185" t="str">
        <f>VLOOKUP(M190,'Dados ClubeFII'!$A:$Z,18,0)/100</f>
        <v>#N/A</v>
      </c>
      <c r="P190" s="186" t="str">
        <f t="shared" si="5"/>
        <v>#N/A</v>
      </c>
      <c r="Q190" s="187">
        <f>IF(ISERROR(1/VLOOKUP(M190,Capa!A:Z,6,0)),0,1/VLOOKUP(M190,Capa!A:Z,6,0))</f>
        <v>0</v>
      </c>
      <c r="R190" s="188">
        <f t="shared" si="6"/>
        <v>1.000001</v>
      </c>
      <c r="S190" s="189" t="str">
        <f t="shared" si="7"/>
        <v>#N/A</v>
      </c>
    </row>
    <row r="191">
      <c r="A191" s="190"/>
      <c r="B191" s="178" t="s">
        <v>3460</v>
      </c>
      <c r="C191" s="179" t="str">
        <f>VLOOKUP(B191,'Dados ClubeFII'!$A:$Z,26,0)</f>
        <v>#N/A</v>
      </c>
      <c r="D191" s="180" t="str">
        <f>VLOOKUP(B191,'Dados ClubeFII'!$A:$Z,20,0)/100</f>
        <v>#N/A</v>
      </c>
      <c r="E191" s="89" t="str">
        <f t="shared" si="1"/>
        <v>#N/A</v>
      </c>
      <c r="F191" s="181">
        <f>IF(ISERROR(1/VLOOKUP(B191,Capa!A:Z,13,0)),0,1/VLOOKUP(B191,Capa!A:Z,13,0))</f>
        <v>0</v>
      </c>
      <c r="G191" s="182">
        <f t="shared" si="2"/>
        <v>1.000001</v>
      </c>
      <c r="H191" s="183" t="str">
        <f t="shared" si="3"/>
        <v>#N/A</v>
      </c>
      <c r="M191" s="178" t="s">
        <v>3460</v>
      </c>
      <c r="N191" s="179" t="str">
        <f>VLOOKUP(M191,'Dados ClubeFII'!$A:$Z,26,0)</f>
        <v>#N/A</v>
      </c>
      <c r="O191" s="185" t="str">
        <f>VLOOKUP(M191,'Dados ClubeFII'!$A:$Z,18,0)/100</f>
        <v>#N/A</v>
      </c>
      <c r="P191" s="186" t="str">
        <f t="shared" si="5"/>
        <v>#N/A</v>
      </c>
      <c r="Q191" s="187">
        <f>IF(ISERROR(1/VLOOKUP(M191,Capa!A:Z,6,0)),0,1/VLOOKUP(M191,Capa!A:Z,6,0))</f>
        <v>0</v>
      </c>
      <c r="R191" s="188">
        <f t="shared" si="6"/>
        <v>1.000001</v>
      </c>
      <c r="S191" s="189" t="str">
        <f t="shared" si="7"/>
        <v>#N/A</v>
      </c>
    </row>
    <row r="192">
      <c r="A192" s="190"/>
      <c r="B192" s="178" t="s">
        <v>3461</v>
      </c>
      <c r="C192" s="179" t="str">
        <f>VLOOKUP(B192,'Dados ClubeFII'!$A:$Z,26,0)</f>
        <v>#N/A</v>
      </c>
      <c r="D192" s="180" t="str">
        <f>VLOOKUP(B192,'Dados ClubeFII'!$A:$Z,20,0)/100</f>
        <v>#N/A</v>
      </c>
      <c r="E192" s="89" t="str">
        <f t="shared" si="1"/>
        <v>#N/A</v>
      </c>
      <c r="F192" s="181">
        <f>IF(ISERROR(1/VLOOKUP(B192,Capa!A:Z,13,0)),0,1/VLOOKUP(B192,Capa!A:Z,13,0))</f>
        <v>0</v>
      </c>
      <c r="G192" s="182">
        <f t="shared" si="2"/>
        <v>1.000001</v>
      </c>
      <c r="H192" s="183" t="str">
        <f t="shared" si="3"/>
        <v>#N/A</v>
      </c>
      <c r="M192" s="178" t="s">
        <v>3461</v>
      </c>
      <c r="N192" s="179" t="str">
        <f>VLOOKUP(M192,'Dados ClubeFII'!$A:$Z,26,0)</f>
        <v>#N/A</v>
      </c>
      <c r="O192" s="185" t="str">
        <f>VLOOKUP(M192,'Dados ClubeFII'!$A:$Z,18,0)/100</f>
        <v>#N/A</v>
      </c>
      <c r="P192" s="186" t="str">
        <f t="shared" si="5"/>
        <v>#N/A</v>
      </c>
      <c r="Q192" s="187">
        <f>IF(ISERROR(1/VLOOKUP(M192,Capa!A:Z,6,0)),0,1/VLOOKUP(M192,Capa!A:Z,6,0))</f>
        <v>0</v>
      </c>
      <c r="R192" s="188">
        <f t="shared" si="6"/>
        <v>1.000001</v>
      </c>
      <c r="S192" s="189" t="str">
        <f t="shared" si="7"/>
        <v>#N/A</v>
      </c>
    </row>
    <row r="193">
      <c r="A193" s="190"/>
      <c r="B193" s="178" t="s">
        <v>3462</v>
      </c>
      <c r="C193" s="179" t="str">
        <f>VLOOKUP(B193,'Dados ClubeFII'!$A:$Z,26,0)</f>
        <v>#N/A</v>
      </c>
      <c r="D193" s="180" t="str">
        <f>VLOOKUP(B193,'Dados ClubeFII'!$A:$Z,20,0)/100</f>
        <v>#N/A</v>
      </c>
      <c r="E193" s="89" t="str">
        <f t="shared" si="1"/>
        <v>#N/A</v>
      </c>
      <c r="F193" s="181">
        <f>IF(ISERROR(1/VLOOKUP(B193,Capa!A:Z,13,0)),0,1/VLOOKUP(B193,Capa!A:Z,13,0))</f>
        <v>0</v>
      </c>
      <c r="G193" s="182">
        <f t="shared" si="2"/>
        <v>1.000001</v>
      </c>
      <c r="H193" s="183" t="str">
        <f t="shared" si="3"/>
        <v>#N/A</v>
      </c>
      <c r="M193" s="178" t="s">
        <v>3462</v>
      </c>
      <c r="N193" s="179" t="str">
        <f>VLOOKUP(M193,'Dados ClubeFII'!$A:$Z,26,0)</f>
        <v>#N/A</v>
      </c>
      <c r="O193" s="185" t="str">
        <f>VLOOKUP(M193,'Dados ClubeFII'!$A:$Z,18,0)/100</f>
        <v>#N/A</v>
      </c>
      <c r="P193" s="186" t="str">
        <f t="shared" si="5"/>
        <v>#N/A</v>
      </c>
      <c r="Q193" s="187">
        <f>IF(ISERROR(1/VLOOKUP(M193,Capa!A:Z,6,0)),0,1/VLOOKUP(M193,Capa!A:Z,6,0))</f>
        <v>0</v>
      </c>
      <c r="R193" s="188">
        <f t="shared" si="6"/>
        <v>1.000001</v>
      </c>
      <c r="S193" s="189" t="str">
        <f t="shared" si="7"/>
        <v>#N/A</v>
      </c>
    </row>
    <row r="194">
      <c r="A194" s="190"/>
      <c r="B194" s="178" t="s">
        <v>3463</v>
      </c>
      <c r="C194" s="179" t="str">
        <f>VLOOKUP(B194,'Dados ClubeFII'!$A:$Z,26,0)</f>
        <v>#N/A</v>
      </c>
      <c r="D194" s="180" t="str">
        <f>VLOOKUP(B194,'Dados ClubeFII'!$A:$Z,20,0)/100</f>
        <v>#N/A</v>
      </c>
      <c r="E194" s="89" t="str">
        <f t="shared" si="1"/>
        <v>#N/A</v>
      </c>
      <c r="F194" s="181">
        <f>IF(ISERROR(1/VLOOKUP(B194,Capa!A:Z,13,0)),0,1/VLOOKUP(B194,Capa!A:Z,13,0))</f>
        <v>0</v>
      </c>
      <c r="G194" s="182">
        <f t="shared" si="2"/>
        <v>1.000001</v>
      </c>
      <c r="H194" s="183" t="str">
        <f t="shared" si="3"/>
        <v>#N/A</v>
      </c>
      <c r="M194" s="178" t="s">
        <v>3463</v>
      </c>
      <c r="N194" s="179" t="str">
        <f>VLOOKUP(M194,'Dados ClubeFII'!$A:$Z,26,0)</f>
        <v>#N/A</v>
      </c>
      <c r="O194" s="185" t="str">
        <f>VLOOKUP(M194,'Dados ClubeFII'!$A:$Z,18,0)/100</f>
        <v>#N/A</v>
      </c>
      <c r="P194" s="186" t="str">
        <f t="shared" si="5"/>
        <v>#N/A</v>
      </c>
      <c r="Q194" s="187">
        <f>IF(ISERROR(1/VLOOKUP(M194,Capa!A:Z,6,0)),0,1/VLOOKUP(M194,Capa!A:Z,6,0))</f>
        <v>0</v>
      </c>
      <c r="R194" s="188">
        <f t="shared" si="6"/>
        <v>1.000001</v>
      </c>
      <c r="S194" s="189" t="str">
        <f t="shared" si="7"/>
        <v>#N/A</v>
      </c>
    </row>
    <row r="195">
      <c r="A195" s="190"/>
      <c r="B195" s="178" t="s">
        <v>3464</v>
      </c>
      <c r="C195" s="179" t="str">
        <f>VLOOKUP(B195,'Dados ClubeFII'!$A:$Z,26,0)</f>
        <v>#N/A</v>
      </c>
      <c r="D195" s="180" t="str">
        <f>VLOOKUP(B195,'Dados ClubeFII'!$A:$Z,20,0)/100</f>
        <v>#N/A</v>
      </c>
      <c r="E195" s="89" t="str">
        <f t="shared" si="1"/>
        <v>#N/A</v>
      </c>
      <c r="F195" s="181">
        <f>IF(ISERROR(1/VLOOKUP(B195,Capa!A:Z,13,0)),0,1/VLOOKUP(B195,Capa!A:Z,13,0))</f>
        <v>0</v>
      </c>
      <c r="G195" s="182">
        <f t="shared" si="2"/>
        <v>1.000001</v>
      </c>
      <c r="H195" s="183" t="str">
        <f t="shared" si="3"/>
        <v>#N/A</v>
      </c>
      <c r="M195" s="178" t="s">
        <v>3464</v>
      </c>
      <c r="N195" s="179" t="str">
        <f>VLOOKUP(M195,'Dados ClubeFII'!$A:$Z,26,0)</f>
        <v>#N/A</v>
      </c>
      <c r="O195" s="185" t="str">
        <f>VLOOKUP(M195,'Dados ClubeFII'!$A:$Z,18,0)/100</f>
        <v>#N/A</v>
      </c>
      <c r="P195" s="186" t="str">
        <f t="shared" si="5"/>
        <v>#N/A</v>
      </c>
      <c r="Q195" s="187">
        <f>IF(ISERROR(1/VLOOKUP(M195,Capa!A:Z,6,0)),0,1/VLOOKUP(M195,Capa!A:Z,6,0))</f>
        <v>0</v>
      </c>
      <c r="R195" s="188">
        <f t="shared" si="6"/>
        <v>1.000001</v>
      </c>
      <c r="S195" s="189" t="str">
        <f t="shared" si="7"/>
        <v>#N/A</v>
      </c>
    </row>
    <row r="196">
      <c r="A196" s="190"/>
      <c r="B196" s="178" t="s">
        <v>3465</v>
      </c>
      <c r="C196" s="179" t="str">
        <f>VLOOKUP(B196,'Dados ClubeFII'!$A:$Z,26,0)</f>
        <v>#N/A</v>
      </c>
      <c r="D196" s="180" t="str">
        <f>VLOOKUP(B196,'Dados ClubeFII'!$A:$Z,20,0)/100</f>
        <v>#N/A</v>
      </c>
      <c r="E196" s="89" t="str">
        <f t="shared" si="1"/>
        <v>#N/A</v>
      </c>
      <c r="F196" s="181">
        <f>IF(ISERROR(1/VLOOKUP(B196,Capa!A:Z,13,0)),0,1/VLOOKUP(B196,Capa!A:Z,13,0))</f>
        <v>0</v>
      </c>
      <c r="G196" s="182">
        <f t="shared" si="2"/>
        <v>1.000001</v>
      </c>
      <c r="H196" s="183" t="str">
        <f t="shared" si="3"/>
        <v>#N/A</v>
      </c>
      <c r="M196" s="178" t="s">
        <v>3465</v>
      </c>
      <c r="N196" s="179" t="str">
        <f>VLOOKUP(M196,'Dados ClubeFII'!$A:$Z,26,0)</f>
        <v>#N/A</v>
      </c>
      <c r="O196" s="185" t="str">
        <f>VLOOKUP(M196,'Dados ClubeFII'!$A:$Z,18,0)/100</f>
        <v>#N/A</v>
      </c>
      <c r="P196" s="186" t="str">
        <f t="shared" si="5"/>
        <v>#N/A</v>
      </c>
      <c r="Q196" s="187">
        <f>IF(ISERROR(1/VLOOKUP(M196,Capa!A:Z,6,0)),0,1/VLOOKUP(M196,Capa!A:Z,6,0))</f>
        <v>0</v>
      </c>
      <c r="R196" s="188">
        <f t="shared" si="6"/>
        <v>1.000001</v>
      </c>
      <c r="S196" s="189" t="str">
        <f t="shared" si="7"/>
        <v>#N/A</v>
      </c>
    </row>
    <row r="197">
      <c r="A197" s="190"/>
      <c r="B197" s="178" t="s">
        <v>3466</v>
      </c>
      <c r="C197" s="179" t="str">
        <f>VLOOKUP(B197,'Dados ClubeFII'!$A:$Z,26,0)</f>
        <v>#N/A</v>
      </c>
      <c r="D197" s="180" t="str">
        <f>VLOOKUP(B197,'Dados ClubeFII'!$A:$Z,20,0)/100</f>
        <v>#N/A</v>
      </c>
      <c r="E197" s="89" t="str">
        <f t="shared" si="1"/>
        <v>#N/A</v>
      </c>
      <c r="F197" s="181">
        <f>IF(ISERROR(1/VLOOKUP(B197,Capa!A:Z,13,0)),0,1/VLOOKUP(B197,Capa!A:Z,13,0))</f>
        <v>0</v>
      </c>
      <c r="G197" s="182">
        <f t="shared" si="2"/>
        <v>1.000001</v>
      </c>
      <c r="H197" s="183" t="str">
        <f t="shared" si="3"/>
        <v>#N/A</v>
      </c>
      <c r="M197" s="178" t="s">
        <v>3466</v>
      </c>
      <c r="N197" s="179" t="str">
        <f>VLOOKUP(M197,'Dados ClubeFII'!$A:$Z,26,0)</f>
        <v>#N/A</v>
      </c>
      <c r="O197" s="185" t="str">
        <f>VLOOKUP(M197,'Dados ClubeFII'!$A:$Z,18,0)/100</f>
        <v>#N/A</v>
      </c>
      <c r="P197" s="186" t="str">
        <f t="shared" si="5"/>
        <v>#N/A</v>
      </c>
      <c r="Q197" s="187">
        <f>IF(ISERROR(1/VLOOKUP(M197,Capa!A:Z,6,0)),0,1/VLOOKUP(M197,Capa!A:Z,6,0))</f>
        <v>0</v>
      </c>
      <c r="R197" s="188">
        <f t="shared" si="6"/>
        <v>1.000001</v>
      </c>
      <c r="S197" s="189" t="str">
        <f t="shared" si="7"/>
        <v>#N/A</v>
      </c>
    </row>
    <row r="198">
      <c r="A198" s="190"/>
      <c r="B198" s="178" t="s">
        <v>3467</v>
      </c>
      <c r="C198" s="179" t="str">
        <f>VLOOKUP(B198,'Dados ClubeFII'!$A:$Z,26,0)</f>
        <v>#N/A</v>
      </c>
      <c r="D198" s="180" t="str">
        <f>VLOOKUP(B198,'Dados ClubeFII'!$A:$Z,20,0)/100</f>
        <v>#N/A</v>
      </c>
      <c r="E198" s="89" t="str">
        <f t="shared" si="1"/>
        <v>#N/A</v>
      </c>
      <c r="F198" s="181">
        <f>IF(ISERROR(1/VLOOKUP(B198,Capa!A:Z,13,0)),0,1/VLOOKUP(B198,Capa!A:Z,13,0))</f>
        <v>0</v>
      </c>
      <c r="G198" s="182">
        <f t="shared" si="2"/>
        <v>1.000001</v>
      </c>
      <c r="H198" s="183" t="str">
        <f t="shared" si="3"/>
        <v>#N/A</v>
      </c>
      <c r="M198" s="178" t="s">
        <v>3467</v>
      </c>
      <c r="N198" s="179" t="str">
        <f>VLOOKUP(M198,'Dados ClubeFII'!$A:$Z,26,0)</f>
        <v>#N/A</v>
      </c>
      <c r="O198" s="185" t="str">
        <f>VLOOKUP(M198,'Dados ClubeFII'!$A:$Z,18,0)/100</f>
        <v>#N/A</v>
      </c>
      <c r="P198" s="186" t="str">
        <f t="shared" si="5"/>
        <v>#N/A</v>
      </c>
      <c r="Q198" s="187">
        <f>IF(ISERROR(1/VLOOKUP(M198,Capa!A:Z,6,0)),0,1/VLOOKUP(M198,Capa!A:Z,6,0))</f>
        <v>0</v>
      </c>
      <c r="R198" s="188">
        <f t="shared" si="6"/>
        <v>1.000001</v>
      </c>
      <c r="S198" s="189" t="str">
        <f t="shared" si="7"/>
        <v>#N/A</v>
      </c>
    </row>
    <row r="199">
      <c r="A199" s="190"/>
      <c r="B199" s="178" t="s">
        <v>3468</v>
      </c>
      <c r="C199" s="179" t="str">
        <f>VLOOKUP(B199,'Dados ClubeFII'!$A:$Z,26,0)</f>
        <v>#N/A</v>
      </c>
      <c r="D199" s="180" t="str">
        <f>VLOOKUP(B199,'Dados ClubeFII'!$A:$Z,20,0)/100</f>
        <v>#N/A</v>
      </c>
      <c r="E199" s="89" t="str">
        <f t="shared" si="1"/>
        <v>#N/A</v>
      </c>
      <c r="F199" s="181">
        <f>IF(ISERROR(1/VLOOKUP(B199,Capa!A:Z,13,0)),0,1/VLOOKUP(B199,Capa!A:Z,13,0))</f>
        <v>0</v>
      </c>
      <c r="G199" s="182">
        <f t="shared" si="2"/>
        <v>1.000001</v>
      </c>
      <c r="H199" s="183" t="str">
        <f t="shared" si="3"/>
        <v>#N/A</v>
      </c>
      <c r="M199" s="178" t="s">
        <v>3468</v>
      </c>
      <c r="N199" s="179" t="str">
        <f>VLOOKUP(M199,'Dados ClubeFII'!$A:$Z,26,0)</f>
        <v>#N/A</v>
      </c>
      <c r="O199" s="185" t="str">
        <f>VLOOKUP(M199,'Dados ClubeFII'!$A:$Z,18,0)/100</f>
        <v>#N/A</v>
      </c>
      <c r="P199" s="186" t="str">
        <f t="shared" si="5"/>
        <v>#N/A</v>
      </c>
      <c r="Q199" s="187">
        <f>IF(ISERROR(1/VLOOKUP(M199,Capa!A:Z,6,0)),0,1/VLOOKUP(M199,Capa!A:Z,6,0))</f>
        <v>0</v>
      </c>
      <c r="R199" s="188">
        <f t="shared" si="6"/>
        <v>1.000001</v>
      </c>
      <c r="S199" s="189" t="str">
        <f t="shared" si="7"/>
        <v>#N/A</v>
      </c>
    </row>
    <row r="200">
      <c r="A200" s="190"/>
      <c r="B200" s="178" t="s">
        <v>3469</v>
      </c>
      <c r="C200" s="179" t="str">
        <f>VLOOKUP(B200,'Dados ClubeFII'!$A:$Z,26,0)</f>
        <v>#N/A</v>
      </c>
      <c r="D200" s="180" t="str">
        <f>VLOOKUP(B200,'Dados ClubeFII'!$A:$Z,20,0)/100</f>
        <v>#N/A</v>
      </c>
      <c r="E200" s="89" t="str">
        <f t="shared" si="1"/>
        <v>#N/A</v>
      </c>
      <c r="F200" s="181">
        <f>IF(ISERROR(1/VLOOKUP(B200,Capa!A:Z,13,0)),0,1/VLOOKUP(B200,Capa!A:Z,13,0))</f>
        <v>0</v>
      </c>
      <c r="G200" s="182">
        <f t="shared" si="2"/>
        <v>1.000001</v>
      </c>
      <c r="H200" s="183" t="str">
        <f t="shared" si="3"/>
        <v>#N/A</v>
      </c>
      <c r="M200" s="178" t="s">
        <v>3469</v>
      </c>
      <c r="N200" s="179" t="str">
        <f>VLOOKUP(M200,'Dados ClubeFII'!$A:$Z,26,0)</f>
        <v>#N/A</v>
      </c>
      <c r="O200" s="185" t="str">
        <f>VLOOKUP(M200,'Dados ClubeFII'!$A:$Z,18,0)/100</f>
        <v>#N/A</v>
      </c>
      <c r="P200" s="186" t="str">
        <f t="shared" si="5"/>
        <v>#N/A</v>
      </c>
      <c r="Q200" s="187">
        <f>IF(ISERROR(1/VLOOKUP(M200,Capa!A:Z,6,0)),0,1/VLOOKUP(M200,Capa!A:Z,6,0))</f>
        <v>0</v>
      </c>
      <c r="R200" s="188">
        <f t="shared" si="6"/>
        <v>1.000001</v>
      </c>
      <c r="S200" s="189" t="str">
        <f t="shared" si="7"/>
        <v>#N/A</v>
      </c>
    </row>
    <row r="201">
      <c r="A201" s="190"/>
      <c r="B201" s="178" t="s">
        <v>3470</v>
      </c>
      <c r="C201" s="179" t="str">
        <f>VLOOKUP(B201,'Dados ClubeFII'!$A:$Z,26,0)</f>
        <v>#N/A</v>
      </c>
      <c r="D201" s="180" t="str">
        <f>VLOOKUP(B201,'Dados ClubeFII'!$A:$Z,20,0)/100</f>
        <v>#N/A</v>
      </c>
      <c r="E201" s="89" t="str">
        <f t="shared" si="1"/>
        <v>#N/A</v>
      </c>
      <c r="F201" s="181">
        <f>IF(ISERROR(1/VLOOKUP(B201,Capa!A:Z,13,0)),0,1/VLOOKUP(B201,Capa!A:Z,13,0))</f>
        <v>0</v>
      </c>
      <c r="G201" s="182">
        <f t="shared" si="2"/>
        <v>1.000001</v>
      </c>
      <c r="H201" s="183" t="str">
        <f t="shared" si="3"/>
        <v>#N/A</v>
      </c>
      <c r="M201" s="178" t="s">
        <v>3470</v>
      </c>
      <c r="N201" s="179" t="str">
        <f>VLOOKUP(M201,'Dados ClubeFII'!$A:$Z,26,0)</f>
        <v>#N/A</v>
      </c>
      <c r="O201" s="185" t="str">
        <f>VLOOKUP(M201,'Dados ClubeFII'!$A:$Z,18,0)/100</f>
        <v>#N/A</v>
      </c>
      <c r="P201" s="186" t="str">
        <f t="shared" si="5"/>
        <v>#N/A</v>
      </c>
      <c r="Q201" s="187">
        <f>IF(ISERROR(1/VLOOKUP(M201,Capa!A:Z,6,0)),0,1/VLOOKUP(M201,Capa!A:Z,6,0))</f>
        <v>0</v>
      </c>
      <c r="R201" s="188">
        <f t="shared" si="6"/>
        <v>1.000001</v>
      </c>
      <c r="S201" s="189" t="str">
        <f t="shared" si="7"/>
        <v>#N/A</v>
      </c>
    </row>
    <row r="202">
      <c r="A202" s="190"/>
      <c r="B202" s="178" t="s">
        <v>3471</v>
      </c>
      <c r="C202" s="179" t="str">
        <f>VLOOKUP(B202,'Dados ClubeFII'!$A:$Z,26,0)</f>
        <v>#N/A</v>
      </c>
      <c r="D202" s="180" t="str">
        <f>VLOOKUP(B202,'Dados ClubeFII'!$A:$Z,20,0)/100</f>
        <v>#N/A</v>
      </c>
      <c r="E202" s="89" t="str">
        <f t="shared" si="1"/>
        <v>#N/A</v>
      </c>
      <c r="F202" s="181">
        <f>IF(ISERROR(1/VLOOKUP(B202,Capa!A:Z,13,0)),0,1/VLOOKUP(B202,Capa!A:Z,13,0))</f>
        <v>0</v>
      </c>
      <c r="G202" s="182">
        <f t="shared" si="2"/>
        <v>1.000001</v>
      </c>
      <c r="H202" s="183" t="str">
        <f t="shared" si="3"/>
        <v>#N/A</v>
      </c>
      <c r="M202" s="178" t="s">
        <v>3471</v>
      </c>
      <c r="N202" s="179" t="str">
        <f>VLOOKUP(M202,'Dados ClubeFII'!$A:$Z,26,0)</f>
        <v>#N/A</v>
      </c>
      <c r="O202" s="185" t="str">
        <f>VLOOKUP(M202,'Dados ClubeFII'!$A:$Z,18,0)/100</f>
        <v>#N/A</v>
      </c>
      <c r="P202" s="186" t="str">
        <f t="shared" si="5"/>
        <v>#N/A</v>
      </c>
      <c r="Q202" s="187">
        <f>IF(ISERROR(1/VLOOKUP(M202,Capa!A:Z,6,0)),0,1/VLOOKUP(M202,Capa!A:Z,6,0))</f>
        <v>0</v>
      </c>
      <c r="R202" s="188">
        <f t="shared" si="6"/>
        <v>1.000001</v>
      </c>
      <c r="S202" s="189" t="str">
        <f t="shared" si="7"/>
        <v>#N/A</v>
      </c>
    </row>
    <row r="203">
      <c r="A203" s="190"/>
      <c r="B203" s="178" t="s">
        <v>3472</v>
      </c>
      <c r="C203" s="179" t="str">
        <f>VLOOKUP(B203,'Dados ClubeFII'!$A:$Z,26,0)</f>
        <v>#N/A</v>
      </c>
      <c r="D203" s="180" t="str">
        <f>VLOOKUP(B203,'Dados ClubeFII'!$A:$Z,20,0)/100</f>
        <v>#N/A</v>
      </c>
      <c r="E203" s="89" t="str">
        <f t="shared" si="1"/>
        <v>#N/A</v>
      </c>
      <c r="F203" s="181">
        <f>IF(ISERROR(1/VLOOKUP(B203,Capa!A:Z,13,0)),0,1/VLOOKUP(B203,Capa!A:Z,13,0))</f>
        <v>0</v>
      </c>
      <c r="G203" s="182">
        <f t="shared" si="2"/>
        <v>1.000001</v>
      </c>
      <c r="H203" s="183" t="str">
        <f t="shared" si="3"/>
        <v>#N/A</v>
      </c>
      <c r="M203" s="178" t="s">
        <v>3472</v>
      </c>
      <c r="N203" s="179" t="str">
        <f>VLOOKUP(M203,'Dados ClubeFII'!$A:$Z,26,0)</f>
        <v>#N/A</v>
      </c>
      <c r="O203" s="185" t="str">
        <f>VLOOKUP(M203,'Dados ClubeFII'!$A:$Z,18,0)/100</f>
        <v>#N/A</v>
      </c>
      <c r="P203" s="186" t="str">
        <f t="shared" si="5"/>
        <v>#N/A</v>
      </c>
      <c r="Q203" s="187">
        <f>IF(ISERROR(1/VLOOKUP(M203,Capa!A:Z,6,0)),0,1/VLOOKUP(M203,Capa!A:Z,6,0))</f>
        <v>0</v>
      </c>
      <c r="R203" s="188">
        <f t="shared" si="6"/>
        <v>1.000001</v>
      </c>
      <c r="S203" s="189" t="str">
        <f t="shared" si="7"/>
        <v>#N/A</v>
      </c>
    </row>
    <row r="204">
      <c r="A204" s="190"/>
      <c r="B204" s="178" t="s">
        <v>3473</v>
      </c>
      <c r="C204" s="179" t="str">
        <f>VLOOKUP(B204,'Dados ClubeFII'!$A:$Z,26,0)</f>
        <v>#N/A</v>
      </c>
      <c r="D204" s="180" t="str">
        <f>VLOOKUP(B204,'Dados ClubeFII'!$A:$Z,20,0)/100</f>
        <v>#N/A</v>
      </c>
      <c r="E204" s="89" t="str">
        <f t="shared" si="1"/>
        <v>#N/A</v>
      </c>
      <c r="F204" s="181">
        <f>IF(ISERROR(1/VLOOKUP(B204,Capa!A:Z,13,0)),0,1/VLOOKUP(B204,Capa!A:Z,13,0))</f>
        <v>0</v>
      </c>
      <c r="G204" s="182">
        <f t="shared" si="2"/>
        <v>1.000001</v>
      </c>
      <c r="H204" s="183" t="str">
        <f t="shared" si="3"/>
        <v>#N/A</v>
      </c>
      <c r="M204" s="178" t="s">
        <v>3473</v>
      </c>
      <c r="N204" s="179" t="str">
        <f>VLOOKUP(M204,'Dados ClubeFII'!$A:$Z,26,0)</f>
        <v>#N/A</v>
      </c>
      <c r="O204" s="185" t="str">
        <f>VLOOKUP(M204,'Dados ClubeFII'!$A:$Z,18,0)/100</f>
        <v>#N/A</v>
      </c>
      <c r="P204" s="186" t="str">
        <f t="shared" si="5"/>
        <v>#N/A</v>
      </c>
      <c r="Q204" s="187">
        <f>IF(ISERROR(1/VLOOKUP(M204,Capa!A:Z,6,0)),0,1/VLOOKUP(M204,Capa!A:Z,6,0))</f>
        <v>0</v>
      </c>
      <c r="R204" s="188">
        <f t="shared" si="6"/>
        <v>1.000001</v>
      </c>
      <c r="S204" s="189" t="str">
        <f t="shared" si="7"/>
        <v>#N/A</v>
      </c>
    </row>
    <row r="205">
      <c r="A205" s="190"/>
      <c r="B205" s="178" t="s">
        <v>3474</v>
      </c>
      <c r="C205" s="179" t="str">
        <f>VLOOKUP(B205,'Dados ClubeFII'!$A:$Z,26,0)</f>
        <v>#N/A</v>
      </c>
      <c r="D205" s="180" t="str">
        <f>VLOOKUP(B205,'Dados ClubeFII'!$A:$Z,20,0)/100</f>
        <v>#N/A</v>
      </c>
      <c r="E205" s="89" t="str">
        <f t="shared" si="1"/>
        <v>#N/A</v>
      </c>
      <c r="F205" s="181">
        <f>IF(ISERROR(1/VLOOKUP(B205,Capa!A:Z,13,0)),0,1/VLOOKUP(B205,Capa!A:Z,13,0))</f>
        <v>0</v>
      </c>
      <c r="G205" s="182">
        <f t="shared" si="2"/>
        <v>1.000001</v>
      </c>
      <c r="H205" s="183" t="str">
        <f t="shared" si="3"/>
        <v>#N/A</v>
      </c>
      <c r="M205" s="178" t="s">
        <v>3474</v>
      </c>
      <c r="N205" s="179" t="str">
        <f>VLOOKUP(M205,'Dados ClubeFII'!$A:$Z,26,0)</f>
        <v>#N/A</v>
      </c>
      <c r="O205" s="185" t="str">
        <f>VLOOKUP(M205,'Dados ClubeFII'!$A:$Z,18,0)/100</f>
        <v>#N/A</v>
      </c>
      <c r="P205" s="186" t="str">
        <f t="shared" si="5"/>
        <v>#N/A</v>
      </c>
      <c r="Q205" s="187">
        <f>IF(ISERROR(1/VLOOKUP(M205,Capa!A:Z,6,0)),0,1/VLOOKUP(M205,Capa!A:Z,6,0))</f>
        <v>0</v>
      </c>
      <c r="R205" s="188">
        <f t="shared" si="6"/>
        <v>1.000001</v>
      </c>
      <c r="S205" s="189" t="str">
        <f t="shared" si="7"/>
        <v>#N/A</v>
      </c>
    </row>
    <row r="206">
      <c r="A206" s="190"/>
      <c r="B206" s="178" t="s">
        <v>3475</v>
      </c>
      <c r="C206" s="179" t="str">
        <f>VLOOKUP(B206,'Dados ClubeFII'!$A:$Z,26,0)</f>
        <v>#N/A</v>
      </c>
      <c r="D206" s="180" t="str">
        <f>VLOOKUP(B206,'Dados ClubeFII'!$A:$Z,20,0)/100</f>
        <v>#N/A</v>
      </c>
      <c r="E206" s="89" t="str">
        <f t="shared" si="1"/>
        <v>#N/A</v>
      </c>
      <c r="F206" s="181">
        <f>IF(ISERROR(1/VLOOKUP(B206,Capa!A:Z,13,0)),0,1/VLOOKUP(B206,Capa!A:Z,13,0))</f>
        <v>0</v>
      </c>
      <c r="G206" s="182">
        <f t="shared" si="2"/>
        <v>1.000001</v>
      </c>
      <c r="H206" s="183" t="str">
        <f t="shared" si="3"/>
        <v>#N/A</v>
      </c>
      <c r="M206" s="178" t="s">
        <v>3475</v>
      </c>
      <c r="N206" s="179" t="str">
        <f>VLOOKUP(M206,'Dados ClubeFII'!$A:$Z,26,0)</f>
        <v>#N/A</v>
      </c>
      <c r="O206" s="185" t="str">
        <f>VLOOKUP(M206,'Dados ClubeFII'!$A:$Z,18,0)/100</f>
        <v>#N/A</v>
      </c>
      <c r="P206" s="186" t="str">
        <f t="shared" si="5"/>
        <v>#N/A</v>
      </c>
      <c r="Q206" s="187">
        <f>IF(ISERROR(1/VLOOKUP(M206,Capa!A:Z,6,0)),0,1/VLOOKUP(M206,Capa!A:Z,6,0))</f>
        <v>0</v>
      </c>
      <c r="R206" s="188">
        <f t="shared" si="6"/>
        <v>1.000001</v>
      </c>
      <c r="S206" s="189" t="str">
        <f t="shared" si="7"/>
        <v>#N/A</v>
      </c>
    </row>
    <row r="207">
      <c r="A207" s="190"/>
      <c r="B207" s="178" t="s">
        <v>3476</v>
      </c>
      <c r="C207" s="179" t="str">
        <f>VLOOKUP(B207,'Dados ClubeFII'!$A:$Z,26,0)</f>
        <v>#N/A</v>
      </c>
      <c r="D207" s="180" t="str">
        <f>VLOOKUP(B207,'Dados ClubeFII'!$A:$Z,20,0)/100</f>
        <v>#N/A</v>
      </c>
      <c r="E207" s="89" t="str">
        <f t="shared" si="1"/>
        <v>#N/A</v>
      </c>
      <c r="F207" s="181">
        <f>IF(ISERROR(1/VLOOKUP(B207,Capa!A:Z,13,0)),0,1/VLOOKUP(B207,Capa!A:Z,13,0))</f>
        <v>0</v>
      </c>
      <c r="G207" s="182">
        <f t="shared" si="2"/>
        <v>1.000001</v>
      </c>
      <c r="H207" s="183" t="str">
        <f t="shared" si="3"/>
        <v>#N/A</v>
      </c>
      <c r="M207" s="178" t="s">
        <v>3476</v>
      </c>
      <c r="N207" s="179" t="str">
        <f>VLOOKUP(M207,'Dados ClubeFII'!$A:$Z,26,0)</f>
        <v>#N/A</v>
      </c>
      <c r="O207" s="185" t="str">
        <f>VLOOKUP(M207,'Dados ClubeFII'!$A:$Z,18,0)/100</f>
        <v>#N/A</v>
      </c>
      <c r="P207" s="186" t="str">
        <f t="shared" si="5"/>
        <v>#N/A</v>
      </c>
      <c r="Q207" s="187">
        <f>IF(ISERROR(1/VLOOKUP(M207,Capa!A:Z,6,0)),0,1/VLOOKUP(M207,Capa!A:Z,6,0))</f>
        <v>0</v>
      </c>
      <c r="R207" s="188">
        <f t="shared" si="6"/>
        <v>1.000001</v>
      </c>
      <c r="S207" s="189" t="str">
        <f t="shared" si="7"/>
        <v>#N/A</v>
      </c>
    </row>
    <row r="208">
      <c r="A208" s="190"/>
      <c r="B208" s="178" t="s">
        <v>3477</v>
      </c>
      <c r="C208" s="179" t="str">
        <f>VLOOKUP(B208,'Dados ClubeFII'!$A:$Z,26,0)</f>
        <v>#N/A</v>
      </c>
      <c r="D208" s="180" t="str">
        <f>VLOOKUP(B208,'Dados ClubeFII'!$A:$Z,20,0)/100</f>
        <v>#N/A</v>
      </c>
      <c r="E208" s="89" t="str">
        <f t="shared" si="1"/>
        <v>#N/A</v>
      </c>
      <c r="F208" s="181">
        <f>IF(ISERROR(1/VLOOKUP(B208,Capa!A:Z,13,0)),0,1/VLOOKUP(B208,Capa!A:Z,13,0))</f>
        <v>0</v>
      </c>
      <c r="G208" s="182">
        <f t="shared" si="2"/>
        <v>1.000001</v>
      </c>
      <c r="H208" s="183" t="str">
        <f t="shared" si="3"/>
        <v>#N/A</v>
      </c>
      <c r="M208" s="178" t="s">
        <v>3477</v>
      </c>
      <c r="N208" s="179" t="str">
        <f>VLOOKUP(M208,'Dados ClubeFII'!$A:$Z,26,0)</f>
        <v>#N/A</v>
      </c>
      <c r="O208" s="185" t="str">
        <f>VLOOKUP(M208,'Dados ClubeFII'!$A:$Z,18,0)/100</f>
        <v>#N/A</v>
      </c>
      <c r="P208" s="186" t="str">
        <f t="shared" si="5"/>
        <v>#N/A</v>
      </c>
      <c r="Q208" s="187">
        <f>IF(ISERROR(1/VLOOKUP(M208,Capa!A:Z,6,0)),0,1/VLOOKUP(M208,Capa!A:Z,6,0))</f>
        <v>0</v>
      </c>
      <c r="R208" s="188">
        <f t="shared" si="6"/>
        <v>1.000001</v>
      </c>
      <c r="S208" s="189" t="str">
        <f t="shared" si="7"/>
        <v>#N/A</v>
      </c>
    </row>
    <row r="209">
      <c r="A209" s="190"/>
      <c r="B209" s="178" t="s">
        <v>3478</v>
      </c>
      <c r="C209" s="179" t="str">
        <f>VLOOKUP(B209,'Dados ClubeFII'!$A:$Z,26,0)</f>
        <v>#N/A</v>
      </c>
      <c r="D209" s="180" t="str">
        <f>VLOOKUP(B209,'Dados ClubeFII'!$A:$Z,20,0)/100</f>
        <v>#N/A</v>
      </c>
      <c r="E209" s="89" t="str">
        <f t="shared" si="1"/>
        <v>#N/A</v>
      </c>
      <c r="F209" s="181">
        <f>IF(ISERROR(1/VLOOKUP(B209,Capa!A:Z,13,0)),0,1/VLOOKUP(B209,Capa!A:Z,13,0))</f>
        <v>0</v>
      </c>
      <c r="G209" s="182">
        <f t="shared" si="2"/>
        <v>1.000001</v>
      </c>
      <c r="H209" s="183" t="str">
        <f t="shared" si="3"/>
        <v>#N/A</v>
      </c>
      <c r="M209" s="178" t="s">
        <v>3478</v>
      </c>
      <c r="N209" s="179" t="str">
        <f>VLOOKUP(M209,'Dados ClubeFII'!$A:$Z,26,0)</f>
        <v>#N/A</v>
      </c>
      <c r="O209" s="185" t="str">
        <f>VLOOKUP(M209,'Dados ClubeFII'!$A:$Z,18,0)/100</f>
        <v>#N/A</v>
      </c>
      <c r="P209" s="186" t="str">
        <f t="shared" si="5"/>
        <v>#N/A</v>
      </c>
      <c r="Q209" s="187">
        <f>IF(ISERROR(1/VLOOKUP(M209,Capa!A:Z,6,0)),0,1/VLOOKUP(M209,Capa!A:Z,6,0))</f>
        <v>0</v>
      </c>
      <c r="R209" s="188">
        <f t="shared" si="6"/>
        <v>1.000001</v>
      </c>
      <c r="S209" s="189" t="str">
        <f t="shared" si="7"/>
        <v>#N/A</v>
      </c>
    </row>
    <row r="210">
      <c r="A210" s="190"/>
      <c r="B210" s="178" t="s">
        <v>3479</v>
      </c>
      <c r="C210" s="179" t="str">
        <f>VLOOKUP(B210,'Dados ClubeFII'!$A:$Z,26,0)</f>
        <v>#N/A</v>
      </c>
      <c r="D210" s="180" t="str">
        <f>VLOOKUP(B210,'Dados ClubeFII'!$A:$Z,20,0)/100</f>
        <v>#N/A</v>
      </c>
      <c r="E210" s="89" t="str">
        <f t="shared" si="1"/>
        <v>#N/A</v>
      </c>
      <c r="F210" s="181">
        <f>IF(ISERROR(1/VLOOKUP(B210,Capa!A:Z,13,0)),0,1/VLOOKUP(B210,Capa!A:Z,13,0))</f>
        <v>0</v>
      </c>
      <c r="G210" s="182">
        <f t="shared" si="2"/>
        <v>1.000001</v>
      </c>
      <c r="H210" s="183" t="str">
        <f t="shared" si="3"/>
        <v>#N/A</v>
      </c>
      <c r="M210" s="178" t="s">
        <v>3479</v>
      </c>
      <c r="N210" s="179" t="str">
        <f>VLOOKUP(M210,'Dados ClubeFII'!$A:$Z,26,0)</f>
        <v>#N/A</v>
      </c>
      <c r="O210" s="185" t="str">
        <f>VLOOKUP(M210,'Dados ClubeFII'!$A:$Z,18,0)/100</f>
        <v>#N/A</v>
      </c>
      <c r="P210" s="186" t="str">
        <f t="shared" si="5"/>
        <v>#N/A</v>
      </c>
      <c r="Q210" s="187">
        <f>IF(ISERROR(1/VLOOKUP(M210,Capa!A:Z,6,0)),0,1/VLOOKUP(M210,Capa!A:Z,6,0))</f>
        <v>0</v>
      </c>
      <c r="R210" s="188">
        <f t="shared" si="6"/>
        <v>1.000001</v>
      </c>
      <c r="S210" s="189" t="str">
        <f t="shared" si="7"/>
        <v>#N/A</v>
      </c>
    </row>
    <row r="211">
      <c r="A211" s="190"/>
      <c r="B211" s="178" t="s">
        <v>3480</v>
      </c>
      <c r="C211" s="179" t="str">
        <f>VLOOKUP(B211,'Dados ClubeFII'!$A:$Z,26,0)</f>
        <v>#N/A</v>
      </c>
      <c r="D211" s="180" t="str">
        <f>VLOOKUP(B211,'Dados ClubeFII'!$A:$Z,20,0)/100</f>
        <v>#N/A</v>
      </c>
      <c r="E211" s="89" t="str">
        <f t="shared" si="1"/>
        <v>#N/A</v>
      </c>
      <c r="F211" s="181">
        <f>IF(ISERROR(1/VLOOKUP(B211,Capa!A:Z,13,0)),0,1/VLOOKUP(B211,Capa!A:Z,13,0))</f>
        <v>0</v>
      </c>
      <c r="G211" s="182">
        <f t="shared" si="2"/>
        <v>1.000001</v>
      </c>
      <c r="H211" s="183" t="str">
        <f t="shared" si="3"/>
        <v>#N/A</v>
      </c>
      <c r="M211" s="178" t="s">
        <v>3480</v>
      </c>
      <c r="N211" s="179" t="str">
        <f>VLOOKUP(M211,'Dados ClubeFII'!$A:$Z,26,0)</f>
        <v>#N/A</v>
      </c>
      <c r="O211" s="185" t="str">
        <f>VLOOKUP(M211,'Dados ClubeFII'!$A:$Z,18,0)/100</f>
        <v>#N/A</v>
      </c>
      <c r="P211" s="186" t="str">
        <f t="shared" si="5"/>
        <v>#N/A</v>
      </c>
      <c r="Q211" s="187">
        <f>IF(ISERROR(1/VLOOKUP(M211,Capa!A:Z,6,0)),0,1/VLOOKUP(M211,Capa!A:Z,6,0))</f>
        <v>0</v>
      </c>
      <c r="R211" s="188">
        <f t="shared" si="6"/>
        <v>1.000001</v>
      </c>
      <c r="S211" s="189" t="str">
        <f t="shared" si="7"/>
        <v>#N/A</v>
      </c>
    </row>
    <row r="212">
      <c r="A212" s="190"/>
      <c r="B212" s="178" t="s">
        <v>3481</v>
      </c>
      <c r="C212" s="179" t="str">
        <f>VLOOKUP(B212,'Dados ClubeFII'!$A:$Z,26,0)</f>
        <v>#N/A</v>
      </c>
      <c r="D212" s="180" t="str">
        <f>VLOOKUP(B212,'Dados ClubeFII'!$A:$Z,20,0)/100</f>
        <v>#N/A</v>
      </c>
      <c r="E212" s="89" t="str">
        <f t="shared" si="1"/>
        <v>#N/A</v>
      </c>
      <c r="F212" s="181">
        <f>IF(ISERROR(1/VLOOKUP(B212,Capa!A:Z,13,0)),0,1/VLOOKUP(B212,Capa!A:Z,13,0))</f>
        <v>0</v>
      </c>
      <c r="G212" s="182">
        <f t="shared" si="2"/>
        <v>1.000001</v>
      </c>
      <c r="H212" s="183" t="str">
        <f t="shared" si="3"/>
        <v>#N/A</v>
      </c>
      <c r="M212" s="178" t="s">
        <v>3481</v>
      </c>
      <c r="N212" s="179" t="str">
        <f>VLOOKUP(M212,'Dados ClubeFII'!$A:$Z,26,0)</f>
        <v>#N/A</v>
      </c>
      <c r="O212" s="185" t="str">
        <f>VLOOKUP(M212,'Dados ClubeFII'!$A:$Z,18,0)/100</f>
        <v>#N/A</v>
      </c>
      <c r="P212" s="186" t="str">
        <f t="shared" si="5"/>
        <v>#N/A</v>
      </c>
      <c r="Q212" s="187">
        <f>IF(ISERROR(1/VLOOKUP(M212,Capa!A:Z,6,0)),0,1/VLOOKUP(M212,Capa!A:Z,6,0))</f>
        <v>0</v>
      </c>
      <c r="R212" s="188">
        <f t="shared" si="6"/>
        <v>1.000001</v>
      </c>
      <c r="S212" s="189" t="str">
        <f t="shared" si="7"/>
        <v>#N/A</v>
      </c>
    </row>
    <row r="213">
      <c r="A213" s="190"/>
      <c r="B213" s="178" t="s">
        <v>3482</v>
      </c>
      <c r="C213" s="179" t="str">
        <f>VLOOKUP(B213,'Dados ClubeFII'!$A:$Z,26,0)</f>
        <v>#N/A</v>
      </c>
      <c r="D213" s="180" t="str">
        <f>VLOOKUP(B213,'Dados ClubeFII'!$A:$Z,20,0)/100</f>
        <v>#N/A</v>
      </c>
      <c r="E213" s="89" t="str">
        <f t="shared" si="1"/>
        <v>#N/A</v>
      </c>
      <c r="F213" s="181">
        <f>IF(ISERROR(1/VLOOKUP(B213,Capa!A:Z,13,0)),0,1/VLOOKUP(B213,Capa!A:Z,13,0))</f>
        <v>0</v>
      </c>
      <c r="G213" s="182">
        <f t="shared" si="2"/>
        <v>1.000001</v>
      </c>
      <c r="H213" s="183" t="str">
        <f t="shared" si="3"/>
        <v>#N/A</v>
      </c>
      <c r="M213" s="178" t="s">
        <v>3482</v>
      </c>
      <c r="N213" s="179" t="str">
        <f>VLOOKUP(M213,'Dados ClubeFII'!$A:$Z,26,0)</f>
        <v>#N/A</v>
      </c>
      <c r="O213" s="185" t="str">
        <f>VLOOKUP(M213,'Dados ClubeFII'!$A:$Z,18,0)/100</f>
        <v>#N/A</v>
      </c>
      <c r="P213" s="186" t="str">
        <f t="shared" si="5"/>
        <v>#N/A</v>
      </c>
      <c r="Q213" s="187">
        <f>IF(ISERROR(1/VLOOKUP(M213,Capa!A:Z,6,0)),0,1/VLOOKUP(M213,Capa!A:Z,6,0))</f>
        <v>0</v>
      </c>
      <c r="R213" s="188">
        <f t="shared" si="6"/>
        <v>1.000001</v>
      </c>
      <c r="S213" s="189" t="str">
        <f t="shared" si="7"/>
        <v>#N/A</v>
      </c>
    </row>
    <row r="214">
      <c r="A214" s="190"/>
      <c r="B214" s="178" t="s">
        <v>3483</v>
      </c>
      <c r="C214" s="179" t="str">
        <f>VLOOKUP(B214,'Dados ClubeFII'!$A:$Z,26,0)</f>
        <v>#N/A</v>
      </c>
      <c r="D214" s="180" t="str">
        <f>VLOOKUP(B214,'Dados ClubeFII'!$A:$Z,20,0)/100</f>
        <v>#N/A</v>
      </c>
      <c r="E214" s="89" t="str">
        <f t="shared" si="1"/>
        <v>#N/A</v>
      </c>
      <c r="F214" s="181">
        <f>IF(ISERROR(1/VLOOKUP(B214,Capa!A:Z,13,0)),0,1/VLOOKUP(B214,Capa!A:Z,13,0))</f>
        <v>0</v>
      </c>
      <c r="G214" s="182">
        <f t="shared" si="2"/>
        <v>1.000001</v>
      </c>
      <c r="H214" s="183" t="str">
        <f t="shared" si="3"/>
        <v>#N/A</v>
      </c>
      <c r="M214" s="178" t="s">
        <v>3483</v>
      </c>
      <c r="N214" s="179" t="str">
        <f>VLOOKUP(M214,'Dados ClubeFII'!$A:$Z,26,0)</f>
        <v>#N/A</v>
      </c>
      <c r="O214" s="185" t="str">
        <f>VLOOKUP(M214,'Dados ClubeFII'!$A:$Z,18,0)/100</f>
        <v>#N/A</v>
      </c>
      <c r="P214" s="186" t="str">
        <f t="shared" si="5"/>
        <v>#N/A</v>
      </c>
      <c r="Q214" s="187">
        <f>IF(ISERROR(1/VLOOKUP(M214,Capa!A:Z,6,0)),0,1/VLOOKUP(M214,Capa!A:Z,6,0))</f>
        <v>0</v>
      </c>
      <c r="R214" s="188">
        <f t="shared" si="6"/>
        <v>1.000001</v>
      </c>
      <c r="S214" s="189" t="str">
        <f t="shared" si="7"/>
        <v>#N/A</v>
      </c>
    </row>
    <row r="215">
      <c r="A215" s="190"/>
      <c r="B215" s="178" t="s">
        <v>3484</v>
      </c>
      <c r="C215" s="179" t="str">
        <f>VLOOKUP(B215,'Dados ClubeFII'!$A:$Z,26,0)</f>
        <v>#N/A</v>
      </c>
      <c r="D215" s="180" t="str">
        <f>VLOOKUP(B215,'Dados ClubeFII'!$A:$Z,20,0)/100</f>
        <v>#N/A</v>
      </c>
      <c r="E215" s="89" t="str">
        <f t="shared" si="1"/>
        <v>#N/A</v>
      </c>
      <c r="F215" s="181">
        <f>IF(ISERROR(1/VLOOKUP(B215,Capa!A:Z,13,0)),0,1/VLOOKUP(B215,Capa!A:Z,13,0))</f>
        <v>0</v>
      </c>
      <c r="G215" s="182">
        <f t="shared" si="2"/>
        <v>1.000001</v>
      </c>
      <c r="H215" s="183" t="str">
        <f t="shared" si="3"/>
        <v>#N/A</v>
      </c>
      <c r="M215" s="178" t="s">
        <v>3484</v>
      </c>
      <c r="N215" s="179" t="str">
        <f>VLOOKUP(M215,'Dados ClubeFII'!$A:$Z,26,0)</f>
        <v>#N/A</v>
      </c>
      <c r="O215" s="185" t="str">
        <f>VLOOKUP(M215,'Dados ClubeFII'!$A:$Z,18,0)/100</f>
        <v>#N/A</v>
      </c>
      <c r="P215" s="186" t="str">
        <f t="shared" si="5"/>
        <v>#N/A</v>
      </c>
      <c r="Q215" s="187">
        <f>IF(ISERROR(1/VLOOKUP(M215,Capa!A:Z,6,0)),0,1/VLOOKUP(M215,Capa!A:Z,6,0))</f>
        <v>0</v>
      </c>
      <c r="R215" s="188">
        <f t="shared" si="6"/>
        <v>1.000001</v>
      </c>
      <c r="S215" s="189" t="str">
        <f t="shared" si="7"/>
        <v>#N/A</v>
      </c>
    </row>
    <row r="216">
      <c r="A216" s="190"/>
      <c r="B216" s="178" t="s">
        <v>3485</v>
      </c>
      <c r="C216" s="179" t="str">
        <f>VLOOKUP(B216,'Dados ClubeFII'!$A:$Z,26,0)</f>
        <v>#N/A</v>
      </c>
      <c r="D216" s="180" t="str">
        <f>VLOOKUP(B216,'Dados ClubeFII'!$A:$Z,20,0)/100</f>
        <v>#N/A</v>
      </c>
      <c r="E216" s="89" t="str">
        <f t="shared" si="1"/>
        <v>#N/A</v>
      </c>
      <c r="F216" s="181">
        <f>IF(ISERROR(1/VLOOKUP(B216,Capa!A:Z,13,0)),0,1/VLOOKUP(B216,Capa!A:Z,13,0))</f>
        <v>0</v>
      </c>
      <c r="G216" s="182">
        <f t="shared" si="2"/>
        <v>1.000001</v>
      </c>
      <c r="H216" s="183" t="str">
        <f t="shared" si="3"/>
        <v>#N/A</v>
      </c>
      <c r="M216" s="178" t="s">
        <v>3485</v>
      </c>
      <c r="N216" s="179" t="str">
        <f>VLOOKUP(M216,'Dados ClubeFII'!$A:$Z,26,0)</f>
        <v>#N/A</v>
      </c>
      <c r="O216" s="185" t="str">
        <f>VLOOKUP(M216,'Dados ClubeFII'!$A:$Z,18,0)/100</f>
        <v>#N/A</v>
      </c>
      <c r="P216" s="186" t="str">
        <f t="shared" si="5"/>
        <v>#N/A</v>
      </c>
      <c r="Q216" s="187">
        <f>IF(ISERROR(1/VLOOKUP(M216,Capa!A:Z,6,0)),0,1/VLOOKUP(M216,Capa!A:Z,6,0))</f>
        <v>0</v>
      </c>
      <c r="R216" s="188">
        <f t="shared" si="6"/>
        <v>1.000001</v>
      </c>
      <c r="S216" s="189" t="str">
        <f t="shared" si="7"/>
        <v>#N/A</v>
      </c>
    </row>
    <row r="217">
      <c r="A217" s="190"/>
      <c r="B217" s="178" t="s">
        <v>3486</v>
      </c>
      <c r="C217" s="179" t="str">
        <f>VLOOKUP(B217,'Dados ClubeFII'!$A:$Z,26,0)</f>
        <v>#N/A</v>
      </c>
      <c r="D217" s="180" t="str">
        <f>VLOOKUP(B217,'Dados ClubeFII'!$A:$Z,20,0)/100</f>
        <v>#N/A</v>
      </c>
      <c r="E217" s="89" t="str">
        <f t="shared" si="1"/>
        <v>#N/A</v>
      </c>
      <c r="F217" s="181">
        <f>IF(ISERROR(1/VLOOKUP(B217,Capa!A:Z,13,0)),0,1/VLOOKUP(B217,Capa!A:Z,13,0))</f>
        <v>0</v>
      </c>
      <c r="G217" s="182">
        <f t="shared" si="2"/>
        <v>1.000001</v>
      </c>
      <c r="H217" s="183" t="str">
        <f t="shared" si="3"/>
        <v>#N/A</v>
      </c>
      <c r="M217" s="178" t="s">
        <v>3486</v>
      </c>
      <c r="N217" s="179" t="str">
        <f>VLOOKUP(M217,'Dados ClubeFII'!$A:$Z,26,0)</f>
        <v>#N/A</v>
      </c>
      <c r="O217" s="185" t="str">
        <f>VLOOKUP(M217,'Dados ClubeFII'!$A:$Z,18,0)/100</f>
        <v>#N/A</v>
      </c>
      <c r="P217" s="186" t="str">
        <f t="shared" si="5"/>
        <v>#N/A</v>
      </c>
      <c r="Q217" s="187">
        <f>IF(ISERROR(1/VLOOKUP(M217,Capa!A:Z,6,0)),0,1/VLOOKUP(M217,Capa!A:Z,6,0))</f>
        <v>0</v>
      </c>
      <c r="R217" s="188">
        <f t="shared" si="6"/>
        <v>1.000001</v>
      </c>
      <c r="S217" s="189" t="str">
        <f t="shared" si="7"/>
        <v>#N/A</v>
      </c>
    </row>
    <row r="218">
      <c r="A218" s="190"/>
      <c r="B218" s="178" t="s">
        <v>3487</v>
      </c>
      <c r="C218" s="179" t="str">
        <f>VLOOKUP(B218,'Dados ClubeFII'!$A:$Z,26,0)</f>
        <v>#N/A</v>
      </c>
      <c r="D218" s="180" t="str">
        <f>VLOOKUP(B218,'Dados ClubeFII'!$A:$Z,20,0)/100</f>
        <v>#N/A</v>
      </c>
      <c r="E218" s="89" t="str">
        <f t="shared" si="1"/>
        <v>#N/A</v>
      </c>
      <c r="F218" s="181">
        <f>IF(ISERROR(1/VLOOKUP(B218,Capa!A:Z,13,0)),0,1/VLOOKUP(B218,Capa!A:Z,13,0))</f>
        <v>0</v>
      </c>
      <c r="G218" s="182">
        <f t="shared" si="2"/>
        <v>1.000001</v>
      </c>
      <c r="H218" s="183" t="str">
        <f t="shared" si="3"/>
        <v>#N/A</v>
      </c>
      <c r="M218" s="178" t="s">
        <v>3487</v>
      </c>
      <c r="N218" s="179" t="str">
        <f>VLOOKUP(M218,'Dados ClubeFII'!$A:$Z,26,0)</f>
        <v>#N/A</v>
      </c>
      <c r="O218" s="185" t="str">
        <f>VLOOKUP(M218,'Dados ClubeFII'!$A:$Z,18,0)/100</f>
        <v>#N/A</v>
      </c>
      <c r="P218" s="186" t="str">
        <f t="shared" si="5"/>
        <v>#N/A</v>
      </c>
      <c r="Q218" s="187">
        <f>IF(ISERROR(1/VLOOKUP(M218,Capa!A:Z,6,0)),0,1/VLOOKUP(M218,Capa!A:Z,6,0))</f>
        <v>0</v>
      </c>
      <c r="R218" s="188">
        <f t="shared" si="6"/>
        <v>1.000001</v>
      </c>
      <c r="S218" s="189" t="str">
        <f t="shared" si="7"/>
        <v>#N/A</v>
      </c>
    </row>
    <row r="219">
      <c r="A219" s="190"/>
      <c r="B219" s="178" t="s">
        <v>3488</v>
      </c>
      <c r="C219" s="179" t="str">
        <f>VLOOKUP(B219,'Dados ClubeFII'!$A:$Z,26,0)</f>
        <v>#N/A</v>
      </c>
      <c r="D219" s="180" t="str">
        <f>VLOOKUP(B219,'Dados ClubeFII'!$A:$Z,20,0)/100</f>
        <v>#N/A</v>
      </c>
      <c r="E219" s="89" t="str">
        <f t="shared" si="1"/>
        <v>#N/A</v>
      </c>
      <c r="F219" s="181">
        <f>IF(ISERROR(1/VLOOKUP(B219,Capa!A:Z,13,0)),0,1/VLOOKUP(B219,Capa!A:Z,13,0))</f>
        <v>0</v>
      </c>
      <c r="G219" s="182">
        <f t="shared" si="2"/>
        <v>1.000001</v>
      </c>
      <c r="H219" s="183" t="str">
        <f t="shared" si="3"/>
        <v>#N/A</v>
      </c>
      <c r="M219" s="178" t="s">
        <v>3488</v>
      </c>
      <c r="N219" s="179" t="str">
        <f>VLOOKUP(M219,'Dados ClubeFII'!$A:$Z,26,0)</f>
        <v>#N/A</v>
      </c>
      <c r="O219" s="185" t="str">
        <f>VLOOKUP(M219,'Dados ClubeFII'!$A:$Z,18,0)/100</f>
        <v>#N/A</v>
      </c>
      <c r="P219" s="186" t="str">
        <f t="shared" si="5"/>
        <v>#N/A</v>
      </c>
      <c r="Q219" s="187">
        <f>IF(ISERROR(1/VLOOKUP(M219,Capa!A:Z,6,0)),0,1/VLOOKUP(M219,Capa!A:Z,6,0))</f>
        <v>0</v>
      </c>
      <c r="R219" s="188">
        <f t="shared" si="6"/>
        <v>1.000001</v>
      </c>
      <c r="S219" s="189" t="str">
        <f t="shared" si="7"/>
        <v>#N/A</v>
      </c>
    </row>
    <row r="220">
      <c r="A220" s="190"/>
      <c r="B220" s="178" t="s">
        <v>3489</v>
      </c>
      <c r="C220" s="179" t="str">
        <f>VLOOKUP(B220,'Dados ClubeFII'!$A:$Z,26,0)</f>
        <v>#N/A</v>
      </c>
      <c r="D220" s="180" t="str">
        <f>VLOOKUP(B220,'Dados ClubeFII'!$A:$Z,20,0)/100</f>
        <v>#N/A</v>
      </c>
      <c r="E220" s="89" t="str">
        <f t="shared" si="1"/>
        <v>#N/A</v>
      </c>
      <c r="F220" s="181">
        <f>IF(ISERROR(1/VLOOKUP(B220,Capa!A:Z,13,0)),0,1/VLOOKUP(B220,Capa!A:Z,13,0))</f>
        <v>0</v>
      </c>
      <c r="G220" s="182">
        <f t="shared" si="2"/>
        <v>1.000001</v>
      </c>
      <c r="H220" s="183" t="str">
        <f t="shared" si="3"/>
        <v>#N/A</v>
      </c>
      <c r="M220" s="178" t="s">
        <v>3489</v>
      </c>
      <c r="N220" s="179" t="str">
        <f>VLOOKUP(M220,'Dados ClubeFII'!$A:$Z,26,0)</f>
        <v>#N/A</v>
      </c>
      <c r="O220" s="185" t="str">
        <f>VLOOKUP(M220,'Dados ClubeFII'!$A:$Z,18,0)/100</f>
        <v>#N/A</v>
      </c>
      <c r="P220" s="186" t="str">
        <f t="shared" si="5"/>
        <v>#N/A</v>
      </c>
      <c r="Q220" s="187">
        <f>IF(ISERROR(1/VLOOKUP(M220,Capa!A:Z,6,0)),0,1/VLOOKUP(M220,Capa!A:Z,6,0))</f>
        <v>0</v>
      </c>
      <c r="R220" s="188">
        <f t="shared" si="6"/>
        <v>1.000001</v>
      </c>
      <c r="S220" s="189" t="str">
        <f t="shared" si="7"/>
        <v>#N/A</v>
      </c>
    </row>
    <row r="221">
      <c r="A221" s="190"/>
      <c r="B221" s="178" t="s">
        <v>3490</v>
      </c>
      <c r="C221" s="179" t="str">
        <f>VLOOKUP(B221,'Dados ClubeFII'!$A:$Z,26,0)</f>
        <v>#N/A</v>
      </c>
      <c r="D221" s="180" t="str">
        <f>VLOOKUP(B221,'Dados ClubeFII'!$A:$Z,20,0)/100</f>
        <v>#N/A</v>
      </c>
      <c r="E221" s="89" t="str">
        <f t="shared" si="1"/>
        <v>#N/A</v>
      </c>
      <c r="F221" s="181">
        <f>IF(ISERROR(1/VLOOKUP(B221,Capa!A:Z,13,0)),0,1/VLOOKUP(B221,Capa!A:Z,13,0))</f>
        <v>0</v>
      </c>
      <c r="G221" s="182">
        <f t="shared" si="2"/>
        <v>1.000001</v>
      </c>
      <c r="H221" s="183" t="str">
        <f t="shared" si="3"/>
        <v>#N/A</v>
      </c>
      <c r="M221" s="178" t="s">
        <v>3490</v>
      </c>
      <c r="N221" s="179" t="str">
        <f>VLOOKUP(M221,'Dados ClubeFII'!$A:$Z,26,0)</f>
        <v>#N/A</v>
      </c>
      <c r="O221" s="185" t="str">
        <f>VLOOKUP(M221,'Dados ClubeFII'!$A:$Z,18,0)/100</f>
        <v>#N/A</v>
      </c>
      <c r="P221" s="186" t="str">
        <f t="shared" si="5"/>
        <v>#N/A</v>
      </c>
      <c r="Q221" s="187">
        <f>IF(ISERROR(1/VLOOKUP(M221,Capa!A:Z,6,0)),0,1/VLOOKUP(M221,Capa!A:Z,6,0))</f>
        <v>0</v>
      </c>
      <c r="R221" s="188">
        <f t="shared" si="6"/>
        <v>1.000001</v>
      </c>
      <c r="S221" s="189" t="str">
        <f t="shared" si="7"/>
        <v>#N/A</v>
      </c>
    </row>
    <row r="222">
      <c r="A222" s="190"/>
      <c r="B222" s="178" t="s">
        <v>3491</v>
      </c>
      <c r="C222" s="179" t="str">
        <f>VLOOKUP(B222,'Dados ClubeFII'!$A:$Z,26,0)</f>
        <v>#N/A</v>
      </c>
      <c r="D222" s="180" t="str">
        <f>VLOOKUP(B222,'Dados ClubeFII'!$A:$Z,20,0)/100</f>
        <v>#N/A</v>
      </c>
      <c r="E222" s="89" t="str">
        <f t="shared" si="1"/>
        <v>#N/A</v>
      </c>
      <c r="F222" s="181">
        <f>IF(ISERROR(1/VLOOKUP(B222,Capa!A:Z,13,0)),0,1/VLOOKUP(B222,Capa!A:Z,13,0))</f>
        <v>0</v>
      </c>
      <c r="G222" s="182">
        <f t="shared" si="2"/>
        <v>1.000001</v>
      </c>
      <c r="H222" s="183" t="str">
        <f t="shared" si="3"/>
        <v>#N/A</v>
      </c>
      <c r="M222" s="178" t="s">
        <v>3491</v>
      </c>
      <c r="N222" s="179" t="str">
        <f>VLOOKUP(M222,'Dados ClubeFII'!$A:$Z,26,0)</f>
        <v>#N/A</v>
      </c>
      <c r="O222" s="185" t="str">
        <f>VLOOKUP(M222,'Dados ClubeFII'!$A:$Z,18,0)/100</f>
        <v>#N/A</v>
      </c>
      <c r="P222" s="186" t="str">
        <f t="shared" si="5"/>
        <v>#N/A</v>
      </c>
      <c r="Q222" s="187">
        <f>IF(ISERROR(1/VLOOKUP(M222,Capa!A:Z,6,0)),0,1/VLOOKUP(M222,Capa!A:Z,6,0))</f>
        <v>0</v>
      </c>
      <c r="R222" s="188">
        <f t="shared" si="6"/>
        <v>1.000001</v>
      </c>
      <c r="S222" s="189" t="str">
        <f t="shared" si="7"/>
        <v>#N/A</v>
      </c>
    </row>
    <row r="223">
      <c r="A223" s="190"/>
      <c r="B223" s="178" t="s">
        <v>3492</v>
      </c>
      <c r="C223" s="179" t="str">
        <f>VLOOKUP(B223,'Dados ClubeFII'!$A:$Z,26,0)</f>
        <v>#N/A</v>
      </c>
      <c r="D223" s="180" t="str">
        <f>VLOOKUP(B223,'Dados ClubeFII'!$A:$Z,20,0)/100</f>
        <v>#N/A</v>
      </c>
      <c r="E223" s="89" t="str">
        <f t="shared" si="1"/>
        <v>#N/A</v>
      </c>
      <c r="F223" s="181">
        <f>IF(ISERROR(1/VLOOKUP(B223,Capa!A:Z,13,0)),0,1/VLOOKUP(B223,Capa!A:Z,13,0))</f>
        <v>0</v>
      </c>
      <c r="G223" s="182">
        <f t="shared" si="2"/>
        <v>1.000001</v>
      </c>
      <c r="H223" s="183" t="str">
        <f t="shared" si="3"/>
        <v>#N/A</v>
      </c>
      <c r="M223" s="178" t="s">
        <v>3492</v>
      </c>
      <c r="N223" s="179" t="str">
        <f>VLOOKUP(M223,'Dados ClubeFII'!$A:$Z,26,0)</f>
        <v>#N/A</v>
      </c>
      <c r="O223" s="185" t="str">
        <f>VLOOKUP(M223,'Dados ClubeFII'!$A:$Z,18,0)/100</f>
        <v>#N/A</v>
      </c>
      <c r="P223" s="186" t="str">
        <f t="shared" si="5"/>
        <v>#N/A</v>
      </c>
      <c r="Q223" s="187">
        <f>IF(ISERROR(1/VLOOKUP(M223,Capa!A:Z,6,0)),0,1/VLOOKUP(M223,Capa!A:Z,6,0))</f>
        <v>0</v>
      </c>
      <c r="R223" s="188">
        <f t="shared" si="6"/>
        <v>1.000001</v>
      </c>
      <c r="S223" s="189" t="str">
        <f t="shared" si="7"/>
        <v>#N/A</v>
      </c>
    </row>
    <row r="224">
      <c r="A224" s="190"/>
      <c r="B224" s="178" t="s">
        <v>3493</v>
      </c>
      <c r="C224" s="179" t="str">
        <f>VLOOKUP(B224,'Dados ClubeFII'!$A:$Z,26,0)</f>
        <v>#N/A</v>
      </c>
      <c r="D224" s="180" t="str">
        <f>VLOOKUP(B224,'Dados ClubeFII'!$A:$Z,20,0)/100</f>
        <v>#N/A</v>
      </c>
      <c r="E224" s="89" t="str">
        <f t="shared" si="1"/>
        <v>#N/A</v>
      </c>
      <c r="F224" s="181">
        <f>IF(ISERROR(1/VLOOKUP(B224,Capa!A:Z,13,0)),0,1/VLOOKUP(B224,Capa!A:Z,13,0))</f>
        <v>0</v>
      </c>
      <c r="G224" s="182">
        <f t="shared" si="2"/>
        <v>1.000001</v>
      </c>
      <c r="H224" s="183" t="str">
        <f t="shared" si="3"/>
        <v>#N/A</v>
      </c>
      <c r="M224" s="178" t="s">
        <v>3493</v>
      </c>
      <c r="N224" s="179" t="str">
        <f>VLOOKUP(M224,'Dados ClubeFII'!$A:$Z,26,0)</f>
        <v>#N/A</v>
      </c>
      <c r="O224" s="185" t="str">
        <f>VLOOKUP(M224,'Dados ClubeFII'!$A:$Z,18,0)/100</f>
        <v>#N/A</v>
      </c>
      <c r="P224" s="186" t="str">
        <f t="shared" si="5"/>
        <v>#N/A</v>
      </c>
      <c r="Q224" s="187">
        <f>IF(ISERROR(1/VLOOKUP(M224,Capa!A:Z,6,0)),0,1/VLOOKUP(M224,Capa!A:Z,6,0))</f>
        <v>0</v>
      </c>
      <c r="R224" s="188">
        <f t="shared" si="6"/>
        <v>1.000001</v>
      </c>
      <c r="S224" s="189" t="str">
        <f t="shared" si="7"/>
        <v>#N/A</v>
      </c>
    </row>
    <row r="225">
      <c r="A225" s="190"/>
      <c r="B225" s="178" t="s">
        <v>3494</v>
      </c>
      <c r="C225" s="179" t="str">
        <f>VLOOKUP(B225,'Dados ClubeFII'!$A:$Z,26,0)</f>
        <v>#N/A</v>
      </c>
      <c r="D225" s="180" t="str">
        <f>VLOOKUP(B225,'Dados ClubeFII'!$A:$Z,20,0)/100</f>
        <v>#N/A</v>
      </c>
      <c r="E225" s="89" t="str">
        <f t="shared" si="1"/>
        <v>#N/A</v>
      </c>
      <c r="F225" s="181">
        <f>IF(ISERROR(1/VLOOKUP(B225,Capa!A:Z,13,0)),0,1/VLOOKUP(B225,Capa!A:Z,13,0))</f>
        <v>0</v>
      </c>
      <c r="G225" s="182">
        <f t="shared" si="2"/>
        <v>1.000001</v>
      </c>
      <c r="H225" s="183" t="str">
        <f t="shared" si="3"/>
        <v>#N/A</v>
      </c>
      <c r="M225" s="178" t="s">
        <v>3494</v>
      </c>
      <c r="N225" s="179" t="str">
        <f>VLOOKUP(M225,'Dados ClubeFII'!$A:$Z,26,0)</f>
        <v>#N/A</v>
      </c>
      <c r="O225" s="185" t="str">
        <f>VLOOKUP(M225,'Dados ClubeFII'!$A:$Z,18,0)/100</f>
        <v>#N/A</v>
      </c>
      <c r="P225" s="186" t="str">
        <f t="shared" si="5"/>
        <v>#N/A</v>
      </c>
      <c r="Q225" s="187">
        <f>IF(ISERROR(1/VLOOKUP(M225,Capa!A:Z,6,0)),0,1/VLOOKUP(M225,Capa!A:Z,6,0))</f>
        <v>0</v>
      </c>
      <c r="R225" s="188">
        <f t="shared" si="6"/>
        <v>1.000001</v>
      </c>
      <c r="S225" s="189" t="str">
        <f t="shared" si="7"/>
        <v>#N/A</v>
      </c>
    </row>
    <row r="226">
      <c r="A226" s="190"/>
      <c r="B226" s="178" t="s">
        <v>3495</v>
      </c>
      <c r="C226" s="179" t="str">
        <f>VLOOKUP(B226,'Dados ClubeFII'!$A:$Z,26,0)</f>
        <v>#N/A</v>
      </c>
      <c r="D226" s="180" t="str">
        <f>VLOOKUP(B226,'Dados ClubeFII'!$A:$Z,20,0)/100</f>
        <v>#N/A</v>
      </c>
      <c r="E226" s="89" t="str">
        <f t="shared" si="1"/>
        <v>#N/A</v>
      </c>
      <c r="F226" s="181">
        <f>IF(ISERROR(1/VLOOKUP(B226,Capa!A:Z,13,0)),0,1/VLOOKUP(B226,Capa!A:Z,13,0))</f>
        <v>0</v>
      </c>
      <c r="G226" s="182">
        <f t="shared" si="2"/>
        <v>1.000001</v>
      </c>
      <c r="H226" s="183" t="str">
        <f t="shared" si="3"/>
        <v>#N/A</v>
      </c>
      <c r="M226" s="178" t="s">
        <v>3495</v>
      </c>
      <c r="N226" s="179" t="str">
        <f>VLOOKUP(M226,'Dados ClubeFII'!$A:$Z,26,0)</f>
        <v>#N/A</v>
      </c>
      <c r="O226" s="185" t="str">
        <f>VLOOKUP(M226,'Dados ClubeFII'!$A:$Z,18,0)/100</f>
        <v>#N/A</v>
      </c>
      <c r="P226" s="186" t="str">
        <f t="shared" si="5"/>
        <v>#N/A</v>
      </c>
      <c r="Q226" s="187">
        <f>IF(ISERROR(1/VLOOKUP(M226,Capa!A:Z,6,0)),0,1/VLOOKUP(M226,Capa!A:Z,6,0))</f>
        <v>0</v>
      </c>
      <c r="R226" s="188">
        <f t="shared" si="6"/>
        <v>1.000001</v>
      </c>
      <c r="S226" s="189" t="str">
        <f t="shared" si="7"/>
        <v>#N/A</v>
      </c>
    </row>
    <row r="227">
      <c r="A227" s="190"/>
      <c r="B227" s="178" t="s">
        <v>3496</v>
      </c>
      <c r="C227" s="179" t="str">
        <f>VLOOKUP(B227,'Dados ClubeFII'!$A:$Z,26,0)</f>
        <v>#N/A</v>
      </c>
      <c r="D227" s="180" t="str">
        <f>VLOOKUP(B227,'Dados ClubeFII'!$A:$Z,20,0)/100</f>
        <v>#N/A</v>
      </c>
      <c r="E227" s="89" t="str">
        <f t="shared" si="1"/>
        <v>#N/A</v>
      </c>
      <c r="F227" s="181">
        <f>IF(ISERROR(1/VLOOKUP(B227,Capa!A:Z,13,0)),0,1/VLOOKUP(B227,Capa!A:Z,13,0))</f>
        <v>0</v>
      </c>
      <c r="G227" s="182">
        <f t="shared" si="2"/>
        <v>1.000001</v>
      </c>
      <c r="H227" s="183" t="str">
        <f t="shared" si="3"/>
        <v>#N/A</v>
      </c>
      <c r="M227" s="178" t="s">
        <v>3496</v>
      </c>
      <c r="N227" s="179" t="str">
        <f>VLOOKUP(M227,'Dados ClubeFII'!$A:$Z,26,0)</f>
        <v>#N/A</v>
      </c>
      <c r="O227" s="185" t="str">
        <f>VLOOKUP(M227,'Dados ClubeFII'!$A:$Z,18,0)/100</f>
        <v>#N/A</v>
      </c>
      <c r="P227" s="186" t="str">
        <f t="shared" si="5"/>
        <v>#N/A</v>
      </c>
      <c r="Q227" s="187">
        <f>IF(ISERROR(1/VLOOKUP(M227,Capa!A:Z,6,0)),0,1/VLOOKUP(M227,Capa!A:Z,6,0))</f>
        <v>0</v>
      </c>
      <c r="R227" s="188">
        <f t="shared" si="6"/>
        <v>1.000001</v>
      </c>
      <c r="S227" s="189" t="str">
        <f t="shared" si="7"/>
        <v>#N/A</v>
      </c>
    </row>
    <row r="228">
      <c r="A228" s="190"/>
      <c r="B228" s="178" t="s">
        <v>3497</v>
      </c>
      <c r="C228" s="179" t="str">
        <f>VLOOKUP(B228,'Dados ClubeFII'!$A:$Z,26,0)</f>
        <v>#N/A</v>
      </c>
      <c r="D228" s="180" t="str">
        <f>VLOOKUP(B228,'Dados ClubeFII'!$A:$Z,20,0)/100</f>
        <v>#N/A</v>
      </c>
      <c r="E228" s="89" t="str">
        <f t="shared" si="1"/>
        <v>#N/A</v>
      </c>
      <c r="F228" s="181">
        <f>IF(ISERROR(1/VLOOKUP(B228,Capa!A:Z,13,0)),0,1/VLOOKUP(B228,Capa!A:Z,13,0))</f>
        <v>0</v>
      </c>
      <c r="G228" s="182">
        <f t="shared" si="2"/>
        <v>1.000001</v>
      </c>
      <c r="H228" s="183" t="str">
        <f t="shared" si="3"/>
        <v>#N/A</v>
      </c>
      <c r="M228" s="178" t="s">
        <v>3497</v>
      </c>
      <c r="N228" s="179" t="str">
        <f>VLOOKUP(M228,'Dados ClubeFII'!$A:$Z,26,0)</f>
        <v>#N/A</v>
      </c>
      <c r="O228" s="185" t="str">
        <f>VLOOKUP(M228,'Dados ClubeFII'!$A:$Z,18,0)/100</f>
        <v>#N/A</v>
      </c>
      <c r="P228" s="186" t="str">
        <f t="shared" si="5"/>
        <v>#N/A</v>
      </c>
      <c r="Q228" s="187">
        <f>IF(ISERROR(1/VLOOKUP(M228,Capa!A:Z,6,0)),0,1/VLOOKUP(M228,Capa!A:Z,6,0))</f>
        <v>0</v>
      </c>
      <c r="R228" s="188">
        <f t="shared" si="6"/>
        <v>1.000001</v>
      </c>
      <c r="S228" s="189" t="str">
        <f t="shared" si="7"/>
        <v>#N/A</v>
      </c>
    </row>
    <row r="229">
      <c r="A229" s="190"/>
      <c r="B229" s="178" t="s">
        <v>3498</v>
      </c>
      <c r="C229" s="179" t="str">
        <f>VLOOKUP(B229,'Dados ClubeFII'!$A:$Z,26,0)</f>
        <v>#N/A</v>
      </c>
      <c r="D229" s="180" t="str">
        <f>VLOOKUP(B229,'Dados ClubeFII'!$A:$Z,20,0)/100</f>
        <v>#N/A</v>
      </c>
      <c r="E229" s="89" t="str">
        <f t="shared" si="1"/>
        <v>#N/A</v>
      </c>
      <c r="F229" s="181">
        <f>IF(ISERROR(1/VLOOKUP(B229,Capa!A:Z,13,0)),0,1/VLOOKUP(B229,Capa!A:Z,13,0))</f>
        <v>0</v>
      </c>
      <c r="G229" s="182">
        <f t="shared" si="2"/>
        <v>1.000001</v>
      </c>
      <c r="H229" s="183" t="str">
        <f t="shared" si="3"/>
        <v>#N/A</v>
      </c>
      <c r="M229" s="178" t="s">
        <v>3498</v>
      </c>
      <c r="N229" s="179" t="str">
        <f>VLOOKUP(M229,'Dados ClubeFII'!$A:$Z,26,0)</f>
        <v>#N/A</v>
      </c>
      <c r="O229" s="185" t="str">
        <f>VLOOKUP(M229,'Dados ClubeFII'!$A:$Z,18,0)/100</f>
        <v>#N/A</v>
      </c>
      <c r="P229" s="186" t="str">
        <f t="shared" si="5"/>
        <v>#N/A</v>
      </c>
      <c r="Q229" s="187">
        <f>IF(ISERROR(1/VLOOKUP(M229,Capa!A:Z,6,0)),0,1/VLOOKUP(M229,Capa!A:Z,6,0))</f>
        <v>0</v>
      </c>
      <c r="R229" s="188">
        <f t="shared" si="6"/>
        <v>1.000001</v>
      </c>
      <c r="S229" s="189" t="str">
        <f t="shared" si="7"/>
        <v>#N/A</v>
      </c>
    </row>
    <row r="230">
      <c r="A230" s="190"/>
      <c r="B230" s="178" t="s">
        <v>3499</v>
      </c>
      <c r="C230" s="179" t="str">
        <f>VLOOKUP(B230,'Dados ClubeFII'!$A:$Z,26,0)</f>
        <v>#N/A</v>
      </c>
      <c r="D230" s="180" t="str">
        <f>VLOOKUP(B230,'Dados ClubeFII'!$A:$Z,20,0)/100</f>
        <v>#N/A</v>
      </c>
      <c r="E230" s="89" t="str">
        <f t="shared" si="1"/>
        <v>#N/A</v>
      </c>
      <c r="F230" s="181">
        <f>IF(ISERROR(1/VLOOKUP(B230,Capa!A:Z,13,0)),0,1/VLOOKUP(B230,Capa!A:Z,13,0))</f>
        <v>0</v>
      </c>
      <c r="G230" s="182">
        <f t="shared" si="2"/>
        <v>1.000001</v>
      </c>
      <c r="H230" s="183" t="str">
        <f t="shared" si="3"/>
        <v>#N/A</v>
      </c>
      <c r="M230" s="178" t="s">
        <v>3499</v>
      </c>
      <c r="N230" s="179" t="str">
        <f>VLOOKUP(M230,'Dados ClubeFII'!$A:$Z,26,0)</f>
        <v>#N/A</v>
      </c>
      <c r="O230" s="185" t="str">
        <f>VLOOKUP(M230,'Dados ClubeFII'!$A:$Z,18,0)/100</f>
        <v>#N/A</v>
      </c>
      <c r="P230" s="186" t="str">
        <f t="shared" si="5"/>
        <v>#N/A</v>
      </c>
      <c r="Q230" s="187">
        <f>IF(ISERROR(1/VLOOKUP(M230,Capa!A:Z,6,0)),0,1/VLOOKUP(M230,Capa!A:Z,6,0))</f>
        <v>0</v>
      </c>
      <c r="R230" s="188">
        <f t="shared" si="6"/>
        <v>1.000001</v>
      </c>
      <c r="S230" s="189" t="str">
        <f t="shared" si="7"/>
        <v>#N/A</v>
      </c>
    </row>
    <row r="231">
      <c r="A231" s="190"/>
      <c r="B231" s="178" t="s">
        <v>3500</v>
      </c>
      <c r="C231" s="179" t="str">
        <f>VLOOKUP(B231,'Dados ClubeFII'!$A:$Z,26,0)</f>
        <v>#N/A</v>
      </c>
      <c r="D231" s="180" t="str">
        <f>VLOOKUP(B231,'Dados ClubeFII'!$A:$Z,20,0)/100</f>
        <v>#N/A</v>
      </c>
      <c r="E231" s="89" t="str">
        <f t="shared" si="1"/>
        <v>#N/A</v>
      </c>
      <c r="F231" s="181">
        <f>IF(ISERROR(1/VLOOKUP(B231,Capa!A:Z,13,0)),0,1/VLOOKUP(B231,Capa!A:Z,13,0))</f>
        <v>0</v>
      </c>
      <c r="G231" s="182">
        <f t="shared" si="2"/>
        <v>1.000001</v>
      </c>
      <c r="H231" s="183" t="str">
        <f t="shared" si="3"/>
        <v>#N/A</v>
      </c>
      <c r="M231" s="178" t="s">
        <v>3500</v>
      </c>
      <c r="N231" s="179" t="str">
        <f>VLOOKUP(M231,'Dados ClubeFII'!$A:$Z,26,0)</f>
        <v>#N/A</v>
      </c>
      <c r="O231" s="185" t="str">
        <f>VLOOKUP(M231,'Dados ClubeFII'!$A:$Z,18,0)/100</f>
        <v>#N/A</v>
      </c>
      <c r="P231" s="186" t="str">
        <f t="shared" si="5"/>
        <v>#N/A</v>
      </c>
      <c r="Q231" s="187">
        <f>IF(ISERROR(1/VLOOKUP(M231,Capa!A:Z,6,0)),0,1/VLOOKUP(M231,Capa!A:Z,6,0))</f>
        <v>0</v>
      </c>
      <c r="R231" s="188">
        <f t="shared" si="6"/>
        <v>1.000001</v>
      </c>
      <c r="S231" s="189" t="str">
        <f t="shared" si="7"/>
        <v>#N/A</v>
      </c>
    </row>
    <row r="232">
      <c r="A232" s="190"/>
      <c r="B232" s="178" t="s">
        <v>3501</v>
      </c>
      <c r="C232" s="179" t="str">
        <f>VLOOKUP(B232,'Dados ClubeFII'!$A:$Z,26,0)</f>
        <v>#N/A</v>
      </c>
      <c r="D232" s="180" t="str">
        <f>VLOOKUP(B232,'Dados ClubeFII'!$A:$Z,20,0)/100</f>
        <v>#N/A</v>
      </c>
      <c r="E232" s="89" t="str">
        <f t="shared" si="1"/>
        <v>#N/A</v>
      </c>
      <c r="F232" s="181">
        <f>IF(ISERROR(1/VLOOKUP(B232,Capa!A:Z,13,0)),0,1/VLOOKUP(B232,Capa!A:Z,13,0))</f>
        <v>0</v>
      </c>
      <c r="G232" s="182">
        <f t="shared" si="2"/>
        <v>1.000001</v>
      </c>
      <c r="H232" s="183" t="str">
        <f t="shared" si="3"/>
        <v>#N/A</v>
      </c>
      <c r="M232" s="178" t="s">
        <v>3501</v>
      </c>
      <c r="N232" s="179" t="str">
        <f>VLOOKUP(M232,'Dados ClubeFII'!$A:$Z,26,0)</f>
        <v>#N/A</v>
      </c>
      <c r="O232" s="185" t="str">
        <f>VLOOKUP(M232,'Dados ClubeFII'!$A:$Z,18,0)/100</f>
        <v>#N/A</v>
      </c>
      <c r="P232" s="186" t="str">
        <f t="shared" si="5"/>
        <v>#N/A</v>
      </c>
      <c r="Q232" s="187">
        <f>IF(ISERROR(1/VLOOKUP(M232,Capa!A:Z,6,0)),0,1/VLOOKUP(M232,Capa!A:Z,6,0))</f>
        <v>0</v>
      </c>
      <c r="R232" s="188">
        <f t="shared" si="6"/>
        <v>1.000001</v>
      </c>
      <c r="S232" s="189" t="str">
        <f t="shared" si="7"/>
        <v>#N/A</v>
      </c>
    </row>
    <row r="233">
      <c r="A233" s="190"/>
      <c r="B233" s="178" t="s">
        <v>3502</v>
      </c>
      <c r="C233" s="179" t="str">
        <f>VLOOKUP(B233,'Dados ClubeFII'!$A:$Z,26,0)</f>
        <v>#N/A</v>
      </c>
      <c r="D233" s="180" t="str">
        <f>VLOOKUP(B233,'Dados ClubeFII'!$A:$Z,20,0)/100</f>
        <v>#N/A</v>
      </c>
      <c r="E233" s="89" t="str">
        <f t="shared" si="1"/>
        <v>#N/A</v>
      </c>
      <c r="F233" s="181">
        <f>IF(ISERROR(1/VLOOKUP(B233,Capa!A:Z,13,0)),0,1/VLOOKUP(B233,Capa!A:Z,13,0))</f>
        <v>0</v>
      </c>
      <c r="G233" s="182">
        <f t="shared" si="2"/>
        <v>1.000001</v>
      </c>
      <c r="H233" s="183" t="str">
        <f t="shared" si="3"/>
        <v>#N/A</v>
      </c>
      <c r="M233" s="178" t="s">
        <v>3502</v>
      </c>
      <c r="N233" s="179" t="str">
        <f>VLOOKUP(M233,'Dados ClubeFII'!$A:$Z,26,0)</f>
        <v>#N/A</v>
      </c>
      <c r="O233" s="185" t="str">
        <f>VLOOKUP(M233,'Dados ClubeFII'!$A:$Z,18,0)/100</f>
        <v>#N/A</v>
      </c>
      <c r="P233" s="186" t="str">
        <f t="shared" si="5"/>
        <v>#N/A</v>
      </c>
      <c r="Q233" s="187">
        <f>IF(ISERROR(1/VLOOKUP(M233,Capa!A:Z,6,0)),0,1/VLOOKUP(M233,Capa!A:Z,6,0))</f>
        <v>0</v>
      </c>
      <c r="R233" s="188">
        <f t="shared" si="6"/>
        <v>1.000001</v>
      </c>
      <c r="S233" s="189" t="str">
        <f t="shared" si="7"/>
        <v>#N/A</v>
      </c>
    </row>
    <row r="234">
      <c r="A234" s="190"/>
      <c r="B234" s="178" t="s">
        <v>3503</v>
      </c>
      <c r="C234" s="179" t="str">
        <f>VLOOKUP(B234,'Dados ClubeFII'!$A:$Z,26,0)</f>
        <v>#N/A</v>
      </c>
      <c r="D234" s="180" t="str">
        <f>VLOOKUP(B234,'Dados ClubeFII'!$A:$Z,20,0)/100</f>
        <v>#N/A</v>
      </c>
      <c r="E234" s="89" t="str">
        <f t="shared" si="1"/>
        <v>#N/A</v>
      </c>
      <c r="F234" s="181">
        <f>IF(ISERROR(1/VLOOKUP(B234,Capa!A:Z,13,0)),0,1/VLOOKUP(B234,Capa!A:Z,13,0))</f>
        <v>0</v>
      </c>
      <c r="G234" s="182">
        <f t="shared" si="2"/>
        <v>1.000001</v>
      </c>
      <c r="H234" s="183" t="str">
        <f t="shared" si="3"/>
        <v>#N/A</v>
      </c>
      <c r="M234" s="178" t="s">
        <v>3503</v>
      </c>
      <c r="N234" s="179" t="str">
        <f>VLOOKUP(M234,'Dados ClubeFII'!$A:$Z,26,0)</f>
        <v>#N/A</v>
      </c>
      <c r="O234" s="185" t="str">
        <f>VLOOKUP(M234,'Dados ClubeFII'!$A:$Z,18,0)/100</f>
        <v>#N/A</v>
      </c>
      <c r="P234" s="186" t="str">
        <f t="shared" si="5"/>
        <v>#N/A</v>
      </c>
      <c r="Q234" s="187">
        <f>IF(ISERROR(1/VLOOKUP(M234,Capa!A:Z,6,0)),0,1/VLOOKUP(M234,Capa!A:Z,6,0))</f>
        <v>0</v>
      </c>
      <c r="R234" s="188">
        <f t="shared" si="6"/>
        <v>1.000001</v>
      </c>
      <c r="S234" s="189" t="str">
        <f t="shared" si="7"/>
        <v>#N/A</v>
      </c>
    </row>
    <row r="235">
      <c r="A235" s="190"/>
      <c r="B235" s="178" t="s">
        <v>3504</v>
      </c>
      <c r="C235" s="179" t="str">
        <f>VLOOKUP(B235,'Dados ClubeFII'!$A:$Z,26,0)</f>
        <v>#N/A</v>
      </c>
      <c r="D235" s="180" t="str">
        <f>VLOOKUP(B235,'Dados ClubeFII'!$A:$Z,20,0)/100</f>
        <v>#N/A</v>
      </c>
      <c r="E235" s="89" t="str">
        <f t="shared" si="1"/>
        <v>#N/A</v>
      </c>
      <c r="F235" s="181">
        <f>IF(ISERROR(1/VLOOKUP(B235,Capa!A:Z,13,0)),0,1/VLOOKUP(B235,Capa!A:Z,13,0))</f>
        <v>0</v>
      </c>
      <c r="G235" s="182">
        <f t="shared" si="2"/>
        <v>1.000001</v>
      </c>
      <c r="H235" s="183" t="str">
        <f t="shared" si="3"/>
        <v>#N/A</v>
      </c>
      <c r="M235" s="178" t="s">
        <v>3504</v>
      </c>
      <c r="N235" s="179" t="str">
        <f>VLOOKUP(M235,'Dados ClubeFII'!$A:$Z,26,0)</f>
        <v>#N/A</v>
      </c>
      <c r="O235" s="185" t="str">
        <f>VLOOKUP(M235,'Dados ClubeFII'!$A:$Z,18,0)/100</f>
        <v>#N/A</v>
      </c>
      <c r="P235" s="186" t="str">
        <f t="shared" si="5"/>
        <v>#N/A</v>
      </c>
      <c r="Q235" s="187">
        <f>IF(ISERROR(1/VLOOKUP(M235,Capa!A:Z,6,0)),0,1/VLOOKUP(M235,Capa!A:Z,6,0))</f>
        <v>0</v>
      </c>
      <c r="R235" s="188">
        <f t="shared" si="6"/>
        <v>1.000001</v>
      </c>
      <c r="S235" s="189" t="str">
        <f t="shared" si="7"/>
        <v>#N/A</v>
      </c>
    </row>
    <row r="236">
      <c r="A236" s="190"/>
      <c r="B236" s="178" t="s">
        <v>3505</v>
      </c>
      <c r="C236" s="179" t="str">
        <f>VLOOKUP(B236,'Dados ClubeFII'!$A:$Z,26,0)</f>
        <v>#N/A</v>
      </c>
      <c r="D236" s="180" t="str">
        <f>VLOOKUP(B236,'Dados ClubeFII'!$A:$Z,20,0)/100</f>
        <v>#N/A</v>
      </c>
      <c r="E236" s="89" t="str">
        <f t="shared" si="1"/>
        <v>#N/A</v>
      </c>
      <c r="F236" s="181">
        <f>IF(ISERROR(1/VLOOKUP(B236,Capa!A:Z,13,0)),0,1/VLOOKUP(B236,Capa!A:Z,13,0))</f>
        <v>0</v>
      </c>
      <c r="G236" s="182">
        <f t="shared" si="2"/>
        <v>1.000001</v>
      </c>
      <c r="H236" s="183" t="str">
        <f t="shared" si="3"/>
        <v>#N/A</v>
      </c>
      <c r="M236" s="178" t="s">
        <v>3505</v>
      </c>
      <c r="N236" s="179" t="str">
        <f>VLOOKUP(M236,'Dados ClubeFII'!$A:$Z,26,0)</f>
        <v>#N/A</v>
      </c>
      <c r="O236" s="185" t="str">
        <f>VLOOKUP(M236,'Dados ClubeFII'!$A:$Z,18,0)/100</f>
        <v>#N/A</v>
      </c>
      <c r="P236" s="186" t="str">
        <f t="shared" si="5"/>
        <v>#N/A</v>
      </c>
      <c r="Q236" s="187">
        <f>IF(ISERROR(1/VLOOKUP(M236,Capa!A:Z,6,0)),0,1/VLOOKUP(M236,Capa!A:Z,6,0))</f>
        <v>0</v>
      </c>
      <c r="R236" s="188">
        <f t="shared" si="6"/>
        <v>1.000001</v>
      </c>
      <c r="S236" s="189" t="str">
        <f t="shared" si="7"/>
        <v>#N/A</v>
      </c>
    </row>
    <row r="237">
      <c r="A237" s="190"/>
      <c r="B237" s="178" t="s">
        <v>3506</v>
      </c>
      <c r="C237" s="179" t="str">
        <f>VLOOKUP(B237,'Dados ClubeFII'!$A:$Z,26,0)</f>
        <v>#N/A</v>
      </c>
      <c r="D237" s="180" t="str">
        <f>VLOOKUP(B237,'Dados ClubeFII'!$A:$Z,20,0)/100</f>
        <v>#N/A</v>
      </c>
      <c r="E237" s="89" t="str">
        <f t="shared" si="1"/>
        <v>#N/A</v>
      </c>
      <c r="F237" s="181">
        <f>IF(ISERROR(1/VLOOKUP(B237,Capa!A:Z,13,0)),0,1/VLOOKUP(B237,Capa!A:Z,13,0))</f>
        <v>0</v>
      </c>
      <c r="G237" s="182">
        <f t="shared" si="2"/>
        <v>1.000001</v>
      </c>
      <c r="H237" s="183" t="str">
        <f t="shared" si="3"/>
        <v>#N/A</v>
      </c>
      <c r="M237" s="178" t="s">
        <v>3506</v>
      </c>
      <c r="N237" s="179" t="str">
        <f>VLOOKUP(M237,'Dados ClubeFII'!$A:$Z,26,0)</f>
        <v>#N/A</v>
      </c>
      <c r="O237" s="185" t="str">
        <f>VLOOKUP(M237,'Dados ClubeFII'!$A:$Z,18,0)/100</f>
        <v>#N/A</v>
      </c>
      <c r="P237" s="186" t="str">
        <f t="shared" si="5"/>
        <v>#N/A</v>
      </c>
      <c r="Q237" s="187">
        <f>IF(ISERROR(1/VLOOKUP(M237,Capa!A:Z,6,0)),0,1/VLOOKUP(M237,Capa!A:Z,6,0))</f>
        <v>0</v>
      </c>
      <c r="R237" s="188">
        <f t="shared" si="6"/>
        <v>1.000001</v>
      </c>
      <c r="S237" s="189" t="str">
        <f t="shared" si="7"/>
        <v>#N/A</v>
      </c>
    </row>
    <row r="238">
      <c r="A238" s="190"/>
      <c r="B238" s="178" t="s">
        <v>3507</v>
      </c>
      <c r="C238" s="179" t="str">
        <f>VLOOKUP(B238,'Dados ClubeFII'!$A:$Z,26,0)</f>
        <v>#N/A</v>
      </c>
      <c r="D238" s="180" t="str">
        <f>VLOOKUP(B238,'Dados ClubeFII'!$A:$Z,20,0)/100</f>
        <v>#N/A</v>
      </c>
      <c r="E238" s="89" t="str">
        <f t="shared" si="1"/>
        <v>#N/A</v>
      </c>
      <c r="F238" s="181">
        <f>IF(ISERROR(1/VLOOKUP(B238,Capa!A:Z,13,0)),0,1/VLOOKUP(B238,Capa!A:Z,13,0))</f>
        <v>0</v>
      </c>
      <c r="G238" s="182">
        <f t="shared" si="2"/>
        <v>1.000001</v>
      </c>
      <c r="H238" s="183" t="str">
        <f t="shared" si="3"/>
        <v>#N/A</v>
      </c>
      <c r="M238" s="178" t="s">
        <v>3507</v>
      </c>
      <c r="N238" s="179" t="str">
        <f>VLOOKUP(M238,'Dados ClubeFII'!$A:$Z,26,0)</f>
        <v>#N/A</v>
      </c>
      <c r="O238" s="185" t="str">
        <f>VLOOKUP(M238,'Dados ClubeFII'!$A:$Z,18,0)/100</f>
        <v>#N/A</v>
      </c>
      <c r="P238" s="186" t="str">
        <f t="shared" si="5"/>
        <v>#N/A</v>
      </c>
      <c r="Q238" s="187">
        <f>IF(ISERROR(1/VLOOKUP(M238,Capa!A:Z,6,0)),0,1/VLOOKUP(M238,Capa!A:Z,6,0))</f>
        <v>0</v>
      </c>
      <c r="R238" s="188">
        <f t="shared" si="6"/>
        <v>1.000001</v>
      </c>
      <c r="S238" s="189" t="str">
        <f t="shared" si="7"/>
        <v>#N/A</v>
      </c>
    </row>
    <row r="239">
      <c r="A239" s="190"/>
      <c r="B239" s="178" t="s">
        <v>3508</v>
      </c>
      <c r="C239" s="179" t="str">
        <f>VLOOKUP(B239,'Dados ClubeFII'!$A:$Z,26,0)</f>
        <v>#N/A</v>
      </c>
      <c r="D239" s="180" t="str">
        <f>VLOOKUP(B239,'Dados ClubeFII'!$A:$Z,20,0)/100</f>
        <v>#N/A</v>
      </c>
      <c r="E239" s="89" t="str">
        <f t="shared" si="1"/>
        <v>#N/A</v>
      </c>
      <c r="F239" s="181">
        <f>IF(ISERROR(1/VLOOKUP(B239,Capa!A:Z,13,0)),0,1/VLOOKUP(B239,Capa!A:Z,13,0))</f>
        <v>0</v>
      </c>
      <c r="G239" s="182">
        <f t="shared" si="2"/>
        <v>1.000001</v>
      </c>
      <c r="H239" s="183" t="str">
        <f t="shared" si="3"/>
        <v>#N/A</v>
      </c>
      <c r="M239" s="178" t="s">
        <v>3508</v>
      </c>
      <c r="N239" s="179" t="str">
        <f>VLOOKUP(M239,'Dados ClubeFII'!$A:$Z,26,0)</f>
        <v>#N/A</v>
      </c>
      <c r="O239" s="185" t="str">
        <f>VLOOKUP(M239,'Dados ClubeFII'!$A:$Z,18,0)/100</f>
        <v>#N/A</v>
      </c>
      <c r="P239" s="186" t="str">
        <f t="shared" si="5"/>
        <v>#N/A</v>
      </c>
      <c r="Q239" s="187">
        <f>IF(ISERROR(1/VLOOKUP(M239,Capa!A:Z,6,0)),0,1/VLOOKUP(M239,Capa!A:Z,6,0))</f>
        <v>0</v>
      </c>
      <c r="R239" s="188">
        <f t="shared" si="6"/>
        <v>1.000001</v>
      </c>
      <c r="S239" s="189" t="str">
        <f t="shared" si="7"/>
        <v>#N/A</v>
      </c>
    </row>
    <row r="240">
      <c r="A240" s="190"/>
      <c r="B240" s="178" t="s">
        <v>3509</v>
      </c>
      <c r="C240" s="179" t="str">
        <f>VLOOKUP(B240,'Dados ClubeFII'!$A:$Z,26,0)</f>
        <v>#N/A</v>
      </c>
      <c r="D240" s="180" t="str">
        <f>VLOOKUP(B240,'Dados ClubeFII'!$A:$Z,20,0)/100</f>
        <v>#N/A</v>
      </c>
      <c r="E240" s="89" t="str">
        <f t="shared" si="1"/>
        <v>#N/A</v>
      </c>
      <c r="F240" s="181">
        <f>IF(ISERROR(1/VLOOKUP(B240,Capa!A:Z,13,0)),0,1/VLOOKUP(B240,Capa!A:Z,13,0))</f>
        <v>0</v>
      </c>
      <c r="G240" s="182">
        <f t="shared" si="2"/>
        <v>1.000001</v>
      </c>
      <c r="H240" s="183" t="str">
        <f t="shared" si="3"/>
        <v>#N/A</v>
      </c>
      <c r="M240" s="178" t="s">
        <v>3509</v>
      </c>
      <c r="N240" s="179" t="str">
        <f>VLOOKUP(M240,'Dados ClubeFII'!$A:$Z,26,0)</f>
        <v>#N/A</v>
      </c>
      <c r="O240" s="185" t="str">
        <f>VLOOKUP(M240,'Dados ClubeFII'!$A:$Z,18,0)/100</f>
        <v>#N/A</v>
      </c>
      <c r="P240" s="186" t="str">
        <f t="shared" si="5"/>
        <v>#N/A</v>
      </c>
      <c r="Q240" s="187">
        <f>IF(ISERROR(1/VLOOKUP(M240,Capa!A:Z,6,0)),0,1/VLOOKUP(M240,Capa!A:Z,6,0))</f>
        <v>0</v>
      </c>
      <c r="R240" s="188">
        <f t="shared" si="6"/>
        <v>1.000001</v>
      </c>
      <c r="S240" s="189" t="str">
        <f t="shared" si="7"/>
        <v>#N/A</v>
      </c>
    </row>
    <row r="241">
      <c r="A241" s="190"/>
      <c r="B241" s="178" t="s">
        <v>3510</v>
      </c>
      <c r="C241" s="179" t="str">
        <f>VLOOKUP(B241,'Dados ClubeFII'!$A:$Z,26,0)</f>
        <v>#N/A</v>
      </c>
      <c r="D241" s="180" t="str">
        <f>VLOOKUP(B241,'Dados ClubeFII'!$A:$Z,20,0)/100</f>
        <v>#N/A</v>
      </c>
      <c r="E241" s="89" t="str">
        <f t="shared" si="1"/>
        <v>#N/A</v>
      </c>
      <c r="F241" s="181">
        <f>IF(ISERROR(1/VLOOKUP(B241,Capa!A:Z,13,0)),0,1/VLOOKUP(B241,Capa!A:Z,13,0))</f>
        <v>0</v>
      </c>
      <c r="G241" s="182">
        <f t="shared" si="2"/>
        <v>1.000001</v>
      </c>
      <c r="H241" s="183" t="str">
        <f t="shared" si="3"/>
        <v>#N/A</v>
      </c>
      <c r="M241" s="178" t="s">
        <v>3510</v>
      </c>
      <c r="N241" s="179" t="str">
        <f>VLOOKUP(M241,'Dados ClubeFII'!$A:$Z,26,0)</f>
        <v>#N/A</v>
      </c>
      <c r="O241" s="185" t="str">
        <f>VLOOKUP(M241,'Dados ClubeFII'!$A:$Z,18,0)/100</f>
        <v>#N/A</v>
      </c>
      <c r="P241" s="186" t="str">
        <f t="shared" si="5"/>
        <v>#N/A</v>
      </c>
      <c r="Q241" s="187">
        <f>IF(ISERROR(1/VLOOKUP(M241,Capa!A:Z,6,0)),0,1/VLOOKUP(M241,Capa!A:Z,6,0))</f>
        <v>0</v>
      </c>
      <c r="R241" s="188">
        <f t="shared" si="6"/>
        <v>1.000001</v>
      </c>
      <c r="S241" s="189" t="str">
        <f t="shared" si="7"/>
        <v>#N/A</v>
      </c>
    </row>
    <row r="242">
      <c r="A242" s="190"/>
      <c r="B242" s="178" t="s">
        <v>3511</v>
      </c>
      <c r="C242" s="179" t="str">
        <f>VLOOKUP(B242,'Dados ClubeFII'!$A:$Z,26,0)</f>
        <v>#N/A</v>
      </c>
      <c r="D242" s="180" t="str">
        <f>VLOOKUP(B242,'Dados ClubeFII'!$A:$Z,20,0)/100</f>
        <v>#N/A</v>
      </c>
      <c r="E242" s="89" t="str">
        <f t="shared" si="1"/>
        <v>#N/A</v>
      </c>
      <c r="F242" s="181">
        <f>IF(ISERROR(1/VLOOKUP(B242,Capa!A:Z,13,0)),0,1/VLOOKUP(B242,Capa!A:Z,13,0))</f>
        <v>0</v>
      </c>
      <c r="G242" s="182">
        <f t="shared" si="2"/>
        <v>1.000001</v>
      </c>
      <c r="H242" s="183" t="str">
        <f t="shared" si="3"/>
        <v>#N/A</v>
      </c>
      <c r="M242" s="178" t="s">
        <v>3511</v>
      </c>
      <c r="N242" s="179" t="str">
        <f>VLOOKUP(M242,'Dados ClubeFII'!$A:$Z,26,0)</f>
        <v>#N/A</v>
      </c>
      <c r="O242" s="185" t="str">
        <f>VLOOKUP(M242,'Dados ClubeFII'!$A:$Z,18,0)/100</f>
        <v>#N/A</v>
      </c>
      <c r="P242" s="186" t="str">
        <f t="shared" si="5"/>
        <v>#N/A</v>
      </c>
      <c r="Q242" s="187">
        <f>IF(ISERROR(1/VLOOKUP(M242,Capa!A:Z,6,0)),0,1/VLOOKUP(M242,Capa!A:Z,6,0))</f>
        <v>0</v>
      </c>
      <c r="R242" s="188">
        <f t="shared" si="6"/>
        <v>1.000001</v>
      </c>
      <c r="S242" s="189" t="str">
        <f t="shared" si="7"/>
        <v>#N/A</v>
      </c>
    </row>
    <row r="243">
      <c r="A243" s="190"/>
      <c r="B243" s="178" t="s">
        <v>3512</v>
      </c>
      <c r="C243" s="179" t="str">
        <f>VLOOKUP(B243,'Dados ClubeFII'!$A:$Z,26,0)</f>
        <v>#N/A</v>
      </c>
      <c r="D243" s="180" t="str">
        <f>VLOOKUP(B243,'Dados ClubeFII'!$A:$Z,20,0)/100</f>
        <v>#N/A</v>
      </c>
      <c r="E243" s="89" t="str">
        <f t="shared" si="1"/>
        <v>#N/A</v>
      </c>
      <c r="F243" s="181">
        <f>IF(ISERROR(1/VLOOKUP(B243,Capa!A:Z,13,0)),0,1/VLOOKUP(B243,Capa!A:Z,13,0))</f>
        <v>0</v>
      </c>
      <c r="G243" s="182">
        <f t="shared" si="2"/>
        <v>1.000001</v>
      </c>
      <c r="H243" s="183" t="str">
        <f t="shared" si="3"/>
        <v>#N/A</v>
      </c>
      <c r="M243" s="178" t="s">
        <v>3512</v>
      </c>
      <c r="N243" s="179" t="str">
        <f>VLOOKUP(M243,'Dados ClubeFII'!$A:$Z,26,0)</f>
        <v>#N/A</v>
      </c>
      <c r="O243" s="185" t="str">
        <f>VLOOKUP(M243,'Dados ClubeFII'!$A:$Z,18,0)/100</f>
        <v>#N/A</v>
      </c>
      <c r="P243" s="186" t="str">
        <f t="shared" si="5"/>
        <v>#N/A</v>
      </c>
      <c r="Q243" s="187">
        <f>IF(ISERROR(1/VLOOKUP(M243,Capa!A:Z,6,0)),0,1/VLOOKUP(M243,Capa!A:Z,6,0))</f>
        <v>0</v>
      </c>
      <c r="R243" s="188">
        <f t="shared" si="6"/>
        <v>1.000001</v>
      </c>
      <c r="S243" s="189" t="str">
        <f t="shared" si="7"/>
        <v>#N/A</v>
      </c>
    </row>
    <row r="244">
      <c r="A244" s="190"/>
      <c r="B244" s="178" t="s">
        <v>3513</v>
      </c>
      <c r="C244" s="179" t="str">
        <f>VLOOKUP(B244,'Dados ClubeFII'!$A:$Z,26,0)</f>
        <v>#N/A</v>
      </c>
      <c r="D244" s="180" t="str">
        <f>VLOOKUP(B244,'Dados ClubeFII'!$A:$Z,20,0)/100</f>
        <v>#N/A</v>
      </c>
      <c r="E244" s="89" t="str">
        <f t="shared" si="1"/>
        <v>#N/A</v>
      </c>
      <c r="F244" s="181">
        <f>IF(ISERROR(1/VLOOKUP(B244,Capa!A:Z,13,0)),0,1/VLOOKUP(B244,Capa!A:Z,13,0))</f>
        <v>0</v>
      </c>
      <c r="G244" s="182">
        <f t="shared" si="2"/>
        <v>1.000001</v>
      </c>
      <c r="H244" s="183" t="str">
        <f t="shared" si="3"/>
        <v>#N/A</v>
      </c>
      <c r="M244" s="178" t="s">
        <v>3513</v>
      </c>
      <c r="N244" s="179" t="str">
        <f>VLOOKUP(M244,'Dados ClubeFII'!$A:$Z,26,0)</f>
        <v>#N/A</v>
      </c>
      <c r="O244" s="185" t="str">
        <f>VLOOKUP(M244,'Dados ClubeFII'!$A:$Z,18,0)/100</f>
        <v>#N/A</v>
      </c>
      <c r="P244" s="186" t="str">
        <f t="shared" si="5"/>
        <v>#N/A</v>
      </c>
      <c r="Q244" s="187">
        <f>IF(ISERROR(1/VLOOKUP(M244,Capa!A:Z,6,0)),0,1/VLOOKUP(M244,Capa!A:Z,6,0))</f>
        <v>0</v>
      </c>
      <c r="R244" s="188">
        <f t="shared" si="6"/>
        <v>1.000001</v>
      </c>
      <c r="S244" s="189" t="str">
        <f t="shared" si="7"/>
        <v>#N/A</v>
      </c>
    </row>
    <row r="245">
      <c r="A245" s="190"/>
      <c r="B245" s="178" t="s">
        <v>3514</v>
      </c>
      <c r="C245" s="179" t="str">
        <f>VLOOKUP(B245,'Dados ClubeFII'!$A:$Z,26,0)</f>
        <v>#N/A</v>
      </c>
      <c r="D245" s="180" t="str">
        <f>VLOOKUP(B245,'Dados ClubeFII'!$A:$Z,20,0)/100</f>
        <v>#N/A</v>
      </c>
      <c r="E245" s="89" t="str">
        <f t="shared" si="1"/>
        <v>#N/A</v>
      </c>
      <c r="F245" s="181">
        <f>IF(ISERROR(1/VLOOKUP(B245,Capa!A:Z,13,0)),0,1/VLOOKUP(B245,Capa!A:Z,13,0))</f>
        <v>0</v>
      </c>
      <c r="G245" s="182">
        <f t="shared" si="2"/>
        <v>1.000001</v>
      </c>
      <c r="H245" s="183" t="str">
        <f t="shared" si="3"/>
        <v>#N/A</v>
      </c>
      <c r="M245" s="178" t="s">
        <v>3514</v>
      </c>
      <c r="N245" s="179" t="str">
        <f>VLOOKUP(M245,'Dados ClubeFII'!$A:$Z,26,0)</f>
        <v>#N/A</v>
      </c>
      <c r="O245" s="185" t="str">
        <f>VLOOKUP(M245,'Dados ClubeFII'!$A:$Z,18,0)/100</f>
        <v>#N/A</v>
      </c>
      <c r="P245" s="186" t="str">
        <f t="shared" si="5"/>
        <v>#N/A</v>
      </c>
      <c r="Q245" s="187">
        <f>IF(ISERROR(1/VLOOKUP(M245,Capa!A:Z,6,0)),0,1/VLOOKUP(M245,Capa!A:Z,6,0))</f>
        <v>0</v>
      </c>
      <c r="R245" s="188">
        <f t="shared" si="6"/>
        <v>1.000001</v>
      </c>
      <c r="S245" s="189" t="str">
        <f t="shared" si="7"/>
        <v>#N/A</v>
      </c>
    </row>
    <row r="246">
      <c r="A246" s="190"/>
      <c r="B246" s="178" t="s">
        <v>3515</v>
      </c>
      <c r="C246" s="179" t="str">
        <f>VLOOKUP(B246,'Dados ClubeFII'!$A:$Z,26,0)</f>
        <v>#N/A</v>
      </c>
      <c r="D246" s="180" t="str">
        <f>VLOOKUP(B246,'Dados ClubeFII'!$A:$Z,20,0)/100</f>
        <v>#N/A</v>
      </c>
      <c r="E246" s="89" t="str">
        <f t="shared" si="1"/>
        <v>#N/A</v>
      </c>
      <c r="F246" s="181">
        <f>IF(ISERROR(1/VLOOKUP(B246,Capa!A:Z,13,0)),0,1/VLOOKUP(B246,Capa!A:Z,13,0))</f>
        <v>0</v>
      </c>
      <c r="G246" s="182">
        <f t="shared" si="2"/>
        <v>1.000001</v>
      </c>
      <c r="H246" s="183" t="str">
        <f t="shared" si="3"/>
        <v>#N/A</v>
      </c>
      <c r="M246" s="178" t="s">
        <v>3515</v>
      </c>
      <c r="N246" s="179" t="str">
        <f>VLOOKUP(M246,'Dados ClubeFII'!$A:$Z,26,0)</f>
        <v>#N/A</v>
      </c>
      <c r="O246" s="185" t="str">
        <f>VLOOKUP(M246,'Dados ClubeFII'!$A:$Z,18,0)/100</f>
        <v>#N/A</v>
      </c>
      <c r="P246" s="186" t="str">
        <f t="shared" si="5"/>
        <v>#N/A</v>
      </c>
      <c r="Q246" s="187">
        <f>IF(ISERROR(1/VLOOKUP(M246,Capa!A:Z,6,0)),0,1/VLOOKUP(M246,Capa!A:Z,6,0))</f>
        <v>0</v>
      </c>
      <c r="R246" s="188">
        <f t="shared" si="6"/>
        <v>1.000001</v>
      </c>
      <c r="S246" s="189" t="str">
        <f t="shared" si="7"/>
        <v>#N/A</v>
      </c>
    </row>
    <row r="247">
      <c r="A247" s="190"/>
      <c r="B247" s="178" t="s">
        <v>3516</v>
      </c>
      <c r="C247" s="179" t="str">
        <f>VLOOKUP(B247,'Dados ClubeFII'!$A:$Z,26,0)</f>
        <v>#N/A</v>
      </c>
      <c r="D247" s="180" t="str">
        <f>VLOOKUP(B247,'Dados ClubeFII'!$A:$Z,20,0)/100</f>
        <v>#N/A</v>
      </c>
      <c r="E247" s="89" t="str">
        <f t="shared" si="1"/>
        <v>#N/A</v>
      </c>
      <c r="F247" s="181">
        <f>IF(ISERROR(1/VLOOKUP(B247,Capa!A:Z,13,0)),0,1/VLOOKUP(B247,Capa!A:Z,13,0))</f>
        <v>0</v>
      </c>
      <c r="G247" s="182">
        <f t="shared" si="2"/>
        <v>1.000001</v>
      </c>
      <c r="H247" s="183" t="str">
        <f t="shared" si="3"/>
        <v>#N/A</v>
      </c>
      <c r="M247" s="178" t="s">
        <v>3516</v>
      </c>
      <c r="N247" s="179" t="str">
        <f>VLOOKUP(M247,'Dados ClubeFII'!$A:$Z,26,0)</f>
        <v>#N/A</v>
      </c>
      <c r="O247" s="185" t="str">
        <f>VLOOKUP(M247,'Dados ClubeFII'!$A:$Z,18,0)/100</f>
        <v>#N/A</v>
      </c>
      <c r="P247" s="186" t="str">
        <f t="shared" si="5"/>
        <v>#N/A</v>
      </c>
      <c r="Q247" s="187">
        <f>IF(ISERROR(1/VLOOKUP(M247,Capa!A:Z,6,0)),0,1/VLOOKUP(M247,Capa!A:Z,6,0))</f>
        <v>0</v>
      </c>
      <c r="R247" s="188">
        <f t="shared" si="6"/>
        <v>1.000001</v>
      </c>
      <c r="S247" s="189" t="str">
        <f t="shared" si="7"/>
        <v>#N/A</v>
      </c>
    </row>
    <row r="248">
      <c r="A248" s="190"/>
      <c r="B248" s="178" t="s">
        <v>3517</v>
      </c>
      <c r="C248" s="179" t="str">
        <f>VLOOKUP(B248,'Dados ClubeFII'!$A:$Z,26,0)</f>
        <v>#N/A</v>
      </c>
      <c r="D248" s="180" t="str">
        <f>VLOOKUP(B248,'Dados ClubeFII'!$A:$Z,20,0)/100</f>
        <v>#N/A</v>
      </c>
      <c r="E248" s="89" t="str">
        <f t="shared" si="1"/>
        <v>#N/A</v>
      </c>
      <c r="F248" s="181">
        <f>IF(ISERROR(1/VLOOKUP(B248,Capa!A:Z,13,0)),0,1/VLOOKUP(B248,Capa!A:Z,13,0))</f>
        <v>0</v>
      </c>
      <c r="G248" s="182">
        <f t="shared" si="2"/>
        <v>1.000001</v>
      </c>
      <c r="H248" s="183" t="str">
        <f t="shared" si="3"/>
        <v>#N/A</v>
      </c>
      <c r="M248" s="178" t="s">
        <v>3517</v>
      </c>
      <c r="N248" s="179" t="str">
        <f>VLOOKUP(M248,'Dados ClubeFII'!$A:$Z,26,0)</f>
        <v>#N/A</v>
      </c>
      <c r="O248" s="185" t="str">
        <f>VLOOKUP(M248,'Dados ClubeFII'!$A:$Z,18,0)/100</f>
        <v>#N/A</v>
      </c>
      <c r="P248" s="186" t="str">
        <f t="shared" si="5"/>
        <v>#N/A</v>
      </c>
      <c r="Q248" s="187">
        <f>IF(ISERROR(1/VLOOKUP(M248,Capa!A:Z,6,0)),0,1/VLOOKUP(M248,Capa!A:Z,6,0))</f>
        <v>0</v>
      </c>
      <c r="R248" s="188">
        <f t="shared" si="6"/>
        <v>1.000001</v>
      </c>
      <c r="S248" s="189" t="str">
        <f t="shared" si="7"/>
        <v>#N/A</v>
      </c>
    </row>
    <row r="249">
      <c r="A249" s="190"/>
      <c r="B249" s="178" t="s">
        <v>3518</v>
      </c>
      <c r="C249" s="179" t="str">
        <f>VLOOKUP(B249,'Dados ClubeFII'!$A:$Z,26,0)</f>
        <v>#N/A</v>
      </c>
      <c r="D249" s="180" t="str">
        <f>VLOOKUP(B249,'Dados ClubeFII'!$A:$Z,20,0)/100</f>
        <v>#N/A</v>
      </c>
      <c r="E249" s="89" t="str">
        <f t="shared" si="1"/>
        <v>#N/A</v>
      </c>
      <c r="F249" s="181">
        <f>IF(ISERROR(1/VLOOKUP(B249,Capa!A:Z,13,0)),0,1/VLOOKUP(B249,Capa!A:Z,13,0))</f>
        <v>0</v>
      </c>
      <c r="G249" s="182">
        <f t="shared" si="2"/>
        <v>1.000001</v>
      </c>
      <c r="H249" s="183" t="str">
        <f t="shared" si="3"/>
        <v>#N/A</v>
      </c>
      <c r="M249" s="178" t="s">
        <v>3518</v>
      </c>
      <c r="N249" s="179" t="str">
        <f>VLOOKUP(M249,'Dados ClubeFII'!$A:$Z,26,0)</f>
        <v>#N/A</v>
      </c>
      <c r="O249" s="185" t="str">
        <f>VLOOKUP(M249,'Dados ClubeFII'!$A:$Z,18,0)/100</f>
        <v>#N/A</v>
      </c>
      <c r="P249" s="186" t="str">
        <f t="shared" si="5"/>
        <v>#N/A</v>
      </c>
      <c r="Q249" s="187">
        <f>IF(ISERROR(1/VLOOKUP(M249,Capa!A:Z,6,0)),0,1/VLOOKUP(M249,Capa!A:Z,6,0))</f>
        <v>0</v>
      </c>
      <c r="R249" s="188">
        <f t="shared" si="6"/>
        <v>1.000001</v>
      </c>
      <c r="S249" s="189" t="str">
        <f t="shared" si="7"/>
        <v>#N/A</v>
      </c>
    </row>
    <row r="250">
      <c r="A250" s="190"/>
      <c r="B250" s="178" t="s">
        <v>3519</v>
      </c>
      <c r="C250" s="179" t="str">
        <f>VLOOKUP(B250,'Dados ClubeFII'!$A:$Z,26,0)</f>
        <v>#N/A</v>
      </c>
      <c r="D250" s="180" t="str">
        <f>VLOOKUP(B250,'Dados ClubeFII'!$A:$Z,20,0)/100</f>
        <v>#N/A</v>
      </c>
      <c r="E250" s="89" t="str">
        <f t="shared" si="1"/>
        <v>#N/A</v>
      </c>
      <c r="F250" s="181">
        <f>IF(ISERROR(1/VLOOKUP(B250,Capa!A:Z,13,0)),0,1/VLOOKUP(B250,Capa!A:Z,13,0))</f>
        <v>0</v>
      </c>
      <c r="G250" s="182">
        <f t="shared" si="2"/>
        <v>1.000001</v>
      </c>
      <c r="H250" s="183" t="str">
        <f t="shared" si="3"/>
        <v>#N/A</v>
      </c>
      <c r="M250" s="178" t="s">
        <v>3519</v>
      </c>
      <c r="N250" s="179" t="str">
        <f>VLOOKUP(M250,'Dados ClubeFII'!$A:$Z,26,0)</f>
        <v>#N/A</v>
      </c>
      <c r="O250" s="185" t="str">
        <f>VLOOKUP(M250,'Dados ClubeFII'!$A:$Z,18,0)/100</f>
        <v>#N/A</v>
      </c>
      <c r="P250" s="186" t="str">
        <f t="shared" si="5"/>
        <v>#N/A</v>
      </c>
      <c r="Q250" s="187">
        <f>IF(ISERROR(1/VLOOKUP(M250,Capa!A:Z,6,0)),0,1/VLOOKUP(M250,Capa!A:Z,6,0))</f>
        <v>0</v>
      </c>
      <c r="R250" s="188">
        <f t="shared" si="6"/>
        <v>1.000001</v>
      </c>
      <c r="S250" s="189" t="str">
        <f t="shared" si="7"/>
        <v>#N/A</v>
      </c>
    </row>
    <row r="251">
      <c r="A251" s="190"/>
      <c r="B251" s="178" t="s">
        <v>3520</v>
      </c>
      <c r="C251" s="179" t="str">
        <f>VLOOKUP(B251,'Dados ClubeFII'!$A:$Z,26,0)</f>
        <v>#N/A</v>
      </c>
      <c r="D251" s="180" t="str">
        <f>VLOOKUP(B251,'Dados ClubeFII'!$A:$Z,20,0)/100</f>
        <v>#N/A</v>
      </c>
      <c r="E251" s="89" t="str">
        <f t="shared" si="1"/>
        <v>#N/A</v>
      </c>
      <c r="F251" s="181">
        <f>IF(ISERROR(1/VLOOKUP(B251,Capa!A:Z,13,0)),0,1/VLOOKUP(B251,Capa!A:Z,13,0))</f>
        <v>0</v>
      </c>
      <c r="G251" s="182">
        <f t="shared" si="2"/>
        <v>1.000001</v>
      </c>
      <c r="H251" s="183" t="str">
        <f t="shared" si="3"/>
        <v>#N/A</v>
      </c>
      <c r="M251" s="178" t="s">
        <v>3520</v>
      </c>
      <c r="N251" s="179" t="str">
        <f>VLOOKUP(M251,'Dados ClubeFII'!$A:$Z,26,0)</f>
        <v>#N/A</v>
      </c>
      <c r="O251" s="185" t="str">
        <f>VLOOKUP(M251,'Dados ClubeFII'!$A:$Z,18,0)/100</f>
        <v>#N/A</v>
      </c>
      <c r="P251" s="186" t="str">
        <f t="shared" si="5"/>
        <v>#N/A</v>
      </c>
      <c r="Q251" s="187">
        <f>IF(ISERROR(1/VLOOKUP(M251,Capa!A:Z,6,0)),0,1/VLOOKUP(M251,Capa!A:Z,6,0))</f>
        <v>0</v>
      </c>
      <c r="R251" s="188">
        <f t="shared" si="6"/>
        <v>1.000001</v>
      </c>
      <c r="S251" s="189" t="str">
        <f t="shared" si="7"/>
        <v>#N/A</v>
      </c>
    </row>
    <row r="252">
      <c r="A252" s="190"/>
      <c r="B252" s="178" t="s">
        <v>3521</v>
      </c>
      <c r="C252" s="179" t="str">
        <f>VLOOKUP(B252,'Dados ClubeFII'!$A:$Z,26,0)</f>
        <v>#N/A</v>
      </c>
      <c r="D252" s="180" t="str">
        <f>VLOOKUP(B252,'Dados ClubeFII'!$A:$Z,20,0)/100</f>
        <v>#N/A</v>
      </c>
      <c r="E252" s="89" t="str">
        <f t="shared" si="1"/>
        <v>#N/A</v>
      </c>
      <c r="F252" s="181">
        <f>IF(ISERROR(1/VLOOKUP(B252,Capa!A:Z,13,0)),0,1/VLOOKUP(B252,Capa!A:Z,13,0))</f>
        <v>0</v>
      </c>
      <c r="G252" s="182">
        <f t="shared" si="2"/>
        <v>1.000001</v>
      </c>
      <c r="H252" s="183" t="str">
        <f t="shared" si="3"/>
        <v>#N/A</v>
      </c>
      <c r="M252" s="178" t="s">
        <v>3521</v>
      </c>
      <c r="N252" s="179" t="str">
        <f>VLOOKUP(M252,'Dados ClubeFII'!$A:$Z,26,0)</f>
        <v>#N/A</v>
      </c>
      <c r="O252" s="185" t="str">
        <f>VLOOKUP(M252,'Dados ClubeFII'!$A:$Z,18,0)/100</f>
        <v>#N/A</v>
      </c>
      <c r="P252" s="186" t="str">
        <f t="shared" si="5"/>
        <v>#N/A</v>
      </c>
      <c r="Q252" s="187">
        <f>IF(ISERROR(1/VLOOKUP(M252,Capa!A:Z,6,0)),0,1/VLOOKUP(M252,Capa!A:Z,6,0))</f>
        <v>0</v>
      </c>
      <c r="R252" s="188">
        <f t="shared" si="6"/>
        <v>1.000001</v>
      </c>
      <c r="S252" s="189" t="str">
        <f t="shared" si="7"/>
        <v>#N/A</v>
      </c>
    </row>
    <row r="253">
      <c r="A253" s="190"/>
      <c r="B253" s="178" t="s">
        <v>3522</v>
      </c>
      <c r="C253" s="179" t="str">
        <f>VLOOKUP(B253,'Dados ClubeFII'!$A:$Z,26,0)</f>
        <v>#N/A</v>
      </c>
      <c r="D253" s="180" t="str">
        <f>VLOOKUP(B253,'Dados ClubeFII'!$A:$Z,20,0)/100</f>
        <v>#N/A</v>
      </c>
      <c r="E253" s="89" t="str">
        <f t="shared" si="1"/>
        <v>#N/A</v>
      </c>
      <c r="F253" s="181">
        <f>IF(ISERROR(1/VLOOKUP(B253,Capa!A:Z,13,0)),0,1/VLOOKUP(B253,Capa!A:Z,13,0))</f>
        <v>0</v>
      </c>
      <c r="G253" s="182">
        <f t="shared" si="2"/>
        <v>1.000001</v>
      </c>
      <c r="H253" s="183" t="str">
        <f t="shared" si="3"/>
        <v>#N/A</v>
      </c>
      <c r="M253" s="178" t="s">
        <v>3522</v>
      </c>
      <c r="N253" s="179" t="str">
        <f>VLOOKUP(M253,'Dados ClubeFII'!$A:$Z,26,0)</f>
        <v>#N/A</v>
      </c>
      <c r="O253" s="185" t="str">
        <f>VLOOKUP(M253,'Dados ClubeFII'!$A:$Z,18,0)/100</f>
        <v>#N/A</v>
      </c>
      <c r="P253" s="186" t="str">
        <f t="shared" si="5"/>
        <v>#N/A</v>
      </c>
      <c r="Q253" s="187">
        <f>IF(ISERROR(1/VLOOKUP(M253,Capa!A:Z,6,0)),0,1/VLOOKUP(M253,Capa!A:Z,6,0))</f>
        <v>0</v>
      </c>
      <c r="R253" s="188">
        <f t="shared" si="6"/>
        <v>1.000001</v>
      </c>
      <c r="S253" s="189" t="str">
        <f t="shared" si="7"/>
        <v>#N/A</v>
      </c>
    </row>
    <row r="254">
      <c r="A254" s="190"/>
      <c r="B254" s="178" t="s">
        <v>3523</v>
      </c>
      <c r="C254" s="179" t="str">
        <f>VLOOKUP(B254,'Dados ClubeFII'!$A:$Z,26,0)</f>
        <v>#N/A</v>
      </c>
      <c r="D254" s="180" t="str">
        <f>VLOOKUP(B254,'Dados ClubeFII'!$A:$Z,20,0)/100</f>
        <v>#N/A</v>
      </c>
      <c r="E254" s="89" t="str">
        <f t="shared" si="1"/>
        <v>#N/A</v>
      </c>
      <c r="F254" s="181">
        <f>IF(ISERROR(1/VLOOKUP(B254,Capa!A:Z,13,0)),0,1/VLOOKUP(B254,Capa!A:Z,13,0))</f>
        <v>0</v>
      </c>
      <c r="G254" s="182">
        <f t="shared" si="2"/>
        <v>1.000001</v>
      </c>
      <c r="H254" s="183" t="str">
        <f t="shared" si="3"/>
        <v>#N/A</v>
      </c>
      <c r="M254" s="178" t="s">
        <v>3523</v>
      </c>
      <c r="N254" s="179" t="str">
        <f>VLOOKUP(M254,'Dados ClubeFII'!$A:$Z,26,0)</f>
        <v>#N/A</v>
      </c>
      <c r="O254" s="185" t="str">
        <f>VLOOKUP(M254,'Dados ClubeFII'!$A:$Z,18,0)/100</f>
        <v>#N/A</v>
      </c>
      <c r="P254" s="186" t="str">
        <f t="shared" si="5"/>
        <v>#N/A</v>
      </c>
      <c r="Q254" s="187">
        <f>IF(ISERROR(1/VLOOKUP(M254,Capa!A:Z,6,0)),0,1/VLOOKUP(M254,Capa!A:Z,6,0))</f>
        <v>0</v>
      </c>
      <c r="R254" s="188">
        <f t="shared" si="6"/>
        <v>1.000001</v>
      </c>
      <c r="S254" s="189" t="str">
        <f t="shared" si="7"/>
        <v>#N/A</v>
      </c>
    </row>
    <row r="255">
      <c r="A255" s="190"/>
      <c r="B255" s="178" t="s">
        <v>3524</v>
      </c>
      <c r="C255" s="179" t="str">
        <f>VLOOKUP(B255,'Dados ClubeFII'!$A:$Z,26,0)</f>
        <v>#N/A</v>
      </c>
      <c r="D255" s="180" t="str">
        <f>VLOOKUP(B255,'Dados ClubeFII'!$A:$Z,20,0)/100</f>
        <v>#N/A</v>
      </c>
      <c r="E255" s="89" t="str">
        <f t="shared" si="1"/>
        <v>#N/A</v>
      </c>
      <c r="F255" s="181">
        <f>IF(ISERROR(1/VLOOKUP(B255,Capa!A:Z,13,0)),0,1/VLOOKUP(B255,Capa!A:Z,13,0))</f>
        <v>0</v>
      </c>
      <c r="G255" s="182">
        <f t="shared" si="2"/>
        <v>1.000001</v>
      </c>
      <c r="H255" s="183" t="str">
        <f t="shared" si="3"/>
        <v>#N/A</v>
      </c>
      <c r="M255" s="178" t="s">
        <v>3524</v>
      </c>
      <c r="N255" s="179" t="str">
        <f>VLOOKUP(M255,'Dados ClubeFII'!$A:$Z,26,0)</f>
        <v>#N/A</v>
      </c>
      <c r="O255" s="185" t="str">
        <f>VLOOKUP(M255,'Dados ClubeFII'!$A:$Z,18,0)/100</f>
        <v>#N/A</v>
      </c>
      <c r="P255" s="186" t="str">
        <f t="shared" si="5"/>
        <v>#N/A</v>
      </c>
      <c r="Q255" s="187">
        <f>IF(ISERROR(1/VLOOKUP(M255,Capa!A:Z,6,0)),0,1/VLOOKUP(M255,Capa!A:Z,6,0))</f>
        <v>0</v>
      </c>
      <c r="R255" s="188">
        <f t="shared" si="6"/>
        <v>1.000001</v>
      </c>
      <c r="S255" s="189" t="str">
        <f t="shared" si="7"/>
        <v>#N/A</v>
      </c>
    </row>
    <row r="256">
      <c r="A256" s="190"/>
      <c r="B256" s="178" t="s">
        <v>3525</v>
      </c>
      <c r="C256" s="179" t="str">
        <f>VLOOKUP(B256,'Dados ClubeFII'!$A:$Z,26,0)</f>
        <v>#N/A</v>
      </c>
      <c r="D256" s="180" t="str">
        <f>VLOOKUP(B256,'Dados ClubeFII'!$A:$Z,20,0)/100</f>
        <v>#N/A</v>
      </c>
      <c r="E256" s="89" t="str">
        <f t="shared" si="1"/>
        <v>#N/A</v>
      </c>
      <c r="F256" s="181">
        <f>IF(ISERROR(1/VLOOKUP(B256,Capa!A:Z,13,0)),0,1/VLOOKUP(B256,Capa!A:Z,13,0))</f>
        <v>0</v>
      </c>
      <c r="G256" s="182">
        <f t="shared" si="2"/>
        <v>1.000001</v>
      </c>
      <c r="H256" s="183" t="str">
        <f t="shared" si="3"/>
        <v>#N/A</v>
      </c>
      <c r="M256" s="178" t="s">
        <v>3525</v>
      </c>
      <c r="N256" s="179" t="str">
        <f>VLOOKUP(M256,'Dados ClubeFII'!$A:$Z,26,0)</f>
        <v>#N/A</v>
      </c>
      <c r="O256" s="185" t="str">
        <f>VLOOKUP(M256,'Dados ClubeFII'!$A:$Z,18,0)/100</f>
        <v>#N/A</v>
      </c>
      <c r="P256" s="186" t="str">
        <f t="shared" si="5"/>
        <v>#N/A</v>
      </c>
      <c r="Q256" s="187">
        <f>IF(ISERROR(1/VLOOKUP(M256,Capa!A:Z,6,0)),0,1/VLOOKUP(M256,Capa!A:Z,6,0))</f>
        <v>0</v>
      </c>
      <c r="R256" s="188">
        <f t="shared" si="6"/>
        <v>1.000001</v>
      </c>
      <c r="S256" s="189" t="str">
        <f t="shared" si="7"/>
        <v>#N/A</v>
      </c>
    </row>
    <row r="257">
      <c r="A257" s="190"/>
      <c r="B257" s="178" t="s">
        <v>3526</v>
      </c>
      <c r="C257" s="179" t="str">
        <f>VLOOKUP(B257,'Dados ClubeFII'!$A:$Z,26,0)</f>
        <v>#N/A</v>
      </c>
      <c r="D257" s="180" t="str">
        <f>VLOOKUP(B257,'Dados ClubeFII'!$A:$Z,20,0)/100</f>
        <v>#N/A</v>
      </c>
      <c r="E257" s="89" t="str">
        <f t="shared" si="1"/>
        <v>#N/A</v>
      </c>
      <c r="F257" s="181">
        <f>IF(ISERROR(1/VLOOKUP(B257,Capa!A:Z,13,0)),0,1/VLOOKUP(B257,Capa!A:Z,13,0))</f>
        <v>0</v>
      </c>
      <c r="G257" s="182">
        <f t="shared" si="2"/>
        <v>1.000001</v>
      </c>
      <c r="H257" s="183" t="str">
        <f t="shared" si="3"/>
        <v>#N/A</v>
      </c>
      <c r="M257" s="178" t="s">
        <v>3526</v>
      </c>
      <c r="N257" s="179" t="str">
        <f>VLOOKUP(M257,'Dados ClubeFII'!$A:$Z,26,0)</f>
        <v>#N/A</v>
      </c>
      <c r="O257" s="185" t="str">
        <f>VLOOKUP(M257,'Dados ClubeFII'!$A:$Z,18,0)/100</f>
        <v>#N/A</v>
      </c>
      <c r="P257" s="186" t="str">
        <f t="shared" si="5"/>
        <v>#N/A</v>
      </c>
      <c r="Q257" s="187">
        <f>IF(ISERROR(1/VLOOKUP(M257,Capa!A:Z,6,0)),0,1/VLOOKUP(M257,Capa!A:Z,6,0))</f>
        <v>0</v>
      </c>
      <c r="R257" s="188">
        <f t="shared" si="6"/>
        <v>1.000001</v>
      </c>
      <c r="S257" s="189" t="str">
        <f t="shared" si="7"/>
        <v>#N/A</v>
      </c>
    </row>
    <row r="258">
      <c r="A258" s="190"/>
      <c r="B258" s="178" t="s">
        <v>3527</v>
      </c>
      <c r="C258" s="179" t="str">
        <f>VLOOKUP(B258,'Dados ClubeFII'!$A:$Z,26,0)</f>
        <v>#N/A</v>
      </c>
      <c r="D258" s="180" t="str">
        <f>VLOOKUP(B258,'Dados ClubeFII'!$A:$Z,20,0)/100</f>
        <v>#N/A</v>
      </c>
      <c r="E258" s="89" t="str">
        <f t="shared" si="1"/>
        <v>#N/A</v>
      </c>
      <c r="F258" s="181">
        <f>IF(ISERROR(1/VLOOKUP(B258,Capa!A:Z,13,0)),0,1/VLOOKUP(B258,Capa!A:Z,13,0))</f>
        <v>0</v>
      </c>
      <c r="G258" s="182">
        <f t="shared" si="2"/>
        <v>1.000001</v>
      </c>
      <c r="H258" s="183" t="str">
        <f t="shared" si="3"/>
        <v>#N/A</v>
      </c>
      <c r="M258" s="178" t="s">
        <v>3527</v>
      </c>
      <c r="N258" s="179" t="str">
        <f>VLOOKUP(M258,'Dados ClubeFII'!$A:$Z,26,0)</f>
        <v>#N/A</v>
      </c>
      <c r="O258" s="185" t="str">
        <f>VLOOKUP(M258,'Dados ClubeFII'!$A:$Z,18,0)/100</f>
        <v>#N/A</v>
      </c>
      <c r="P258" s="186" t="str">
        <f t="shared" si="5"/>
        <v>#N/A</v>
      </c>
      <c r="Q258" s="187">
        <f>IF(ISERROR(1/VLOOKUP(M258,Capa!A:Z,6,0)),0,1/VLOOKUP(M258,Capa!A:Z,6,0))</f>
        <v>0</v>
      </c>
      <c r="R258" s="188">
        <f t="shared" si="6"/>
        <v>1.000001</v>
      </c>
      <c r="S258" s="189" t="str">
        <f t="shared" si="7"/>
        <v>#N/A</v>
      </c>
    </row>
    <row r="259">
      <c r="A259" s="190"/>
      <c r="B259" s="178" t="s">
        <v>3528</v>
      </c>
      <c r="C259" s="179" t="str">
        <f>VLOOKUP(B259,'Dados ClubeFII'!$A:$Z,26,0)</f>
        <v>#N/A</v>
      </c>
      <c r="D259" s="180" t="str">
        <f>VLOOKUP(B259,'Dados ClubeFII'!$A:$Z,20,0)/100</f>
        <v>#N/A</v>
      </c>
      <c r="E259" s="89" t="str">
        <f t="shared" si="1"/>
        <v>#N/A</v>
      </c>
      <c r="F259" s="181">
        <f>IF(ISERROR(1/VLOOKUP(B259,Capa!A:Z,13,0)),0,1/VLOOKUP(B259,Capa!A:Z,13,0))</f>
        <v>0</v>
      </c>
      <c r="G259" s="182">
        <f t="shared" si="2"/>
        <v>1.000001</v>
      </c>
      <c r="H259" s="183" t="str">
        <f t="shared" si="3"/>
        <v>#N/A</v>
      </c>
      <c r="M259" s="178" t="s">
        <v>3528</v>
      </c>
      <c r="N259" s="179" t="str">
        <f>VLOOKUP(M259,'Dados ClubeFII'!$A:$Z,26,0)</f>
        <v>#N/A</v>
      </c>
      <c r="O259" s="185" t="str">
        <f>VLOOKUP(M259,'Dados ClubeFII'!$A:$Z,18,0)/100</f>
        <v>#N/A</v>
      </c>
      <c r="P259" s="186" t="str">
        <f t="shared" si="5"/>
        <v>#N/A</v>
      </c>
      <c r="Q259" s="187">
        <f>IF(ISERROR(1/VLOOKUP(M259,Capa!A:Z,6,0)),0,1/VLOOKUP(M259,Capa!A:Z,6,0))</f>
        <v>0</v>
      </c>
      <c r="R259" s="188">
        <f t="shared" si="6"/>
        <v>1.000001</v>
      </c>
      <c r="S259" s="189" t="str">
        <f t="shared" si="7"/>
        <v>#N/A</v>
      </c>
    </row>
    <row r="260">
      <c r="A260" s="190"/>
      <c r="B260" s="178" t="s">
        <v>3529</v>
      </c>
      <c r="C260" s="179" t="str">
        <f>VLOOKUP(B260,'Dados ClubeFII'!$A:$Z,26,0)</f>
        <v>#N/A</v>
      </c>
      <c r="D260" s="180" t="str">
        <f>VLOOKUP(B260,'Dados ClubeFII'!$A:$Z,20,0)/100</f>
        <v>#N/A</v>
      </c>
      <c r="E260" s="89" t="str">
        <f t="shared" si="1"/>
        <v>#N/A</v>
      </c>
      <c r="F260" s="181">
        <f>IF(ISERROR(1/VLOOKUP(B260,Capa!A:Z,13,0)),0,1/VLOOKUP(B260,Capa!A:Z,13,0))</f>
        <v>0</v>
      </c>
      <c r="G260" s="182">
        <f t="shared" si="2"/>
        <v>1.000001</v>
      </c>
      <c r="H260" s="183" t="str">
        <f t="shared" si="3"/>
        <v>#N/A</v>
      </c>
      <c r="M260" s="178" t="s">
        <v>3529</v>
      </c>
      <c r="N260" s="179" t="str">
        <f>VLOOKUP(M260,'Dados ClubeFII'!$A:$Z,26,0)</f>
        <v>#N/A</v>
      </c>
      <c r="O260" s="185" t="str">
        <f>VLOOKUP(M260,'Dados ClubeFII'!$A:$Z,18,0)/100</f>
        <v>#N/A</v>
      </c>
      <c r="P260" s="186" t="str">
        <f t="shared" si="5"/>
        <v>#N/A</v>
      </c>
      <c r="Q260" s="187">
        <f>IF(ISERROR(1/VLOOKUP(M260,Capa!A:Z,6,0)),0,1/VLOOKUP(M260,Capa!A:Z,6,0))</f>
        <v>0</v>
      </c>
      <c r="R260" s="188">
        <f t="shared" si="6"/>
        <v>1.000001</v>
      </c>
      <c r="S260" s="189" t="str">
        <f t="shared" si="7"/>
        <v>#N/A</v>
      </c>
    </row>
    <row r="261">
      <c r="A261" s="190"/>
      <c r="B261" s="178" t="s">
        <v>3530</v>
      </c>
      <c r="C261" s="179" t="str">
        <f>VLOOKUP(B261,'Dados ClubeFII'!$A:$Z,26,0)</f>
        <v>#N/A</v>
      </c>
      <c r="D261" s="180" t="str">
        <f>VLOOKUP(B261,'Dados ClubeFII'!$A:$Z,20,0)/100</f>
        <v>#N/A</v>
      </c>
      <c r="E261" s="89" t="str">
        <f t="shared" si="1"/>
        <v>#N/A</v>
      </c>
      <c r="F261" s="181">
        <f>IF(ISERROR(1/VLOOKUP(B261,Capa!A:Z,13,0)),0,1/VLOOKUP(B261,Capa!A:Z,13,0))</f>
        <v>0</v>
      </c>
      <c r="G261" s="182">
        <f t="shared" si="2"/>
        <v>1.000001</v>
      </c>
      <c r="H261" s="183" t="str">
        <f t="shared" si="3"/>
        <v>#N/A</v>
      </c>
      <c r="M261" s="178" t="s">
        <v>3530</v>
      </c>
      <c r="N261" s="179" t="str">
        <f>VLOOKUP(M261,'Dados ClubeFII'!$A:$Z,26,0)</f>
        <v>#N/A</v>
      </c>
      <c r="O261" s="185" t="str">
        <f>VLOOKUP(M261,'Dados ClubeFII'!$A:$Z,18,0)/100</f>
        <v>#N/A</v>
      </c>
      <c r="P261" s="186" t="str">
        <f t="shared" si="5"/>
        <v>#N/A</v>
      </c>
      <c r="Q261" s="187">
        <f>IF(ISERROR(1/VLOOKUP(M261,Capa!A:Z,6,0)),0,1/VLOOKUP(M261,Capa!A:Z,6,0))</f>
        <v>0</v>
      </c>
      <c r="R261" s="188">
        <f t="shared" si="6"/>
        <v>1.000001</v>
      </c>
      <c r="S261" s="189" t="str">
        <f t="shared" si="7"/>
        <v>#N/A</v>
      </c>
    </row>
    <row r="262">
      <c r="A262" s="190"/>
      <c r="B262" s="178" t="s">
        <v>3531</v>
      </c>
      <c r="C262" s="179" t="str">
        <f>VLOOKUP(B262,'Dados ClubeFII'!$A:$Z,26,0)</f>
        <v>#N/A</v>
      </c>
      <c r="D262" s="180" t="str">
        <f>VLOOKUP(B262,'Dados ClubeFII'!$A:$Z,20,0)/100</f>
        <v>#N/A</v>
      </c>
      <c r="E262" s="89" t="str">
        <f t="shared" si="1"/>
        <v>#N/A</v>
      </c>
      <c r="F262" s="181">
        <f>IF(ISERROR(1/VLOOKUP(B262,Capa!A:Z,13,0)),0,1/VLOOKUP(B262,Capa!A:Z,13,0))</f>
        <v>0</v>
      </c>
      <c r="G262" s="182">
        <f t="shared" si="2"/>
        <v>1.000001</v>
      </c>
      <c r="H262" s="183" t="str">
        <f t="shared" si="3"/>
        <v>#N/A</v>
      </c>
      <c r="M262" s="178" t="s">
        <v>3531</v>
      </c>
      <c r="N262" s="179" t="str">
        <f>VLOOKUP(M262,'Dados ClubeFII'!$A:$Z,26,0)</f>
        <v>#N/A</v>
      </c>
      <c r="O262" s="185" t="str">
        <f>VLOOKUP(M262,'Dados ClubeFII'!$A:$Z,18,0)/100</f>
        <v>#N/A</v>
      </c>
      <c r="P262" s="186" t="str">
        <f t="shared" si="5"/>
        <v>#N/A</v>
      </c>
      <c r="Q262" s="187">
        <f>IF(ISERROR(1/VLOOKUP(M262,Capa!A:Z,6,0)),0,1/VLOOKUP(M262,Capa!A:Z,6,0))</f>
        <v>0</v>
      </c>
      <c r="R262" s="188">
        <f t="shared" si="6"/>
        <v>1.000001</v>
      </c>
      <c r="S262" s="189" t="str">
        <f t="shared" si="7"/>
        <v>#N/A</v>
      </c>
    </row>
    <row r="263">
      <c r="A263" s="190"/>
      <c r="B263" s="178" t="s">
        <v>3532</v>
      </c>
      <c r="C263" s="179" t="str">
        <f>VLOOKUP(B263,'Dados ClubeFII'!$A:$Z,26,0)</f>
        <v>#N/A</v>
      </c>
      <c r="D263" s="180" t="str">
        <f>VLOOKUP(B263,'Dados ClubeFII'!$A:$Z,20,0)/100</f>
        <v>#N/A</v>
      </c>
      <c r="E263" s="89" t="str">
        <f t="shared" si="1"/>
        <v>#N/A</v>
      </c>
      <c r="F263" s="181">
        <f>IF(ISERROR(1/VLOOKUP(B263,Capa!A:Z,13,0)),0,1/VLOOKUP(B263,Capa!A:Z,13,0))</f>
        <v>0</v>
      </c>
      <c r="G263" s="182">
        <f t="shared" si="2"/>
        <v>1.000001</v>
      </c>
      <c r="H263" s="183" t="str">
        <f t="shared" si="3"/>
        <v>#N/A</v>
      </c>
      <c r="M263" s="178" t="s">
        <v>3532</v>
      </c>
      <c r="N263" s="179" t="str">
        <f>VLOOKUP(M263,'Dados ClubeFII'!$A:$Z,26,0)</f>
        <v>#N/A</v>
      </c>
      <c r="O263" s="185" t="str">
        <f>VLOOKUP(M263,'Dados ClubeFII'!$A:$Z,18,0)/100</f>
        <v>#N/A</v>
      </c>
      <c r="P263" s="186" t="str">
        <f t="shared" si="5"/>
        <v>#N/A</v>
      </c>
      <c r="Q263" s="187">
        <f>IF(ISERROR(1/VLOOKUP(M263,Capa!A:Z,6,0)),0,1/VLOOKUP(M263,Capa!A:Z,6,0))</f>
        <v>0</v>
      </c>
      <c r="R263" s="188">
        <f t="shared" si="6"/>
        <v>1.000001</v>
      </c>
      <c r="S263" s="189" t="str">
        <f t="shared" si="7"/>
        <v>#N/A</v>
      </c>
    </row>
    <row r="264">
      <c r="A264" s="190"/>
      <c r="B264" s="178" t="s">
        <v>3533</v>
      </c>
      <c r="C264" s="179" t="str">
        <f>VLOOKUP(B264,'Dados ClubeFII'!$A:$Z,26,0)</f>
        <v>#N/A</v>
      </c>
      <c r="D264" s="180" t="str">
        <f>VLOOKUP(B264,'Dados ClubeFII'!$A:$Z,20,0)/100</f>
        <v>#N/A</v>
      </c>
      <c r="E264" s="89" t="str">
        <f t="shared" si="1"/>
        <v>#N/A</v>
      </c>
      <c r="F264" s="181">
        <f>IF(ISERROR(1/VLOOKUP(B264,Capa!A:Z,13,0)),0,1/VLOOKUP(B264,Capa!A:Z,13,0))</f>
        <v>0</v>
      </c>
      <c r="G264" s="182">
        <f t="shared" si="2"/>
        <v>1.000001</v>
      </c>
      <c r="H264" s="183" t="str">
        <f t="shared" si="3"/>
        <v>#N/A</v>
      </c>
      <c r="M264" s="178" t="s">
        <v>3533</v>
      </c>
      <c r="N264" s="179" t="str">
        <f>VLOOKUP(M264,'Dados ClubeFII'!$A:$Z,26,0)</f>
        <v>#N/A</v>
      </c>
      <c r="O264" s="185" t="str">
        <f>VLOOKUP(M264,'Dados ClubeFII'!$A:$Z,18,0)/100</f>
        <v>#N/A</v>
      </c>
      <c r="P264" s="186" t="str">
        <f t="shared" si="5"/>
        <v>#N/A</v>
      </c>
      <c r="Q264" s="187">
        <f>IF(ISERROR(1/VLOOKUP(M264,Capa!A:Z,6,0)),0,1/VLOOKUP(M264,Capa!A:Z,6,0))</f>
        <v>0</v>
      </c>
      <c r="R264" s="188">
        <f t="shared" si="6"/>
        <v>1.000001</v>
      </c>
      <c r="S264" s="189" t="str">
        <f t="shared" si="7"/>
        <v>#N/A</v>
      </c>
    </row>
    <row r="265">
      <c r="A265" s="190"/>
      <c r="B265" s="178" t="s">
        <v>3534</v>
      </c>
      <c r="C265" s="179" t="str">
        <f>VLOOKUP(B265,'Dados ClubeFII'!$A:$Z,26,0)</f>
        <v>#N/A</v>
      </c>
      <c r="D265" s="180" t="str">
        <f>VLOOKUP(B265,'Dados ClubeFII'!$A:$Z,20,0)/100</f>
        <v>#N/A</v>
      </c>
      <c r="E265" s="89" t="str">
        <f t="shared" si="1"/>
        <v>#N/A</v>
      </c>
      <c r="F265" s="181">
        <f>IF(ISERROR(1/VLOOKUP(B265,Capa!A:Z,13,0)),0,1/VLOOKUP(B265,Capa!A:Z,13,0))</f>
        <v>0</v>
      </c>
      <c r="G265" s="182">
        <f t="shared" si="2"/>
        <v>1.000001</v>
      </c>
      <c r="H265" s="183" t="str">
        <f t="shared" si="3"/>
        <v>#N/A</v>
      </c>
      <c r="M265" s="178" t="s">
        <v>3534</v>
      </c>
      <c r="N265" s="179" t="str">
        <f>VLOOKUP(M265,'Dados ClubeFII'!$A:$Z,26,0)</f>
        <v>#N/A</v>
      </c>
      <c r="O265" s="185" t="str">
        <f>VLOOKUP(M265,'Dados ClubeFII'!$A:$Z,18,0)/100</f>
        <v>#N/A</v>
      </c>
      <c r="P265" s="186" t="str">
        <f t="shared" si="5"/>
        <v>#N/A</v>
      </c>
      <c r="Q265" s="187">
        <f>IF(ISERROR(1/VLOOKUP(M265,Capa!A:Z,6,0)),0,1/VLOOKUP(M265,Capa!A:Z,6,0))</f>
        <v>0</v>
      </c>
      <c r="R265" s="188">
        <f t="shared" si="6"/>
        <v>1.000001</v>
      </c>
      <c r="S265" s="189" t="str">
        <f t="shared" si="7"/>
        <v>#N/A</v>
      </c>
    </row>
    <row r="266">
      <c r="A266" s="190"/>
      <c r="B266" s="178" t="s">
        <v>3535</v>
      </c>
      <c r="C266" s="179" t="str">
        <f>VLOOKUP(B266,'Dados ClubeFII'!$A:$Z,26,0)</f>
        <v>#N/A</v>
      </c>
      <c r="D266" s="180" t="str">
        <f>VLOOKUP(B266,'Dados ClubeFII'!$A:$Z,20,0)/100</f>
        <v>#N/A</v>
      </c>
      <c r="E266" s="89" t="str">
        <f t="shared" si="1"/>
        <v>#N/A</v>
      </c>
      <c r="F266" s="181">
        <f>IF(ISERROR(1/VLOOKUP(B266,Capa!A:Z,13,0)),0,1/VLOOKUP(B266,Capa!A:Z,13,0))</f>
        <v>0</v>
      </c>
      <c r="G266" s="182">
        <f t="shared" si="2"/>
        <v>1.000001</v>
      </c>
      <c r="H266" s="183" t="str">
        <f t="shared" si="3"/>
        <v>#N/A</v>
      </c>
      <c r="M266" s="178" t="s">
        <v>3535</v>
      </c>
      <c r="N266" s="179" t="str">
        <f>VLOOKUP(M266,'Dados ClubeFII'!$A:$Z,26,0)</f>
        <v>#N/A</v>
      </c>
      <c r="O266" s="185" t="str">
        <f>VLOOKUP(M266,'Dados ClubeFII'!$A:$Z,18,0)/100</f>
        <v>#N/A</v>
      </c>
      <c r="P266" s="186" t="str">
        <f t="shared" si="5"/>
        <v>#N/A</v>
      </c>
      <c r="Q266" s="187">
        <f>IF(ISERROR(1/VLOOKUP(M266,Capa!A:Z,6,0)),0,1/VLOOKUP(M266,Capa!A:Z,6,0))</f>
        <v>0</v>
      </c>
      <c r="R266" s="188">
        <f t="shared" si="6"/>
        <v>1.000001</v>
      </c>
      <c r="S266" s="189" t="str">
        <f t="shared" si="7"/>
        <v>#N/A</v>
      </c>
    </row>
    <row r="267">
      <c r="A267" s="190"/>
      <c r="B267" s="178" t="s">
        <v>3536</v>
      </c>
      <c r="C267" s="179" t="str">
        <f>VLOOKUP(B267,'Dados ClubeFII'!$A:$Z,26,0)</f>
        <v>#N/A</v>
      </c>
      <c r="D267" s="180" t="str">
        <f>VLOOKUP(B267,'Dados ClubeFII'!$A:$Z,20,0)/100</f>
        <v>#N/A</v>
      </c>
      <c r="E267" s="89" t="str">
        <f t="shared" si="1"/>
        <v>#N/A</v>
      </c>
      <c r="F267" s="181">
        <f>IF(ISERROR(1/VLOOKUP(B267,Capa!A:Z,13,0)),0,1/VLOOKUP(B267,Capa!A:Z,13,0))</f>
        <v>0</v>
      </c>
      <c r="G267" s="182">
        <f t="shared" si="2"/>
        <v>1.000001</v>
      </c>
      <c r="H267" s="183" t="str">
        <f t="shared" si="3"/>
        <v>#N/A</v>
      </c>
      <c r="M267" s="178" t="s">
        <v>3536</v>
      </c>
      <c r="N267" s="179" t="str">
        <f>VLOOKUP(M267,'Dados ClubeFII'!$A:$Z,26,0)</f>
        <v>#N/A</v>
      </c>
      <c r="O267" s="185" t="str">
        <f>VLOOKUP(M267,'Dados ClubeFII'!$A:$Z,18,0)/100</f>
        <v>#N/A</v>
      </c>
      <c r="P267" s="186" t="str">
        <f t="shared" si="5"/>
        <v>#N/A</v>
      </c>
      <c r="Q267" s="187">
        <f>IF(ISERROR(1/VLOOKUP(M267,Capa!A:Z,6,0)),0,1/VLOOKUP(M267,Capa!A:Z,6,0))</f>
        <v>0</v>
      </c>
      <c r="R267" s="188">
        <f t="shared" si="6"/>
        <v>1.000001</v>
      </c>
      <c r="S267" s="189" t="str">
        <f t="shared" si="7"/>
        <v>#N/A</v>
      </c>
    </row>
    <row r="268">
      <c r="A268" s="190"/>
      <c r="B268" s="178" t="s">
        <v>3537</v>
      </c>
      <c r="C268" s="179" t="str">
        <f>VLOOKUP(B268,'Dados ClubeFII'!$A:$Z,26,0)</f>
        <v>#N/A</v>
      </c>
      <c r="D268" s="180" t="str">
        <f>VLOOKUP(B268,'Dados ClubeFII'!$A:$Z,20,0)/100</f>
        <v>#N/A</v>
      </c>
      <c r="E268" s="89" t="str">
        <f t="shared" si="1"/>
        <v>#N/A</v>
      </c>
      <c r="F268" s="181">
        <f>IF(ISERROR(1/VLOOKUP(B268,Capa!A:Z,13,0)),0,1/VLOOKUP(B268,Capa!A:Z,13,0))</f>
        <v>0</v>
      </c>
      <c r="G268" s="182">
        <f t="shared" si="2"/>
        <v>1.000001</v>
      </c>
      <c r="H268" s="183" t="str">
        <f t="shared" si="3"/>
        <v>#N/A</v>
      </c>
      <c r="M268" s="178" t="s">
        <v>3537</v>
      </c>
      <c r="N268" s="179" t="str">
        <f>VLOOKUP(M268,'Dados ClubeFII'!$A:$Z,26,0)</f>
        <v>#N/A</v>
      </c>
      <c r="O268" s="185" t="str">
        <f>VLOOKUP(M268,'Dados ClubeFII'!$A:$Z,18,0)/100</f>
        <v>#N/A</v>
      </c>
      <c r="P268" s="186" t="str">
        <f t="shared" si="5"/>
        <v>#N/A</v>
      </c>
      <c r="Q268" s="187">
        <f>IF(ISERROR(1/VLOOKUP(M268,Capa!A:Z,6,0)),0,1/VLOOKUP(M268,Capa!A:Z,6,0))</f>
        <v>0</v>
      </c>
      <c r="R268" s="188">
        <f t="shared" si="6"/>
        <v>1.000001</v>
      </c>
      <c r="S268" s="189" t="str">
        <f t="shared" si="7"/>
        <v>#N/A</v>
      </c>
    </row>
    <row r="269">
      <c r="A269" s="190"/>
      <c r="B269" s="178" t="s">
        <v>3538</v>
      </c>
      <c r="C269" s="179" t="str">
        <f>VLOOKUP(B269,'Dados ClubeFII'!$A:$Z,26,0)</f>
        <v>#N/A</v>
      </c>
      <c r="D269" s="180" t="str">
        <f>VLOOKUP(B269,'Dados ClubeFII'!$A:$Z,20,0)/100</f>
        <v>#N/A</v>
      </c>
      <c r="E269" s="89" t="str">
        <f t="shared" si="1"/>
        <v>#N/A</v>
      </c>
      <c r="F269" s="181">
        <f>IF(ISERROR(1/VLOOKUP(B269,Capa!A:Z,13,0)),0,1/VLOOKUP(B269,Capa!A:Z,13,0))</f>
        <v>0</v>
      </c>
      <c r="G269" s="182">
        <f t="shared" si="2"/>
        <v>1.000001</v>
      </c>
      <c r="H269" s="183" t="str">
        <f t="shared" si="3"/>
        <v>#N/A</v>
      </c>
      <c r="M269" s="178" t="s">
        <v>3538</v>
      </c>
      <c r="N269" s="179" t="str">
        <f>VLOOKUP(M269,'Dados ClubeFII'!$A:$Z,26,0)</f>
        <v>#N/A</v>
      </c>
      <c r="O269" s="185" t="str">
        <f>VLOOKUP(M269,'Dados ClubeFII'!$A:$Z,18,0)/100</f>
        <v>#N/A</v>
      </c>
      <c r="P269" s="186" t="str">
        <f t="shared" si="5"/>
        <v>#N/A</v>
      </c>
      <c r="Q269" s="187">
        <f>IF(ISERROR(1/VLOOKUP(M269,Capa!A:Z,6,0)),0,1/VLOOKUP(M269,Capa!A:Z,6,0))</f>
        <v>0</v>
      </c>
      <c r="R269" s="188">
        <f t="shared" si="6"/>
        <v>1.000001</v>
      </c>
      <c r="S269" s="189" t="str">
        <f t="shared" si="7"/>
        <v>#N/A</v>
      </c>
    </row>
    <row r="270">
      <c r="A270" s="190"/>
      <c r="B270" s="178" t="s">
        <v>3539</v>
      </c>
      <c r="C270" s="179" t="str">
        <f>VLOOKUP(B270,'Dados ClubeFII'!$A:$Z,26,0)</f>
        <v>#N/A</v>
      </c>
      <c r="D270" s="180" t="str">
        <f>VLOOKUP(B270,'Dados ClubeFII'!$A:$Z,20,0)/100</f>
        <v>#N/A</v>
      </c>
      <c r="E270" s="89" t="str">
        <f t="shared" si="1"/>
        <v>#N/A</v>
      </c>
      <c r="F270" s="181">
        <f>IF(ISERROR(1/VLOOKUP(B270,Capa!A:Z,13,0)),0,1/VLOOKUP(B270,Capa!A:Z,13,0))</f>
        <v>0</v>
      </c>
      <c r="G270" s="182">
        <f t="shared" si="2"/>
        <v>1.000001</v>
      </c>
      <c r="H270" s="183" t="str">
        <f t="shared" si="3"/>
        <v>#N/A</v>
      </c>
      <c r="M270" s="178" t="s">
        <v>3539</v>
      </c>
      <c r="N270" s="179" t="str">
        <f>VLOOKUP(M270,'Dados ClubeFII'!$A:$Z,26,0)</f>
        <v>#N/A</v>
      </c>
      <c r="O270" s="185" t="str">
        <f>VLOOKUP(M270,'Dados ClubeFII'!$A:$Z,18,0)/100</f>
        <v>#N/A</v>
      </c>
      <c r="P270" s="186" t="str">
        <f t="shared" si="5"/>
        <v>#N/A</v>
      </c>
      <c r="Q270" s="187">
        <f>IF(ISERROR(1/VLOOKUP(M270,Capa!A:Z,6,0)),0,1/VLOOKUP(M270,Capa!A:Z,6,0))</f>
        <v>0</v>
      </c>
      <c r="R270" s="188">
        <f t="shared" si="6"/>
        <v>1.000001</v>
      </c>
      <c r="S270" s="189" t="str">
        <f t="shared" si="7"/>
        <v>#N/A</v>
      </c>
    </row>
    <row r="271">
      <c r="A271" s="190"/>
      <c r="B271" s="178" t="s">
        <v>3540</v>
      </c>
      <c r="C271" s="179" t="str">
        <f>VLOOKUP(B271,'Dados ClubeFII'!$A:$Z,26,0)</f>
        <v>#N/A</v>
      </c>
      <c r="D271" s="180" t="str">
        <f>VLOOKUP(B271,'Dados ClubeFII'!$A:$Z,20,0)/100</f>
        <v>#N/A</v>
      </c>
      <c r="E271" s="89" t="str">
        <f t="shared" si="1"/>
        <v>#N/A</v>
      </c>
      <c r="F271" s="181">
        <f>IF(ISERROR(1/VLOOKUP(B271,Capa!A:Z,13,0)),0,1/VLOOKUP(B271,Capa!A:Z,13,0))</f>
        <v>0</v>
      </c>
      <c r="G271" s="182">
        <f t="shared" si="2"/>
        <v>1.000001</v>
      </c>
      <c r="H271" s="183" t="str">
        <f t="shared" si="3"/>
        <v>#N/A</v>
      </c>
      <c r="M271" s="178" t="s">
        <v>3540</v>
      </c>
      <c r="N271" s="179" t="str">
        <f>VLOOKUP(M271,'Dados ClubeFII'!$A:$Z,26,0)</f>
        <v>#N/A</v>
      </c>
      <c r="O271" s="185" t="str">
        <f>VLOOKUP(M271,'Dados ClubeFII'!$A:$Z,18,0)/100</f>
        <v>#N/A</v>
      </c>
      <c r="P271" s="186" t="str">
        <f t="shared" si="5"/>
        <v>#N/A</v>
      </c>
      <c r="Q271" s="187">
        <f>IF(ISERROR(1/VLOOKUP(M271,Capa!A:Z,6,0)),0,1/VLOOKUP(M271,Capa!A:Z,6,0))</f>
        <v>0</v>
      </c>
      <c r="R271" s="188">
        <f t="shared" si="6"/>
        <v>1.000001</v>
      </c>
      <c r="S271" s="189" t="str">
        <f t="shared" si="7"/>
        <v>#N/A</v>
      </c>
    </row>
    <row r="272">
      <c r="A272" s="190"/>
      <c r="B272" s="178" t="s">
        <v>3541</v>
      </c>
      <c r="C272" s="179" t="str">
        <f>VLOOKUP(B272,'Dados ClubeFII'!$A:$Z,26,0)</f>
        <v>#N/A</v>
      </c>
      <c r="D272" s="180" t="str">
        <f>VLOOKUP(B272,'Dados ClubeFII'!$A:$Z,20,0)/100</f>
        <v>#N/A</v>
      </c>
      <c r="E272" s="89" t="str">
        <f t="shared" si="1"/>
        <v>#N/A</v>
      </c>
      <c r="F272" s="181">
        <f>IF(ISERROR(1/VLOOKUP(B272,Capa!A:Z,13,0)),0,1/VLOOKUP(B272,Capa!A:Z,13,0))</f>
        <v>0</v>
      </c>
      <c r="G272" s="182">
        <f t="shared" si="2"/>
        <v>1.000001</v>
      </c>
      <c r="H272" s="183" t="str">
        <f t="shared" si="3"/>
        <v>#N/A</v>
      </c>
      <c r="M272" s="178" t="s">
        <v>3541</v>
      </c>
      <c r="N272" s="179" t="str">
        <f>VLOOKUP(M272,'Dados ClubeFII'!$A:$Z,26,0)</f>
        <v>#N/A</v>
      </c>
      <c r="O272" s="185" t="str">
        <f>VLOOKUP(M272,'Dados ClubeFII'!$A:$Z,18,0)/100</f>
        <v>#N/A</v>
      </c>
      <c r="P272" s="186" t="str">
        <f t="shared" si="5"/>
        <v>#N/A</v>
      </c>
      <c r="Q272" s="187">
        <f>IF(ISERROR(1/VLOOKUP(M272,Capa!A:Z,6,0)),0,1/VLOOKUP(M272,Capa!A:Z,6,0))</f>
        <v>0</v>
      </c>
      <c r="R272" s="188">
        <f t="shared" si="6"/>
        <v>1.000001</v>
      </c>
      <c r="S272" s="189" t="str">
        <f t="shared" si="7"/>
        <v>#N/A</v>
      </c>
    </row>
    <row r="273">
      <c r="A273" s="190"/>
      <c r="B273" s="178" t="s">
        <v>3542</v>
      </c>
      <c r="C273" s="179" t="str">
        <f>VLOOKUP(B273,'Dados ClubeFII'!$A:$Z,26,0)</f>
        <v>#N/A</v>
      </c>
      <c r="D273" s="180" t="str">
        <f>VLOOKUP(B273,'Dados ClubeFII'!$A:$Z,20,0)/100</f>
        <v>#N/A</v>
      </c>
      <c r="E273" s="89" t="str">
        <f t="shared" si="1"/>
        <v>#N/A</v>
      </c>
      <c r="F273" s="181">
        <f>IF(ISERROR(1/VLOOKUP(B273,Capa!A:Z,13,0)),0,1/VLOOKUP(B273,Capa!A:Z,13,0))</f>
        <v>0</v>
      </c>
      <c r="G273" s="182">
        <f t="shared" si="2"/>
        <v>1.000001</v>
      </c>
      <c r="H273" s="183" t="str">
        <f t="shared" si="3"/>
        <v>#N/A</v>
      </c>
      <c r="M273" s="178" t="s">
        <v>3542</v>
      </c>
      <c r="N273" s="179" t="str">
        <f>VLOOKUP(M273,'Dados ClubeFII'!$A:$Z,26,0)</f>
        <v>#N/A</v>
      </c>
      <c r="O273" s="185" t="str">
        <f>VLOOKUP(M273,'Dados ClubeFII'!$A:$Z,18,0)/100</f>
        <v>#N/A</v>
      </c>
      <c r="P273" s="186" t="str">
        <f t="shared" si="5"/>
        <v>#N/A</v>
      </c>
      <c r="Q273" s="187">
        <f>IF(ISERROR(1/VLOOKUP(M273,Capa!A:Z,6,0)),0,1/VLOOKUP(M273,Capa!A:Z,6,0))</f>
        <v>0</v>
      </c>
      <c r="R273" s="188">
        <f t="shared" si="6"/>
        <v>1.000001</v>
      </c>
      <c r="S273" s="189" t="str">
        <f t="shared" si="7"/>
        <v>#N/A</v>
      </c>
    </row>
    <row r="274">
      <c r="A274" s="190"/>
      <c r="B274" s="178" t="s">
        <v>3543</v>
      </c>
      <c r="C274" s="179" t="str">
        <f>VLOOKUP(B274,'Dados ClubeFII'!$A:$Z,26,0)</f>
        <v>#N/A</v>
      </c>
      <c r="D274" s="180" t="str">
        <f>VLOOKUP(B274,'Dados ClubeFII'!$A:$Z,20,0)/100</f>
        <v>#N/A</v>
      </c>
      <c r="E274" s="89" t="str">
        <f t="shared" si="1"/>
        <v>#N/A</v>
      </c>
      <c r="F274" s="181">
        <f>IF(ISERROR(1/VLOOKUP(B274,Capa!A:Z,13,0)),0,1/VLOOKUP(B274,Capa!A:Z,13,0))</f>
        <v>0</v>
      </c>
      <c r="G274" s="182">
        <f t="shared" si="2"/>
        <v>1.000001</v>
      </c>
      <c r="H274" s="183" t="str">
        <f t="shared" si="3"/>
        <v>#N/A</v>
      </c>
      <c r="M274" s="178" t="s">
        <v>3543</v>
      </c>
      <c r="N274" s="179" t="str">
        <f>VLOOKUP(M274,'Dados ClubeFII'!$A:$Z,26,0)</f>
        <v>#N/A</v>
      </c>
      <c r="O274" s="185" t="str">
        <f>VLOOKUP(M274,'Dados ClubeFII'!$A:$Z,18,0)/100</f>
        <v>#N/A</v>
      </c>
      <c r="P274" s="186" t="str">
        <f t="shared" si="5"/>
        <v>#N/A</v>
      </c>
      <c r="Q274" s="187">
        <f>IF(ISERROR(1/VLOOKUP(M274,Capa!A:Z,6,0)),0,1/VLOOKUP(M274,Capa!A:Z,6,0))</f>
        <v>0</v>
      </c>
      <c r="R274" s="188">
        <f t="shared" si="6"/>
        <v>1.000001</v>
      </c>
      <c r="S274" s="189" t="str">
        <f t="shared" si="7"/>
        <v>#N/A</v>
      </c>
    </row>
    <row r="275">
      <c r="A275" s="190"/>
      <c r="B275" s="178" t="s">
        <v>3544</v>
      </c>
      <c r="C275" s="179" t="str">
        <f>VLOOKUP(B275,'Dados ClubeFII'!$A:$Z,26,0)</f>
        <v>#N/A</v>
      </c>
      <c r="D275" s="180" t="str">
        <f>VLOOKUP(B275,'Dados ClubeFII'!$A:$Z,20,0)/100</f>
        <v>#N/A</v>
      </c>
      <c r="E275" s="89" t="str">
        <f t="shared" si="1"/>
        <v>#N/A</v>
      </c>
      <c r="F275" s="181">
        <f>IF(ISERROR(1/VLOOKUP(B275,Capa!A:Z,13,0)),0,1/VLOOKUP(B275,Capa!A:Z,13,0))</f>
        <v>0</v>
      </c>
      <c r="G275" s="182">
        <f t="shared" si="2"/>
        <v>1.000001</v>
      </c>
      <c r="H275" s="183" t="str">
        <f t="shared" si="3"/>
        <v>#N/A</v>
      </c>
      <c r="M275" s="178" t="s">
        <v>3544</v>
      </c>
      <c r="N275" s="179" t="str">
        <f>VLOOKUP(M275,'Dados ClubeFII'!$A:$Z,26,0)</f>
        <v>#N/A</v>
      </c>
      <c r="O275" s="185" t="str">
        <f>VLOOKUP(M275,'Dados ClubeFII'!$A:$Z,18,0)/100</f>
        <v>#N/A</v>
      </c>
      <c r="P275" s="186" t="str">
        <f t="shared" si="5"/>
        <v>#N/A</v>
      </c>
      <c r="Q275" s="187">
        <f>IF(ISERROR(1/VLOOKUP(M275,Capa!A:Z,6,0)),0,1/VLOOKUP(M275,Capa!A:Z,6,0))</f>
        <v>0</v>
      </c>
      <c r="R275" s="188">
        <f t="shared" si="6"/>
        <v>1.000001</v>
      </c>
      <c r="S275" s="189" t="str">
        <f t="shared" si="7"/>
        <v>#N/A</v>
      </c>
    </row>
    <row r="276">
      <c r="A276" s="190"/>
      <c r="B276" s="178" t="s">
        <v>3545</v>
      </c>
      <c r="C276" s="179" t="str">
        <f>VLOOKUP(B276,'Dados ClubeFII'!$A:$Z,26,0)</f>
        <v>#N/A</v>
      </c>
      <c r="D276" s="180" t="str">
        <f>VLOOKUP(B276,'Dados ClubeFII'!$A:$Z,20,0)/100</f>
        <v>#N/A</v>
      </c>
      <c r="E276" s="89" t="str">
        <f t="shared" si="1"/>
        <v>#N/A</v>
      </c>
      <c r="F276" s="181">
        <f>IF(ISERROR(1/VLOOKUP(B276,Capa!A:Z,13,0)),0,1/VLOOKUP(B276,Capa!A:Z,13,0))</f>
        <v>0</v>
      </c>
      <c r="G276" s="182">
        <f t="shared" si="2"/>
        <v>1.000001</v>
      </c>
      <c r="H276" s="183" t="str">
        <f t="shared" si="3"/>
        <v>#N/A</v>
      </c>
      <c r="M276" s="178" t="s">
        <v>3545</v>
      </c>
      <c r="N276" s="179" t="str">
        <f>VLOOKUP(M276,'Dados ClubeFII'!$A:$Z,26,0)</f>
        <v>#N/A</v>
      </c>
      <c r="O276" s="185" t="str">
        <f>VLOOKUP(M276,'Dados ClubeFII'!$A:$Z,18,0)/100</f>
        <v>#N/A</v>
      </c>
      <c r="P276" s="186" t="str">
        <f t="shared" si="5"/>
        <v>#N/A</v>
      </c>
      <c r="Q276" s="187">
        <f>IF(ISERROR(1/VLOOKUP(M276,Capa!A:Z,6,0)),0,1/VLOOKUP(M276,Capa!A:Z,6,0))</f>
        <v>0</v>
      </c>
      <c r="R276" s="188">
        <f t="shared" si="6"/>
        <v>1.000001</v>
      </c>
      <c r="S276" s="189" t="str">
        <f t="shared" si="7"/>
        <v>#N/A</v>
      </c>
    </row>
    <row r="277">
      <c r="A277" s="190"/>
      <c r="B277" s="178" t="s">
        <v>3546</v>
      </c>
      <c r="C277" s="179" t="str">
        <f>VLOOKUP(B277,'Dados ClubeFII'!$A:$Z,26,0)</f>
        <v>#N/A</v>
      </c>
      <c r="D277" s="180" t="str">
        <f>VLOOKUP(B277,'Dados ClubeFII'!$A:$Z,20,0)/100</f>
        <v>#N/A</v>
      </c>
      <c r="E277" s="89" t="str">
        <f t="shared" si="1"/>
        <v>#N/A</v>
      </c>
      <c r="F277" s="181">
        <f>IF(ISERROR(1/VLOOKUP(B277,Capa!A:Z,13,0)),0,1/VLOOKUP(B277,Capa!A:Z,13,0))</f>
        <v>0</v>
      </c>
      <c r="G277" s="182">
        <f t="shared" si="2"/>
        <v>1.000001</v>
      </c>
      <c r="H277" s="183" t="str">
        <f t="shared" si="3"/>
        <v>#N/A</v>
      </c>
      <c r="M277" s="178" t="s">
        <v>3546</v>
      </c>
      <c r="N277" s="179" t="str">
        <f>VLOOKUP(M277,'Dados ClubeFII'!$A:$Z,26,0)</f>
        <v>#N/A</v>
      </c>
      <c r="O277" s="185" t="str">
        <f>VLOOKUP(M277,'Dados ClubeFII'!$A:$Z,18,0)/100</f>
        <v>#N/A</v>
      </c>
      <c r="P277" s="186" t="str">
        <f t="shared" si="5"/>
        <v>#N/A</v>
      </c>
      <c r="Q277" s="187">
        <f>IF(ISERROR(1/VLOOKUP(M277,Capa!A:Z,6,0)),0,1/VLOOKUP(M277,Capa!A:Z,6,0))</f>
        <v>0</v>
      </c>
      <c r="R277" s="188">
        <f t="shared" si="6"/>
        <v>1.000001</v>
      </c>
      <c r="S277" s="189" t="str">
        <f t="shared" si="7"/>
        <v>#N/A</v>
      </c>
    </row>
    <row r="278">
      <c r="A278" s="190"/>
      <c r="B278" s="178" t="s">
        <v>3547</v>
      </c>
      <c r="C278" s="179" t="str">
        <f>VLOOKUP(B278,'Dados ClubeFII'!$A:$Z,26,0)</f>
        <v>#N/A</v>
      </c>
      <c r="D278" s="180" t="str">
        <f>VLOOKUP(B278,'Dados ClubeFII'!$A:$Z,20,0)/100</f>
        <v>#N/A</v>
      </c>
      <c r="E278" s="89" t="str">
        <f t="shared" si="1"/>
        <v>#N/A</v>
      </c>
      <c r="F278" s="181">
        <f>IF(ISERROR(1/VLOOKUP(B278,Capa!A:Z,13,0)),0,1/VLOOKUP(B278,Capa!A:Z,13,0))</f>
        <v>0</v>
      </c>
      <c r="G278" s="182">
        <f t="shared" si="2"/>
        <v>1.000001</v>
      </c>
      <c r="H278" s="183" t="str">
        <f t="shared" si="3"/>
        <v>#N/A</v>
      </c>
      <c r="M278" s="178" t="s">
        <v>3547</v>
      </c>
      <c r="N278" s="179" t="str">
        <f>VLOOKUP(M278,'Dados ClubeFII'!$A:$Z,26,0)</f>
        <v>#N/A</v>
      </c>
      <c r="O278" s="185" t="str">
        <f>VLOOKUP(M278,'Dados ClubeFII'!$A:$Z,18,0)/100</f>
        <v>#N/A</v>
      </c>
      <c r="P278" s="186" t="str">
        <f t="shared" si="5"/>
        <v>#N/A</v>
      </c>
      <c r="Q278" s="187">
        <f>IF(ISERROR(1/VLOOKUP(M278,Capa!A:Z,6,0)),0,1/VLOOKUP(M278,Capa!A:Z,6,0))</f>
        <v>0</v>
      </c>
      <c r="R278" s="188">
        <f t="shared" si="6"/>
        <v>1.000001</v>
      </c>
      <c r="S278" s="189" t="str">
        <f t="shared" si="7"/>
        <v>#N/A</v>
      </c>
    </row>
    <row r="279">
      <c r="A279" s="190"/>
      <c r="B279" s="178" t="s">
        <v>3548</v>
      </c>
      <c r="C279" s="179" t="str">
        <f>VLOOKUP(B279,'Dados ClubeFII'!$A:$Z,26,0)</f>
        <v>#N/A</v>
      </c>
      <c r="D279" s="180" t="str">
        <f>VLOOKUP(B279,'Dados ClubeFII'!$A:$Z,20,0)/100</f>
        <v>#N/A</v>
      </c>
      <c r="E279" s="89" t="str">
        <f t="shared" si="1"/>
        <v>#N/A</v>
      </c>
      <c r="F279" s="181">
        <f>IF(ISERROR(1/VLOOKUP(B279,Capa!A:Z,13,0)),0,1/VLOOKUP(B279,Capa!A:Z,13,0))</f>
        <v>0</v>
      </c>
      <c r="G279" s="182">
        <f t="shared" si="2"/>
        <v>1.000001</v>
      </c>
      <c r="H279" s="183" t="str">
        <f t="shared" si="3"/>
        <v>#N/A</v>
      </c>
      <c r="M279" s="178" t="s">
        <v>3548</v>
      </c>
      <c r="N279" s="179" t="str">
        <f>VLOOKUP(M279,'Dados ClubeFII'!$A:$Z,26,0)</f>
        <v>#N/A</v>
      </c>
      <c r="O279" s="185" t="str">
        <f>VLOOKUP(M279,'Dados ClubeFII'!$A:$Z,18,0)/100</f>
        <v>#N/A</v>
      </c>
      <c r="P279" s="186" t="str">
        <f t="shared" si="5"/>
        <v>#N/A</v>
      </c>
      <c r="Q279" s="187">
        <f>IF(ISERROR(1/VLOOKUP(M279,Capa!A:Z,6,0)),0,1/VLOOKUP(M279,Capa!A:Z,6,0))</f>
        <v>0</v>
      </c>
      <c r="R279" s="188">
        <f t="shared" si="6"/>
        <v>1.000001</v>
      </c>
      <c r="S279" s="189" t="str">
        <f t="shared" si="7"/>
        <v>#N/A</v>
      </c>
    </row>
    <row r="280">
      <c r="A280" s="190"/>
      <c r="B280" s="178" t="s">
        <v>3549</v>
      </c>
      <c r="C280" s="179" t="str">
        <f>VLOOKUP(B280,'Dados ClubeFII'!$A:$Z,26,0)</f>
        <v>#N/A</v>
      </c>
      <c r="D280" s="180" t="str">
        <f>VLOOKUP(B280,'Dados ClubeFII'!$A:$Z,20,0)/100</f>
        <v>#N/A</v>
      </c>
      <c r="E280" s="89" t="str">
        <f t="shared" si="1"/>
        <v>#N/A</v>
      </c>
      <c r="F280" s="181">
        <f>IF(ISERROR(1/VLOOKUP(B280,Capa!A:Z,13,0)),0,1/VLOOKUP(B280,Capa!A:Z,13,0))</f>
        <v>0</v>
      </c>
      <c r="G280" s="182">
        <f t="shared" si="2"/>
        <v>1.000001</v>
      </c>
      <c r="H280" s="183" t="str">
        <f t="shared" si="3"/>
        <v>#N/A</v>
      </c>
      <c r="M280" s="178" t="s">
        <v>3549</v>
      </c>
      <c r="N280" s="179" t="str">
        <f>VLOOKUP(M280,'Dados ClubeFII'!$A:$Z,26,0)</f>
        <v>#N/A</v>
      </c>
      <c r="O280" s="185" t="str">
        <f>VLOOKUP(M280,'Dados ClubeFII'!$A:$Z,18,0)/100</f>
        <v>#N/A</v>
      </c>
      <c r="P280" s="186" t="str">
        <f t="shared" si="5"/>
        <v>#N/A</v>
      </c>
      <c r="Q280" s="187">
        <f>IF(ISERROR(1/VLOOKUP(M280,Capa!A:Z,6,0)),0,1/VLOOKUP(M280,Capa!A:Z,6,0))</f>
        <v>0</v>
      </c>
      <c r="R280" s="188">
        <f t="shared" si="6"/>
        <v>1.000001</v>
      </c>
      <c r="S280" s="189" t="str">
        <f t="shared" si="7"/>
        <v>#N/A</v>
      </c>
    </row>
    <row r="281">
      <c r="A281" s="190"/>
      <c r="B281" s="178" t="s">
        <v>3550</v>
      </c>
      <c r="C281" s="179" t="str">
        <f>VLOOKUP(B281,'Dados ClubeFII'!$A:$Z,26,0)</f>
        <v>#N/A</v>
      </c>
      <c r="D281" s="180" t="str">
        <f>VLOOKUP(B281,'Dados ClubeFII'!$A:$Z,20,0)/100</f>
        <v>#N/A</v>
      </c>
      <c r="E281" s="89" t="str">
        <f t="shared" si="1"/>
        <v>#N/A</v>
      </c>
      <c r="F281" s="181">
        <f>IF(ISERROR(1/VLOOKUP(B281,Capa!A:Z,13,0)),0,1/VLOOKUP(B281,Capa!A:Z,13,0))</f>
        <v>0</v>
      </c>
      <c r="G281" s="182">
        <f t="shared" si="2"/>
        <v>1.000001</v>
      </c>
      <c r="H281" s="183" t="str">
        <f t="shared" si="3"/>
        <v>#N/A</v>
      </c>
      <c r="M281" s="178" t="s">
        <v>3550</v>
      </c>
      <c r="N281" s="179" t="str">
        <f>VLOOKUP(M281,'Dados ClubeFII'!$A:$Z,26,0)</f>
        <v>#N/A</v>
      </c>
      <c r="O281" s="185" t="str">
        <f>VLOOKUP(M281,'Dados ClubeFII'!$A:$Z,18,0)/100</f>
        <v>#N/A</v>
      </c>
      <c r="P281" s="186" t="str">
        <f t="shared" si="5"/>
        <v>#N/A</v>
      </c>
      <c r="Q281" s="187">
        <f>IF(ISERROR(1/VLOOKUP(M281,Capa!A:Z,6,0)),0,1/VLOOKUP(M281,Capa!A:Z,6,0))</f>
        <v>0</v>
      </c>
      <c r="R281" s="188">
        <f t="shared" si="6"/>
        <v>1.000001</v>
      </c>
      <c r="S281" s="189" t="str">
        <f t="shared" si="7"/>
        <v>#N/A</v>
      </c>
    </row>
    <row r="282">
      <c r="A282" s="190"/>
      <c r="B282" s="178" t="s">
        <v>3551</v>
      </c>
      <c r="C282" s="179" t="str">
        <f>VLOOKUP(B282,'Dados ClubeFII'!$A:$Z,26,0)</f>
        <v>#N/A</v>
      </c>
      <c r="D282" s="180" t="str">
        <f>VLOOKUP(B282,'Dados ClubeFII'!$A:$Z,20,0)/100</f>
        <v>#N/A</v>
      </c>
      <c r="E282" s="89" t="str">
        <f t="shared" si="1"/>
        <v>#N/A</v>
      </c>
      <c r="F282" s="181">
        <f>IF(ISERROR(1/VLOOKUP(B282,Capa!A:Z,13,0)),0,1/VLOOKUP(B282,Capa!A:Z,13,0))</f>
        <v>0</v>
      </c>
      <c r="G282" s="182">
        <f t="shared" si="2"/>
        <v>1.000001</v>
      </c>
      <c r="H282" s="183" t="str">
        <f t="shared" si="3"/>
        <v>#N/A</v>
      </c>
      <c r="M282" s="178" t="s">
        <v>3551</v>
      </c>
      <c r="N282" s="179" t="str">
        <f>VLOOKUP(M282,'Dados ClubeFII'!$A:$Z,26,0)</f>
        <v>#N/A</v>
      </c>
      <c r="O282" s="185" t="str">
        <f>VLOOKUP(M282,'Dados ClubeFII'!$A:$Z,18,0)/100</f>
        <v>#N/A</v>
      </c>
      <c r="P282" s="186" t="str">
        <f t="shared" si="5"/>
        <v>#N/A</v>
      </c>
      <c r="Q282" s="187">
        <f>IF(ISERROR(1/VLOOKUP(M282,Capa!A:Z,6,0)),0,1/VLOOKUP(M282,Capa!A:Z,6,0))</f>
        <v>0</v>
      </c>
      <c r="R282" s="188">
        <f t="shared" si="6"/>
        <v>1.000001</v>
      </c>
      <c r="S282" s="189" t="str">
        <f t="shared" si="7"/>
        <v>#N/A</v>
      </c>
    </row>
    <row r="283">
      <c r="A283" s="190"/>
      <c r="B283" s="178" t="s">
        <v>3552</v>
      </c>
      <c r="C283" s="179" t="str">
        <f>VLOOKUP(B283,'Dados ClubeFII'!$A:$Z,26,0)</f>
        <v>#N/A</v>
      </c>
      <c r="D283" s="180" t="str">
        <f>VLOOKUP(B283,'Dados ClubeFII'!$A:$Z,20,0)/100</f>
        <v>#N/A</v>
      </c>
      <c r="E283" s="89" t="str">
        <f t="shared" si="1"/>
        <v>#N/A</v>
      </c>
      <c r="F283" s="181">
        <f>IF(ISERROR(1/VLOOKUP(B283,Capa!A:Z,13,0)),0,1/VLOOKUP(B283,Capa!A:Z,13,0))</f>
        <v>0</v>
      </c>
      <c r="G283" s="182">
        <f t="shared" si="2"/>
        <v>1.000001</v>
      </c>
      <c r="H283" s="183" t="str">
        <f t="shared" si="3"/>
        <v>#N/A</v>
      </c>
      <c r="M283" s="178" t="s">
        <v>3552</v>
      </c>
      <c r="N283" s="179" t="str">
        <f>VLOOKUP(M283,'Dados ClubeFII'!$A:$Z,26,0)</f>
        <v>#N/A</v>
      </c>
      <c r="O283" s="185" t="str">
        <f>VLOOKUP(M283,'Dados ClubeFII'!$A:$Z,18,0)/100</f>
        <v>#N/A</v>
      </c>
      <c r="P283" s="186" t="str">
        <f t="shared" si="5"/>
        <v>#N/A</v>
      </c>
      <c r="Q283" s="187">
        <f>IF(ISERROR(1/VLOOKUP(M283,Capa!A:Z,6,0)),0,1/VLOOKUP(M283,Capa!A:Z,6,0))</f>
        <v>0</v>
      </c>
      <c r="R283" s="188">
        <f t="shared" si="6"/>
        <v>1.000001</v>
      </c>
      <c r="S283" s="189" t="str">
        <f t="shared" si="7"/>
        <v>#N/A</v>
      </c>
    </row>
    <row r="284">
      <c r="A284" s="190"/>
      <c r="B284" s="178" t="s">
        <v>3553</v>
      </c>
      <c r="C284" s="179" t="str">
        <f>VLOOKUP(B284,'Dados ClubeFII'!$A:$Z,26,0)</f>
        <v>#N/A</v>
      </c>
      <c r="D284" s="180" t="str">
        <f>VLOOKUP(B284,'Dados ClubeFII'!$A:$Z,20,0)/100</f>
        <v>#N/A</v>
      </c>
      <c r="E284" s="89" t="str">
        <f t="shared" si="1"/>
        <v>#N/A</v>
      </c>
      <c r="F284" s="181">
        <f>IF(ISERROR(1/VLOOKUP(B284,Capa!A:Z,13,0)),0,1/VLOOKUP(B284,Capa!A:Z,13,0))</f>
        <v>0</v>
      </c>
      <c r="G284" s="182">
        <f t="shared" si="2"/>
        <v>1.000001</v>
      </c>
      <c r="H284" s="183" t="str">
        <f t="shared" si="3"/>
        <v>#N/A</v>
      </c>
      <c r="M284" s="178" t="s">
        <v>3553</v>
      </c>
      <c r="N284" s="179" t="str">
        <f>VLOOKUP(M284,'Dados ClubeFII'!$A:$Z,26,0)</f>
        <v>#N/A</v>
      </c>
      <c r="O284" s="185" t="str">
        <f>VLOOKUP(M284,'Dados ClubeFII'!$A:$Z,18,0)/100</f>
        <v>#N/A</v>
      </c>
      <c r="P284" s="186" t="str">
        <f t="shared" si="5"/>
        <v>#N/A</v>
      </c>
      <c r="Q284" s="187">
        <f>IF(ISERROR(1/VLOOKUP(M284,Capa!A:Z,6,0)),0,1/VLOOKUP(M284,Capa!A:Z,6,0))</f>
        <v>0</v>
      </c>
      <c r="R284" s="188">
        <f t="shared" si="6"/>
        <v>1.000001</v>
      </c>
      <c r="S284" s="189" t="str">
        <f t="shared" si="7"/>
        <v>#N/A</v>
      </c>
    </row>
    <row r="285">
      <c r="A285" s="190"/>
      <c r="B285" s="178" t="s">
        <v>3554</v>
      </c>
      <c r="C285" s="179" t="str">
        <f>VLOOKUP(B285,'Dados ClubeFII'!$A:$Z,26,0)</f>
        <v>#N/A</v>
      </c>
      <c r="D285" s="180" t="str">
        <f>VLOOKUP(B285,'Dados ClubeFII'!$A:$Z,20,0)/100</f>
        <v>#N/A</v>
      </c>
      <c r="E285" s="89" t="str">
        <f t="shared" si="1"/>
        <v>#N/A</v>
      </c>
      <c r="F285" s="181">
        <f>IF(ISERROR(1/VLOOKUP(B285,Capa!A:Z,13,0)),0,1/VLOOKUP(B285,Capa!A:Z,13,0))</f>
        <v>0</v>
      </c>
      <c r="G285" s="182">
        <f t="shared" si="2"/>
        <v>1.000001</v>
      </c>
      <c r="H285" s="183" t="str">
        <f t="shared" si="3"/>
        <v>#N/A</v>
      </c>
      <c r="M285" s="178" t="s">
        <v>3554</v>
      </c>
      <c r="N285" s="179" t="str">
        <f>VLOOKUP(M285,'Dados ClubeFII'!$A:$Z,26,0)</f>
        <v>#N/A</v>
      </c>
      <c r="O285" s="185" t="str">
        <f>VLOOKUP(M285,'Dados ClubeFII'!$A:$Z,18,0)/100</f>
        <v>#N/A</v>
      </c>
      <c r="P285" s="186" t="str">
        <f t="shared" si="5"/>
        <v>#N/A</v>
      </c>
      <c r="Q285" s="187">
        <f>IF(ISERROR(1/VLOOKUP(M285,Capa!A:Z,6,0)),0,1/VLOOKUP(M285,Capa!A:Z,6,0))</f>
        <v>0</v>
      </c>
      <c r="R285" s="188">
        <f t="shared" si="6"/>
        <v>1.000001</v>
      </c>
      <c r="S285" s="189" t="str">
        <f t="shared" si="7"/>
        <v>#N/A</v>
      </c>
    </row>
    <row r="286">
      <c r="A286" s="190"/>
      <c r="B286" s="178" t="s">
        <v>3555</v>
      </c>
      <c r="C286" s="179" t="str">
        <f>VLOOKUP(B286,'Dados ClubeFII'!$A:$Z,26,0)</f>
        <v>#N/A</v>
      </c>
      <c r="D286" s="180" t="str">
        <f>VLOOKUP(B286,'Dados ClubeFII'!$A:$Z,20,0)/100</f>
        <v>#N/A</v>
      </c>
      <c r="E286" s="89" t="str">
        <f t="shared" si="1"/>
        <v>#N/A</v>
      </c>
      <c r="F286" s="181">
        <f>IF(ISERROR(1/VLOOKUP(B286,Capa!A:Z,13,0)),0,1/VLOOKUP(B286,Capa!A:Z,13,0))</f>
        <v>0</v>
      </c>
      <c r="G286" s="182">
        <f t="shared" si="2"/>
        <v>1.000001</v>
      </c>
      <c r="H286" s="183" t="str">
        <f t="shared" si="3"/>
        <v>#N/A</v>
      </c>
      <c r="M286" s="178" t="s">
        <v>3555</v>
      </c>
      <c r="N286" s="179" t="str">
        <f>VLOOKUP(M286,'Dados ClubeFII'!$A:$Z,26,0)</f>
        <v>#N/A</v>
      </c>
      <c r="O286" s="185" t="str">
        <f>VLOOKUP(M286,'Dados ClubeFII'!$A:$Z,18,0)/100</f>
        <v>#N/A</v>
      </c>
      <c r="P286" s="186" t="str">
        <f t="shared" si="5"/>
        <v>#N/A</v>
      </c>
      <c r="Q286" s="187">
        <f>IF(ISERROR(1/VLOOKUP(M286,Capa!A:Z,6,0)),0,1/VLOOKUP(M286,Capa!A:Z,6,0))</f>
        <v>0</v>
      </c>
      <c r="R286" s="188">
        <f t="shared" si="6"/>
        <v>1.000001</v>
      </c>
      <c r="S286" s="189" t="str">
        <f t="shared" si="7"/>
        <v>#N/A</v>
      </c>
    </row>
    <row r="287">
      <c r="A287" s="190"/>
      <c r="B287" s="178" t="s">
        <v>3556</v>
      </c>
      <c r="C287" s="179" t="str">
        <f>VLOOKUP(B287,'Dados ClubeFII'!$A:$Z,26,0)</f>
        <v>#N/A</v>
      </c>
      <c r="D287" s="180" t="str">
        <f>VLOOKUP(B287,'Dados ClubeFII'!$A:$Z,20,0)/100</f>
        <v>#N/A</v>
      </c>
      <c r="E287" s="89" t="str">
        <f t="shared" si="1"/>
        <v>#N/A</v>
      </c>
      <c r="F287" s="181">
        <f>IF(ISERROR(1/VLOOKUP(B287,Capa!A:Z,13,0)),0,1/VLOOKUP(B287,Capa!A:Z,13,0))</f>
        <v>0</v>
      </c>
      <c r="G287" s="182">
        <f t="shared" si="2"/>
        <v>1.000001</v>
      </c>
      <c r="H287" s="183" t="str">
        <f t="shared" si="3"/>
        <v>#N/A</v>
      </c>
      <c r="M287" s="178" t="s">
        <v>3556</v>
      </c>
      <c r="N287" s="179" t="str">
        <f>VLOOKUP(M287,'Dados ClubeFII'!$A:$Z,26,0)</f>
        <v>#N/A</v>
      </c>
      <c r="O287" s="185" t="str">
        <f>VLOOKUP(M287,'Dados ClubeFII'!$A:$Z,18,0)/100</f>
        <v>#N/A</v>
      </c>
      <c r="P287" s="186" t="str">
        <f t="shared" si="5"/>
        <v>#N/A</v>
      </c>
      <c r="Q287" s="187">
        <f>IF(ISERROR(1/VLOOKUP(M287,Capa!A:Z,6,0)),0,1/VLOOKUP(M287,Capa!A:Z,6,0))</f>
        <v>0</v>
      </c>
      <c r="R287" s="188">
        <f t="shared" si="6"/>
        <v>1.000001</v>
      </c>
      <c r="S287" s="189" t="str">
        <f t="shared" si="7"/>
        <v>#N/A</v>
      </c>
    </row>
    <row r="288">
      <c r="A288" s="190"/>
      <c r="B288" s="178" t="s">
        <v>3557</v>
      </c>
      <c r="C288" s="179" t="str">
        <f>VLOOKUP(B288,'Dados ClubeFII'!$A:$Z,26,0)</f>
        <v>#N/A</v>
      </c>
      <c r="D288" s="180" t="str">
        <f>VLOOKUP(B288,'Dados ClubeFII'!$A:$Z,20,0)/100</f>
        <v>#N/A</v>
      </c>
      <c r="E288" s="89" t="str">
        <f t="shared" si="1"/>
        <v>#N/A</v>
      </c>
      <c r="F288" s="181">
        <f>IF(ISERROR(1/VLOOKUP(B288,Capa!A:Z,13,0)),0,1/VLOOKUP(B288,Capa!A:Z,13,0))</f>
        <v>0</v>
      </c>
      <c r="G288" s="182">
        <f t="shared" si="2"/>
        <v>1.000001</v>
      </c>
      <c r="H288" s="183" t="str">
        <f t="shared" si="3"/>
        <v>#N/A</v>
      </c>
      <c r="M288" s="178" t="s">
        <v>3557</v>
      </c>
      <c r="N288" s="179" t="str">
        <f>VLOOKUP(M288,'Dados ClubeFII'!$A:$Z,26,0)</f>
        <v>#N/A</v>
      </c>
      <c r="O288" s="185" t="str">
        <f>VLOOKUP(M288,'Dados ClubeFII'!$A:$Z,18,0)/100</f>
        <v>#N/A</v>
      </c>
      <c r="P288" s="186" t="str">
        <f t="shared" si="5"/>
        <v>#N/A</v>
      </c>
      <c r="Q288" s="187">
        <f>IF(ISERROR(1/VLOOKUP(M288,Capa!A:Z,6,0)),0,1/VLOOKUP(M288,Capa!A:Z,6,0))</f>
        <v>0</v>
      </c>
      <c r="R288" s="188">
        <f t="shared" si="6"/>
        <v>1.000001</v>
      </c>
      <c r="S288" s="189" t="str">
        <f t="shared" si="7"/>
        <v>#N/A</v>
      </c>
    </row>
    <row r="289">
      <c r="A289" s="190"/>
      <c r="B289" s="178" t="s">
        <v>3558</v>
      </c>
      <c r="C289" s="179" t="str">
        <f>VLOOKUP(B289,'Dados ClubeFII'!$A:$Z,26,0)</f>
        <v>#N/A</v>
      </c>
      <c r="D289" s="180" t="str">
        <f>VLOOKUP(B289,'Dados ClubeFII'!$A:$Z,20,0)/100</f>
        <v>#N/A</v>
      </c>
      <c r="E289" s="89" t="str">
        <f t="shared" si="1"/>
        <v>#N/A</v>
      </c>
      <c r="F289" s="181">
        <f>IF(ISERROR(1/VLOOKUP(B289,Capa!A:Z,13,0)),0,1/VLOOKUP(B289,Capa!A:Z,13,0))</f>
        <v>0</v>
      </c>
      <c r="G289" s="182">
        <f t="shared" si="2"/>
        <v>1.000001</v>
      </c>
      <c r="H289" s="183" t="str">
        <f t="shared" si="3"/>
        <v>#N/A</v>
      </c>
      <c r="M289" s="178" t="s">
        <v>3558</v>
      </c>
      <c r="N289" s="179" t="str">
        <f>VLOOKUP(M289,'Dados ClubeFII'!$A:$Z,26,0)</f>
        <v>#N/A</v>
      </c>
      <c r="O289" s="185" t="str">
        <f>VLOOKUP(M289,'Dados ClubeFII'!$A:$Z,18,0)/100</f>
        <v>#N/A</v>
      </c>
      <c r="P289" s="186" t="str">
        <f t="shared" si="5"/>
        <v>#N/A</v>
      </c>
      <c r="Q289" s="187">
        <f>IF(ISERROR(1/VLOOKUP(M289,Capa!A:Z,6,0)),0,1/VLOOKUP(M289,Capa!A:Z,6,0))</f>
        <v>0</v>
      </c>
      <c r="R289" s="188">
        <f t="shared" si="6"/>
        <v>1.000001</v>
      </c>
      <c r="S289" s="189" t="str">
        <f t="shared" si="7"/>
        <v>#N/A</v>
      </c>
    </row>
    <row r="290">
      <c r="A290" s="190"/>
      <c r="B290" s="178" t="s">
        <v>3559</v>
      </c>
      <c r="C290" s="179" t="str">
        <f>VLOOKUP(B290,'Dados ClubeFII'!$A:$Z,26,0)</f>
        <v>#N/A</v>
      </c>
      <c r="D290" s="180" t="str">
        <f>VLOOKUP(B290,'Dados ClubeFII'!$A:$Z,20,0)/100</f>
        <v>#N/A</v>
      </c>
      <c r="E290" s="89" t="str">
        <f t="shared" si="1"/>
        <v>#N/A</v>
      </c>
      <c r="F290" s="181">
        <f>IF(ISERROR(1/VLOOKUP(B290,Capa!A:Z,13,0)),0,1/VLOOKUP(B290,Capa!A:Z,13,0))</f>
        <v>0</v>
      </c>
      <c r="G290" s="182">
        <f t="shared" si="2"/>
        <v>1.000001</v>
      </c>
      <c r="H290" s="183" t="str">
        <f t="shared" si="3"/>
        <v>#N/A</v>
      </c>
      <c r="M290" s="178" t="s">
        <v>3559</v>
      </c>
      <c r="N290" s="179" t="str">
        <f>VLOOKUP(M290,'Dados ClubeFII'!$A:$Z,26,0)</f>
        <v>#N/A</v>
      </c>
      <c r="O290" s="185" t="str">
        <f>VLOOKUP(M290,'Dados ClubeFII'!$A:$Z,18,0)/100</f>
        <v>#N/A</v>
      </c>
      <c r="P290" s="186" t="str">
        <f t="shared" si="5"/>
        <v>#N/A</v>
      </c>
      <c r="Q290" s="187">
        <f>IF(ISERROR(1/VLOOKUP(M290,Capa!A:Z,6,0)),0,1/VLOOKUP(M290,Capa!A:Z,6,0))</f>
        <v>0</v>
      </c>
      <c r="R290" s="188">
        <f t="shared" si="6"/>
        <v>1.000001</v>
      </c>
      <c r="S290" s="189" t="str">
        <f t="shared" si="7"/>
        <v>#N/A</v>
      </c>
    </row>
    <row r="291">
      <c r="A291" s="190"/>
      <c r="B291" s="178" t="s">
        <v>3560</v>
      </c>
      <c r="C291" s="179" t="str">
        <f>VLOOKUP(B291,'Dados ClubeFII'!$A:$Z,26,0)</f>
        <v>#N/A</v>
      </c>
      <c r="D291" s="180" t="str">
        <f>VLOOKUP(B291,'Dados ClubeFII'!$A:$Z,20,0)/100</f>
        <v>#N/A</v>
      </c>
      <c r="E291" s="89" t="str">
        <f t="shared" si="1"/>
        <v>#N/A</v>
      </c>
      <c r="F291" s="181">
        <f>IF(ISERROR(1/VLOOKUP(B291,Capa!A:Z,13,0)),0,1/VLOOKUP(B291,Capa!A:Z,13,0))</f>
        <v>0</v>
      </c>
      <c r="G291" s="182">
        <f t="shared" si="2"/>
        <v>1.000001</v>
      </c>
      <c r="H291" s="183" t="str">
        <f t="shared" si="3"/>
        <v>#N/A</v>
      </c>
      <c r="M291" s="178" t="s">
        <v>3560</v>
      </c>
      <c r="N291" s="179" t="str">
        <f>VLOOKUP(M291,'Dados ClubeFII'!$A:$Z,26,0)</f>
        <v>#N/A</v>
      </c>
      <c r="O291" s="185" t="str">
        <f>VLOOKUP(M291,'Dados ClubeFII'!$A:$Z,18,0)/100</f>
        <v>#N/A</v>
      </c>
      <c r="P291" s="186" t="str">
        <f t="shared" si="5"/>
        <v>#N/A</v>
      </c>
      <c r="Q291" s="187">
        <f>IF(ISERROR(1/VLOOKUP(M291,Capa!A:Z,6,0)),0,1/VLOOKUP(M291,Capa!A:Z,6,0))</f>
        <v>0</v>
      </c>
      <c r="R291" s="188">
        <f t="shared" si="6"/>
        <v>1.000001</v>
      </c>
      <c r="S291" s="189" t="str">
        <f t="shared" si="7"/>
        <v>#N/A</v>
      </c>
    </row>
    <row r="292">
      <c r="A292" s="190"/>
      <c r="B292" s="178" t="s">
        <v>3561</v>
      </c>
      <c r="C292" s="179" t="str">
        <f>VLOOKUP(B292,'Dados ClubeFII'!$A:$Z,26,0)</f>
        <v>#N/A</v>
      </c>
      <c r="D292" s="180" t="str">
        <f>VLOOKUP(B292,'Dados ClubeFII'!$A:$Z,20,0)/100</f>
        <v>#N/A</v>
      </c>
      <c r="E292" s="89" t="str">
        <f t="shared" si="1"/>
        <v>#N/A</v>
      </c>
      <c r="F292" s="181">
        <f>IF(ISERROR(1/VLOOKUP(B292,Capa!A:Z,13,0)),0,1/VLOOKUP(B292,Capa!A:Z,13,0))</f>
        <v>0</v>
      </c>
      <c r="G292" s="182">
        <f t="shared" si="2"/>
        <v>1.000001</v>
      </c>
      <c r="H292" s="183" t="str">
        <f t="shared" si="3"/>
        <v>#N/A</v>
      </c>
      <c r="M292" s="178" t="s">
        <v>3561</v>
      </c>
      <c r="N292" s="179" t="str">
        <f>VLOOKUP(M292,'Dados ClubeFII'!$A:$Z,26,0)</f>
        <v>#N/A</v>
      </c>
      <c r="O292" s="185" t="str">
        <f>VLOOKUP(M292,'Dados ClubeFII'!$A:$Z,18,0)/100</f>
        <v>#N/A</v>
      </c>
      <c r="P292" s="186" t="str">
        <f t="shared" si="5"/>
        <v>#N/A</v>
      </c>
      <c r="Q292" s="187">
        <f>IF(ISERROR(1/VLOOKUP(M292,Capa!A:Z,6,0)),0,1/VLOOKUP(M292,Capa!A:Z,6,0))</f>
        <v>0</v>
      </c>
      <c r="R292" s="188">
        <f t="shared" si="6"/>
        <v>1.000001</v>
      </c>
      <c r="S292" s="189" t="str">
        <f t="shared" si="7"/>
        <v>#N/A</v>
      </c>
    </row>
    <row r="293">
      <c r="A293" s="190"/>
      <c r="B293" s="178" t="s">
        <v>3562</v>
      </c>
      <c r="C293" s="179" t="str">
        <f>VLOOKUP(B293,'Dados ClubeFII'!$A:$Z,26,0)</f>
        <v>#N/A</v>
      </c>
      <c r="D293" s="180" t="str">
        <f>VLOOKUP(B293,'Dados ClubeFII'!$A:$Z,20,0)/100</f>
        <v>#N/A</v>
      </c>
      <c r="E293" s="89" t="str">
        <f t="shared" si="1"/>
        <v>#N/A</v>
      </c>
      <c r="F293" s="181">
        <f>IF(ISERROR(1/VLOOKUP(B293,Capa!A:Z,13,0)),0,1/VLOOKUP(B293,Capa!A:Z,13,0))</f>
        <v>0</v>
      </c>
      <c r="G293" s="182">
        <f t="shared" si="2"/>
        <v>1.000001</v>
      </c>
      <c r="H293" s="183" t="str">
        <f t="shared" si="3"/>
        <v>#N/A</v>
      </c>
      <c r="M293" s="178" t="s">
        <v>3562</v>
      </c>
      <c r="N293" s="179" t="str">
        <f>VLOOKUP(M293,'Dados ClubeFII'!$A:$Z,26,0)</f>
        <v>#N/A</v>
      </c>
      <c r="O293" s="185" t="str">
        <f>VLOOKUP(M293,'Dados ClubeFII'!$A:$Z,18,0)/100</f>
        <v>#N/A</v>
      </c>
      <c r="P293" s="186" t="str">
        <f t="shared" si="5"/>
        <v>#N/A</v>
      </c>
      <c r="Q293" s="187">
        <f>IF(ISERROR(1/VLOOKUP(M293,Capa!A:Z,6,0)),0,1/VLOOKUP(M293,Capa!A:Z,6,0))</f>
        <v>0</v>
      </c>
      <c r="R293" s="188">
        <f t="shared" si="6"/>
        <v>1.000001</v>
      </c>
      <c r="S293" s="189" t="str">
        <f t="shared" si="7"/>
        <v>#N/A</v>
      </c>
    </row>
    <row r="294">
      <c r="A294" s="190"/>
      <c r="B294" s="178" t="s">
        <v>3563</v>
      </c>
      <c r="C294" s="179" t="str">
        <f>VLOOKUP(B294,'Dados ClubeFII'!$A:$Z,26,0)</f>
        <v>#N/A</v>
      </c>
      <c r="D294" s="180" t="str">
        <f>VLOOKUP(B294,'Dados ClubeFII'!$A:$Z,20,0)/100</f>
        <v>#N/A</v>
      </c>
      <c r="E294" s="89" t="str">
        <f t="shared" si="1"/>
        <v>#N/A</v>
      </c>
      <c r="F294" s="181">
        <f>IF(ISERROR(1/VLOOKUP(B294,Capa!A:Z,13,0)),0,1/VLOOKUP(B294,Capa!A:Z,13,0))</f>
        <v>0</v>
      </c>
      <c r="G294" s="182">
        <f t="shared" si="2"/>
        <v>1.000001</v>
      </c>
      <c r="H294" s="183" t="str">
        <f t="shared" si="3"/>
        <v>#N/A</v>
      </c>
      <c r="M294" s="178" t="s">
        <v>3563</v>
      </c>
      <c r="N294" s="179" t="str">
        <f>VLOOKUP(M294,'Dados ClubeFII'!$A:$Z,26,0)</f>
        <v>#N/A</v>
      </c>
      <c r="O294" s="185" t="str">
        <f>VLOOKUP(M294,'Dados ClubeFII'!$A:$Z,18,0)/100</f>
        <v>#N/A</v>
      </c>
      <c r="P294" s="186" t="str">
        <f t="shared" si="5"/>
        <v>#N/A</v>
      </c>
      <c r="Q294" s="187">
        <f>IF(ISERROR(1/VLOOKUP(M294,Capa!A:Z,6,0)),0,1/VLOOKUP(M294,Capa!A:Z,6,0))</f>
        <v>0</v>
      </c>
      <c r="R294" s="188">
        <f t="shared" si="6"/>
        <v>1.000001</v>
      </c>
      <c r="S294" s="189" t="str">
        <f t="shared" si="7"/>
        <v>#N/A</v>
      </c>
    </row>
    <row r="295">
      <c r="A295" s="190"/>
      <c r="B295" s="178" t="s">
        <v>3564</v>
      </c>
      <c r="C295" s="179" t="str">
        <f>VLOOKUP(B295,'Dados ClubeFII'!$A:$Z,26,0)</f>
        <v>#N/A</v>
      </c>
      <c r="D295" s="180" t="str">
        <f>VLOOKUP(B295,'Dados ClubeFII'!$A:$Z,20,0)/100</f>
        <v>#N/A</v>
      </c>
      <c r="E295" s="89" t="str">
        <f t="shared" si="1"/>
        <v>#N/A</v>
      </c>
      <c r="F295" s="181">
        <f>IF(ISERROR(1/VLOOKUP(B295,Capa!A:Z,13,0)),0,1/VLOOKUP(B295,Capa!A:Z,13,0))</f>
        <v>0</v>
      </c>
      <c r="G295" s="182">
        <f t="shared" si="2"/>
        <v>1.000001</v>
      </c>
      <c r="H295" s="183" t="str">
        <f t="shared" si="3"/>
        <v>#N/A</v>
      </c>
      <c r="M295" s="178" t="s">
        <v>3564</v>
      </c>
      <c r="N295" s="179" t="str">
        <f>VLOOKUP(M295,'Dados ClubeFII'!$A:$Z,26,0)</f>
        <v>#N/A</v>
      </c>
      <c r="O295" s="185" t="str">
        <f>VLOOKUP(M295,'Dados ClubeFII'!$A:$Z,18,0)/100</f>
        <v>#N/A</v>
      </c>
      <c r="P295" s="186" t="str">
        <f t="shared" si="5"/>
        <v>#N/A</v>
      </c>
      <c r="Q295" s="187">
        <f>IF(ISERROR(1/VLOOKUP(M295,Capa!A:Z,6,0)),0,1/VLOOKUP(M295,Capa!A:Z,6,0))</f>
        <v>0</v>
      </c>
      <c r="R295" s="188">
        <f t="shared" si="6"/>
        <v>1.000001</v>
      </c>
      <c r="S295" s="189" t="str">
        <f t="shared" si="7"/>
        <v>#N/A</v>
      </c>
    </row>
    <row r="296">
      <c r="A296" s="190"/>
      <c r="B296" s="178" t="s">
        <v>3565</v>
      </c>
      <c r="C296" s="179" t="str">
        <f>VLOOKUP(B296,'Dados ClubeFII'!$A:$Z,26,0)</f>
        <v>#N/A</v>
      </c>
      <c r="D296" s="180" t="str">
        <f>VLOOKUP(B296,'Dados ClubeFII'!$A:$Z,20,0)/100</f>
        <v>#N/A</v>
      </c>
      <c r="E296" s="89" t="str">
        <f t="shared" si="1"/>
        <v>#N/A</v>
      </c>
      <c r="F296" s="181">
        <f>IF(ISERROR(1/VLOOKUP(B296,Capa!A:Z,13,0)),0,1/VLOOKUP(B296,Capa!A:Z,13,0))</f>
        <v>0</v>
      </c>
      <c r="G296" s="182">
        <f t="shared" si="2"/>
        <v>1.000001</v>
      </c>
      <c r="H296" s="183" t="str">
        <f t="shared" si="3"/>
        <v>#N/A</v>
      </c>
      <c r="M296" s="178" t="s">
        <v>3565</v>
      </c>
      <c r="N296" s="179" t="str">
        <f>VLOOKUP(M296,'Dados ClubeFII'!$A:$Z,26,0)</f>
        <v>#N/A</v>
      </c>
      <c r="O296" s="185" t="str">
        <f>VLOOKUP(M296,'Dados ClubeFII'!$A:$Z,18,0)/100</f>
        <v>#N/A</v>
      </c>
      <c r="P296" s="186" t="str">
        <f t="shared" si="5"/>
        <v>#N/A</v>
      </c>
      <c r="Q296" s="187">
        <f>IF(ISERROR(1/VLOOKUP(M296,Capa!A:Z,6,0)),0,1/VLOOKUP(M296,Capa!A:Z,6,0))</f>
        <v>0</v>
      </c>
      <c r="R296" s="188">
        <f t="shared" si="6"/>
        <v>1.000001</v>
      </c>
      <c r="S296" s="189" t="str">
        <f t="shared" si="7"/>
        <v>#N/A</v>
      </c>
    </row>
    <row r="297">
      <c r="A297" s="190"/>
      <c r="B297" s="178" t="s">
        <v>3566</v>
      </c>
      <c r="C297" s="179" t="str">
        <f>VLOOKUP(B297,'Dados ClubeFII'!$A:$Z,26,0)</f>
        <v>#N/A</v>
      </c>
      <c r="D297" s="180" t="str">
        <f>VLOOKUP(B297,'Dados ClubeFII'!$A:$Z,20,0)/100</f>
        <v>#N/A</v>
      </c>
      <c r="E297" s="89" t="str">
        <f t="shared" si="1"/>
        <v>#N/A</v>
      </c>
      <c r="F297" s="181">
        <f>IF(ISERROR(1/VLOOKUP(B297,Capa!A:Z,13,0)),0,1/VLOOKUP(B297,Capa!A:Z,13,0))</f>
        <v>0</v>
      </c>
      <c r="G297" s="182">
        <f t="shared" si="2"/>
        <v>1.000001</v>
      </c>
      <c r="H297" s="183" t="str">
        <f t="shared" si="3"/>
        <v>#N/A</v>
      </c>
      <c r="M297" s="178" t="s">
        <v>3566</v>
      </c>
      <c r="N297" s="179" t="str">
        <f>VLOOKUP(M297,'Dados ClubeFII'!$A:$Z,26,0)</f>
        <v>#N/A</v>
      </c>
      <c r="O297" s="185" t="str">
        <f>VLOOKUP(M297,'Dados ClubeFII'!$A:$Z,18,0)/100</f>
        <v>#N/A</v>
      </c>
      <c r="P297" s="186" t="str">
        <f t="shared" si="5"/>
        <v>#N/A</v>
      </c>
      <c r="Q297" s="187">
        <f>IF(ISERROR(1/VLOOKUP(M297,Capa!A:Z,6,0)),0,1/VLOOKUP(M297,Capa!A:Z,6,0))</f>
        <v>0</v>
      </c>
      <c r="R297" s="188">
        <f t="shared" si="6"/>
        <v>1.000001</v>
      </c>
      <c r="S297" s="189" t="str">
        <f t="shared" si="7"/>
        <v>#N/A</v>
      </c>
    </row>
    <row r="298">
      <c r="A298" s="190"/>
      <c r="B298" s="178" t="s">
        <v>3567</v>
      </c>
      <c r="C298" s="179" t="str">
        <f>VLOOKUP(B298,'Dados ClubeFII'!$A:$Z,26,0)</f>
        <v>#N/A</v>
      </c>
      <c r="D298" s="180" t="str">
        <f>VLOOKUP(B298,'Dados ClubeFII'!$A:$Z,20,0)/100</f>
        <v>#N/A</v>
      </c>
      <c r="E298" s="89" t="str">
        <f t="shared" si="1"/>
        <v>#N/A</v>
      </c>
      <c r="F298" s="181">
        <f>IF(ISERROR(1/VLOOKUP(B298,Capa!A:Z,13,0)),0,1/VLOOKUP(B298,Capa!A:Z,13,0))</f>
        <v>0</v>
      </c>
      <c r="G298" s="182">
        <f t="shared" si="2"/>
        <v>1.000001</v>
      </c>
      <c r="H298" s="183" t="str">
        <f t="shared" si="3"/>
        <v>#N/A</v>
      </c>
      <c r="M298" s="178" t="s">
        <v>3567</v>
      </c>
      <c r="N298" s="179" t="str">
        <f>VLOOKUP(M298,'Dados ClubeFII'!$A:$Z,26,0)</f>
        <v>#N/A</v>
      </c>
      <c r="O298" s="185" t="str">
        <f>VLOOKUP(M298,'Dados ClubeFII'!$A:$Z,18,0)/100</f>
        <v>#N/A</v>
      </c>
      <c r="P298" s="186" t="str">
        <f t="shared" si="5"/>
        <v>#N/A</v>
      </c>
      <c r="Q298" s="187">
        <f>IF(ISERROR(1/VLOOKUP(M298,Capa!A:Z,6,0)),0,1/VLOOKUP(M298,Capa!A:Z,6,0))</f>
        <v>0</v>
      </c>
      <c r="R298" s="188">
        <f t="shared" si="6"/>
        <v>1.000001</v>
      </c>
      <c r="S298" s="189" t="str">
        <f t="shared" si="7"/>
        <v>#N/A</v>
      </c>
    </row>
    <row r="299">
      <c r="A299" s="190"/>
      <c r="B299" s="178" t="s">
        <v>3568</v>
      </c>
      <c r="C299" s="179" t="str">
        <f>VLOOKUP(B299,'Dados ClubeFII'!$A:$Z,26,0)</f>
        <v>#N/A</v>
      </c>
      <c r="D299" s="180" t="str">
        <f>VLOOKUP(B299,'Dados ClubeFII'!$A:$Z,20,0)/100</f>
        <v>#N/A</v>
      </c>
      <c r="E299" s="89" t="str">
        <f t="shared" si="1"/>
        <v>#N/A</v>
      </c>
      <c r="F299" s="181">
        <f>IF(ISERROR(1/VLOOKUP(B299,Capa!A:Z,13,0)),0,1/VLOOKUP(B299,Capa!A:Z,13,0))</f>
        <v>0</v>
      </c>
      <c r="G299" s="182">
        <f t="shared" si="2"/>
        <v>1.000001</v>
      </c>
      <c r="H299" s="183" t="str">
        <f t="shared" si="3"/>
        <v>#N/A</v>
      </c>
      <c r="M299" s="178" t="s">
        <v>3568</v>
      </c>
      <c r="N299" s="179" t="str">
        <f>VLOOKUP(M299,'Dados ClubeFII'!$A:$Z,26,0)</f>
        <v>#N/A</v>
      </c>
      <c r="O299" s="185" t="str">
        <f>VLOOKUP(M299,'Dados ClubeFII'!$A:$Z,18,0)/100</f>
        <v>#N/A</v>
      </c>
      <c r="P299" s="186" t="str">
        <f t="shared" si="5"/>
        <v>#N/A</v>
      </c>
      <c r="Q299" s="187">
        <f>IF(ISERROR(1/VLOOKUP(M299,Capa!A:Z,6,0)),0,1/VLOOKUP(M299,Capa!A:Z,6,0))</f>
        <v>0</v>
      </c>
      <c r="R299" s="188">
        <f t="shared" si="6"/>
        <v>1.000001</v>
      </c>
      <c r="S299" s="189" t="str">
        <f t="shared" si="7"/>
        <v>#N/A</v>
      </c>
    </row>
    <row r="300">
      <c r="A300" s="190"/>
      <c r="B300" s="178" t="s">
        <v>3569</v>
      </c>
      <c r="C300" s="179" t="str">
        <f>VLOOKUP(B300,'Dados ClubeFII'!$A:$Z,26,0)</f>
        <v>#N/A</v>
      </c>
      <c r="D300" s="180" t="str">
        <f>VLOOKUP(B300,'Dados ClubeFII'!$A:$Z,20,0)/100</f>
        <v>#N/A</v>
      </c>
      <c r="E300" s="89" t="str">
        <f t="shared" si="1"/>
        <v>#N/A</v>
      </c>
      <c r="F300" s="181">
        <f>IF(ISERROR(1/VLOOKUP(B300,Capa!A:Z,13,0)),0,1/VLOOKUP(B300,Capa!A:Z,13,0))</f>
        <v>0</v>
      </c>
      <c r="G300" s="182">
        <f t="shared" si="2"/>
        <v>1.000001</v>
      </c>
      <c r="H300" s="183" t="str">
        <f t="shared" si="3"/>
        <v>#N/A</v>
      </c>
      <c r="M300" s="178" t="s">
        <v>3569</v>
      </c>
      <c r="N300" s="179" t="str">
        <f>VLOOKUP(M300,'Dados ClubeFII'!$A:$Z,26,0)</f>
        <v>#N/A</v>
      </c>
      <c r="O300" s="185" t="str">
        <f>VLOOKUP(M300,'Dados ClubeFII'!$A:$Z,18,0)/100</f>
        <v>#N/A</v>
      </c>
      <c r="P300" s="186" t="str">
        <f t="shared" si="5"/>
        <v>#N/A</v>
      </c>
      <c r="Q300" s="187">
        <f>IF(ISERROR(1/VLOOKUP(M300,Capa!A:Z,6,0)),0,1/VLOOKUP(M300,Capa!A:Z,6,0))</f>
        <v>0</v>
      </c>
      <c r="R300" s="188">
        <f t="shared" si="6"/>
        <v>1.000001</v>
      </c>
      <c r="S300" s="189" t="str">
        <f t="shared" si="7"/>
        <v>#N/A</v>
      </c>
    </row>
    <row r="301">
      <c r="A301" s="190"/>
      <c r="B301" s="178" t="s">
        <v>3570</v>
      </c>
      <c r="C301" s="179" t="str">
        <f>VLOOKUP(B301,'Dados ClubeFII'!$A:$Z,26,0)</f>
        <v>#N/A</v>
      </c>
      <c r="D301" s="180" t="str">
        <f>VLOOKUP(B301,'Dados ClubeFII'!$A:$Z,20,0)/100</f>
        <v>#N/A</v>
      </c>
      <c r="E301" s="89" t="str">
        <f t="shared" si="1"/>
        <v>#N/A</v>
      </c>
      <c r="F301" s="181">
        <f>IF(ISERROR(1/VLOOKUP(B301,Capa!A:Z,13,0)),0,1/VLOOKUP(B301,Capa!A:Z,13,0))</f>
        <v>0</v>
      </c>
      <c r="G301" s="182">
        <f t="shared" si="2"/>
        <v>1.000001</v>
      </c>
      <c r="H301" s="183" t="str">
        <f t="shared" si="3"/>
        <v>#N/A</v>
      </c>
      <c r="M301" s="178" t="s">
        <v>3570</v>
      </c>
      <c r="N301" s="179" t="str">
        <f>VLOOKUP(M301,'Dados ClubeFII'!$A:$Z,26,0)</f>
        <v>#N/A</v>
      </c>
      <c r="O301" s="185" t="str">
        <f>VLOOKUP(M301,'Dados ClubeFII'!$A:$Z,18,0)/100</f>
        <v>#N/A</v>
      </c>
      <c r="P301" s="186" t="str">
        <f t="shared" si="5"/>
        <v>#N/A</v>
      </c>
      <c r="Q301" s="187">
        <f>IF(ISERROR(1/VLOOKUP(M301,Capa!A:Z,6,0)),0,1/VLOOKUP(M301,Capa!A:Z,6,0))</f>
        <v>0</v>
      </c>
      <c r="R301" s="188">
        <f t="shared" si="6"/>
        <v>1.000001</v>
      </c>
      <c r="S301" s="189" t="str">
        <f t="shared" si="7"/>
        <v>#N/A</v>
      </c>
    </row>
    <row r="302">
      <c r="A302" s="190"/>
      <c r="B302" s="178" t="s">
        <v>3571</v>
      </c>
      <c r="C302" s="179" t="str">
        <f>VLOOKUP(B302,'Dados ClubeFII'!$A:$Z,26,0)</f>
        <v>#N/A</v>
      </c>
      <c r="D302" s="180" t="str">
        <f>VLOOKUP(B302,'Dados ClubeFII'!$A:$Z,20,0)/100</f>
        <v>#N/A</v>
      </c>
      <c r="E302" s="89" t="str">
        <f t="shared" si="1"/>
        <v>#N/A</v>
      </c>
      <c r="F302" s="181">
        <f>IF(ISERROR(1/VLOOKUP(B302,Capa!A:Z,13,0)),0,1/VLOOKUP(B302,Capa!A:Z,13,0))</f>
        <v>0</v>
      </c>
      <c r="G302" s="182">
        <f t="shared" si="2"/>
        <v>1.000001</v>
      </c>
      <c r="H302" s="183" t="str">
        <f t="shared" si="3"/>
        <v>#N/A</v>
      </c>
      <c r="M302" s="178" t="s">
        <v>3571</v>
      </c>
      <c r="N302" s="179" t="str">
        <f>VLOOKUP(M302,'Dados ClubeFII'!$A:$Z,26,0)</f>
        <v>#N/A</v>
      </c>
      <c r="O302" s="185" t="str">
        <f>VLOOKUP(M302,'Dados ClubeFII'!$A:$Z,18,0)/100</f>
        <v>#N/A</v>
      </c>
      <c r="P302" s="186" t="str">
        <f t="shared" si="5"/>
        <v>#N/A</v>
      </c>
      <c r="Q302" s="187">
        <f>IF(ISERROR(1/VLOOKUP(M302,Capa!A:Z,6,0)),0,1/VLOOKUP(M302,Capa!A:Z,6,0))</f>
        <v>0</v>
      </c>
      <c r="R302" s="188">
        <f t="shared" si="6"/>
        <v>1.000001</v>
      </c>
      <c r="S302" s="189" t="str">
        <f t="shared" si="7"/>
        <v>#N/A</v>
      </c>
    </row>
    <row r="303">
      <c r="A303" s="190"/>
      <c r="B303" s="178" t="s">
        <v>3572</v>
      </c>
      <c r="C303" s="179" t="str">
        <f>VLOOKUP(B303,'Dados ClubeFII'!$A:$Z,26,0)</f>
        <v>#N/A</v>
      </c>
      <c r="D303" s="180" t="str">
        <f>VLOOKUP(B303,'Dados ClubeFII'!$A:$Z,20,0)/100</f>
        <v>#N/A</v>
      </c>
      <c r="E303" s="89" t="str">
        <f t="shared" si="1"/>
        <v>#N/A</v>
      </c>
      <c r="F303" s="181">
        <f>IF(ISERROR(1/VLOOKUP(B303,Capa!A:Z,13,0)),0,1/VLOOKUP(B303,Capa!A:Z,13,0))</f>
        <v>0</v>
      </c>
      <c r="G303" s="182">
        <f t="shared" si="2"/>
        <v>1.000001</v>
      </c>
      <c r="H303" s="183" t="str">
        <f t="shared" si="3"/>
        <v>#N/A</v>
      </c>
      <c r="M303" s="178" t="s">
        <v>3572</v>
      </c>
      <c r="N303" s="179" t="str">
        <f>VLOOKUP(M303,'Dados ClubeFII'!$A:$Z,26,0)</f>
        <v>#N/A</v>
      </c>
      <c r="O303" s="185" t="str">
        <f>VLOOKUP(M303,'Dados ClubeFII'!$A:$Z,18,0)/100</f>
        <v>#N/A</v>
      </c>
      <c r="P303" s="186" t="str">
        <f t="shared" si="5"/>
        <v>#N/A</v>
      </c>
      <c r="Q303" s="187">
        <f>IF(ISERROR(1/VLOOKUP(M303,Capa!A:Z,6,0)),0,1/VLOOKUP(M303,Capa!A:Z,6,0))</f>
        <v>0</v>
      </c>
      <c r="R303" s="188">
        <f t="shared" si="6"/>
        <v>1.000001</v>
      </c>
      <c r="S303" s="189" t="str">
        <f t="shared" si="7"/>
        <v>#N/A</v>
      </c>
    </row>
    <row r="304">
      <c r="A304" s="190"/>
      <c r="B304" s="178" t="s">
        <v>3573</v>
      </c>
      <c r="C304" s="179" t="str">
        <f>VLOOKUP(B304,'Dados ClubeFII'!$A:$Z,26,0)</f>
        <v>#N/A</v>
      </c>
      <c r="D304" s="180" t="str">
        <f>VLOOKUP(B304,'Dados ClubeFII'!$A:$Z,20,0)/100</f>
        <v>#N/A</v>
      </c>
      <c r="E304" s="89" t="str">
        <f t="shared" si="1"/>
        <v>#N/A</v>
      </c>
      <c r="F304" s="181">
        <f>IF(ISERROR(1/VLOOKUP(B304,Capa!A:Z,13,0)),0,1/VLOOKUP(B304,Capa!A:Z,13,0))</f>
        <v>0</v>
      </c>
      <c r="G304" s="182">
        <f t="shared" si="2"/>
        <v>1.000001</v>
      </c>
      <c r="H304" s="183" t="str">
        <f t="shared" si="3"/>
        <v>#N/A</v>
      </c>
      <c r="M304" s="178" t="s">
        <v>3573</v>
      </c>
      <c r="N304" s="179" t="str">
        <f>VLOOKUP(M304,'Dados ClubeFII'!$A:$Z,26,0)</f>
        <v>#N/A</v>
      </c>
      <c r="O304" s="185" t="str">
        <f>VLOOKUP(M304,'Dados ClubeFII'!$A:$Z,18,0)/100</f>
        <v>#N/A</v>
      </c>
      <c r="P304" s="186" t="str">
        <f t="shared" si="5"/>
        <v>#N/A</v>
      </c>
      <c r="Q304" s="187">
        <f>IF(ISERROR(1/VLOOKUP(M304,Capa!A:Z,6,0)),0,1/VLOOKUP(M304,Capa!A:Z,6,0))</f>
        <v>0</v>
      </c>
      <c r="R304" s="188">
        <f t="shared" si="6"/>
        <v>1.000001</v>
      </c>
      <c r="S304" s="189" t="str">
        <f t="shared" si="7"/>
        <v>#N/A</v>
      </c>
    </row>
    <row r="305">
      <c r="A305" s="190"/>
      <c r="B305" s="178" t="s">
        <v>3574</v>
      </c>
      <c r="C305" s="179" t="str">
        <f>VLOOKUP(B305,'Dados ClubeFII'!$A:$Z,26,0)</f>
        <v>#N/A</v>
      </c>
      <c r="D305" s="180" t="str">
        <f>VLOOKUP(B305,'Dados ClubeFII'!$A:$Z,20,0)/100</f>
        <v>#N/A</v>
      </c>
      <c r="E305" s="89" t="str">
        <f t="shared" si="1"/>
        <v>#N/A</v>
      </c>
      <c r="F305" s="181">
        <f>IF(ISERROR(1/VLOOKUP(B305,Capa!A:Z,13,0)),0,1/VLOOKUP(B305,Capa!A:Z,13,0))</f>
        <v>0</v>
      </c>
      <c r="G305" s="182">
        <f t="shared" si="2"/>
        <v>1.000001</v>
      </c>
      <c r="H305" s="183" t="str">
        <f t="shared" si="3"/>
        <v>#N/A</v>
      </c>
      <c r="M305" s="178" t="s">
        <v>3574</v>
      </c>
      <c r="N305" s="179" t="str">
        <f>VLOOKUP(M305,'Dados ClubeFII'!$A:$Z,26,0)</f>
        <v>#N/A</v>
      </c>
      <c r="O305" s="185" t="str">
        <f>VLOOKUP(M305,'Dados ClubeFII'!$A:$Z,18,0)/100</f>
        <v>#N/A</v>
      </c>
      <c r="P305" s="186" t="str">
        <f t="shared" si="5"/>
        <v>#N/A</v>
      </c>
      <c r="Q305" s="187">
        <f>IF(ISERROR(1/VLOOKUP(M305,Capa!A:Z,6,0)),0,1/VLOOKUP(M305,Capa!A:Z,6,0))</f>
        <v>0</v>
      </c>
      <c r="R305" s="188">
        <f t="shared" si="6"/>
        <v>1.000001</v>
      </c>
      <c r="S305" s="189" t="str">
        <f t="shared" si="7"/>
        <v>#N/A</v>
      </c>
    </row>
    <row r="306">
      <c r="A306" s="190"/>
      <c r="B306" s="178" t="s">
        <v>3575</v>
      </c>
      <c r="C306" s="179" t="str">
        <f>VLOOKUP(B306,'Dados ClubeFII'!$A:$Z,26,0)</f>
        <v>#N/A</v>
      </c>
      <c r="D306" s="180" t="str">
        <f>VLOOKUP(B306,'Dados ClubeFII'!$A:$Z,20,0)/100</f>
        <v>#N/A</v>
      </c>
      <c r="E306" s="89" t="str">
        <f t="shared" si="1"/>
        <v>#N/A</v>
      </c>
      <c r="F306" s="181">
        <f>IF(ISERROR(1/VLOOKUP(B306,Capa!A:Z,13,0)),0,1/VLOOKUP(B306,Capa!A:Z,13,0))</f>
        <v>0</v>
      </c>
      <c r="G306" s="182">
        <f t="shared" si="2"/>
        <v>1.000001</v>
      </c>
      <c r="H306" s="183" t="str">
        <f t="shared" si="3"/>
        <v>#N/A</v>
      </c>
      <c r="M306" s="178" t="s">
        <v>3575</v>
      </c>
      <c r="N306" s="179" t="str">
        <f>VLOOKUP(M306,'Dados ClubeFII'!$A:$Z,26,0)</f>
        <v>#N/A</v>
      </c>
      <c r="O306" s="185" t="str">
        <f>VLOOKUP(M306,'Dados ClubeFII'!$A:$Z,18,0)/100</f>
        <v>#N/A</v>
      </c>
      <c r="P306" s="186" t="str">
        <f t="shared" si="5"/>
        <v>#N/A</v>
      </c>
      <c r="Q306" s="187">
        <f>IF(ISERROR(1/VLOOKUP(M306,Capa!A:Z,6,0)),0,1/VLOOKUP(M306,Capa!A:Z,6,0))</f>
        <v>0</v>
      </c>
      <c r="R306" s="188">
        <f t="shared" si="6"/>
        <v>1.000001</v>
      </c>
      <c r="S306" s="189" t="str">
        <f t="shared" si="7"/>
        <v>#N/A</v>
      </c>
    </row>
    <row r="307">
      <c r="A307" s="190"/>
      <c r="B307" s="178" t="s">
        <v>3576</v>
      </c>
      <c r="C307" s="179" t="str">
        <f>VLOOKUP(B307,'Dados ClubeFII'!$A:$Z,26,0)</f>
        <v>#N/A</v>
      </c>
      <c r="D307" s="180" t="str">
        <f>VLOOKUP(B307,'Dados ClubeFII'!$A:$Z,20,0)/100</f>
        <v>#N/A</v>
      </c>
      <c r="E307" s="89" t="str">
        <f t="shared" si="1"/>
        <v>#N/A</v>
      </c>
      <c r="F307" s="181">
        <f>IF(ISERROR(1/VLOOKUP(B307,Capa!A:Z,13,0)),0,1/VLOOKUP(B307,Capa!A:Z,13,0))</f>
        <v>0</v>
      </c>
      <c r="G307" s="182">
        <f t="shared" si="2"/>
        <v>1.000001</v>
      </c>
      <c r="H307" s="183" t="str">
        <f t="shared" si="3"/>
        <v>#N/A</v>
      </c>
      <c r="M307" s="178" t="s">
        <v>3576</v>
      </c>
      <c r="N307" s="179" t="str">
        <f>VLOOKUP(M307,'Dados ClubeFII'!$A:$Z,26,0)</f>
        <v>#N/A</v>
      </c>
      <c r="O307" s="185" t="str">
        <f>VLOOKUP(M307,'Dados ClubeFII'!$A:$Z,18,0)/100</f>
        <v>#N/A</v>
      </c>
      <c r="P307" s="186" t="str">
        <f t="shared" si="5"/>
        <v>#N/A</v>
      </c>
      <c r="Q307" s="187">
        <f>IF(ISERROR(1/VLOOKUP(M307,Capa!A:Z,6,0)),0,1/VLOOKUP(M307,Capa!A:Z,6,0))</f>
        <v>0</v>
      </c>
      <c r="R307" s="188">
        <f t="shared" si="6"/>
        <v>1.000001</v>
      </c>
      <c r="S307" s="189" t="str">
        <f t="shared" si="7"/>
        <v>#N/A</v>
      </c>
    </row>
    <row r="308">
      <c r="A308" s="190"/>
      <c r="B308" s="178" t="s">
        <v>3577</v>
      </c>
      <c r="C308" s="179" t="str">
        <f>VLOOKUP(B308,'Dados ClubeFII'!$A:$Z,26,0)</f>
        <v>#N/A</v>
      </c>
      <c r="D308" s="180" t="str">
        <f>VLOOKUP(B308,'Dados ClubeFII'!$A:$Z,20,0)/100</f>
        <v>#N/A</v>
      </c>
      <c r="E308" s="89" t="str">
        <f t="shared" si="1"/>
        <v>#N/A</v>
      </c>
      <c r="F308" s="181">
        <f>IF(ISERROR(1/VLOOKUP(B308,Capa!A:Z,13,0)),0,1/VLOOKUP(B308,Capa!A:Z,13,0))</f>
        <v>0</v>
      </c>
      <c r="G308" s="182">
        <f t="shared" si="2"/>
        <v>1.000001</v>
      </c>
      <c r="H308" s="183" t="str">
        <f t="shared" si="3"/>
        <v>#N/A</v>
      </c>
      <c r="M308" s="178" t="s">
        <v>3577</v>
      </c>
      <c r="N308" s="179" t="str">
        <f>VLOOKUP(M308,'Dados ClubeFII'!$A:$Z,26,0)</f>
        <v>#N/A</v>
      </c>
      <c r="O308" s="185" t="str">
        <f>VLOOKUP(M308,'Dados ClubeFII'!$A:$Z,18,0)/100</f>
        <v>#N/A</v>
      </c>
      <c r="P308" s="186" t="str">
        <f t="shared" si="5"/>
        <v>#N/A</v>
      </c>
      <c r="Q308" s="187">
        <f>IF(ISERROR(1/VLOOKUP(M308,Capa!A:Z,6,0)),0,1/VLOOKUP(M308,Capa!A:Z,6,0))</f>
        <v>0</v>
      </c>
      <c r="R308" s="188">
        <f t="shared" si="6"/>
        <v>1.000001</v>
      </c>
      <c r="S308" s="189" t="str">
        <f t="shared" si="7"/>
        <v>#N/A</v>
      </c>
    </row>
    <row r="309">
      <c r="A309" s="190"/>
      <c r="B309" s="178" t="s">
        <v>3578</v>
      </c>
      <c r="C309" s="179" t="str">
        <f>VLOOKUP(B309,'Dados ClubeFII'!$A:$Z,26,0)</f>
        <v>#N/A</v>
      </c>
      <c r="D309" s="180" t="str">
        <f>VLOOKUP(B309,'Dados ClubeFII'!$A:$Z,20,0)/100</f>
        <v>#N/A</v>
      </c>
      <c r="E309" s="89" t="str">
        <f t="shared" si="1"/>
        <v>#N/A</v>
      </c>
      <c r="F309" s="181">
        <f>IF(ISERROR(1/VLOOKUP(B309,Capa!A:Z,13,0)),0,1/VLOOKUP(B309,Capa!A:Z,13,0))</f>
        <v>0</v>
      </c>
      <c r="G309" s="182">
        <f t="shared" si="2"/>
        <v>1.000001</v>
      </c>
      <c r="H309" s="183" t="str">
        <f t="shared" si="3"/>
        <v>#N/A</v>
      </c>
      <c r="M309" s="178" t="s">
        <v>3578</v>
      </c>
      <c r="N309" s="179" t="str">
        <f>VLOOKUP(M309,'Dados ClubeFII'!$A:$Z,26,0)</f>
        <v>#N/A</v>
      </c>
      <c r="O309" s="185" t="str">
        <f>VLOOKUP(M309,'Dados ClubeFII'!$A:$Z,18,0)/100</f>
        <v>#N/A</v>
      </c>
      <c r="P309" s="186" t="str">
        <f t="shared" si="5"/>
        <v>#N/A</v>
      </c>
      <c r="Q309" s="187">
        <f>IF(ISERROR(1/VLOOKUP(M309,Capa!A:Z,6,0)),0,1/VLOOKUP(M309,Capa!A:Z,6,0))</f>
        <v>0</v>
      </c>
      <c r="R309" s="188">
        <f t="shared" si="6"/>
        <v>1.000001</v>
      </c>
      <c r="S309" s="189" t="str">
        <f t="shared" si="7"/>
        <v>#N/A</v>
      </c>
    </row>
    <row r="310">
      <c r="A310" s="190"/>
      <c r="B310" s="178" t="s">
        <v>3579</v>
      </c>
      <c r="C310" s="179" t="str">
        <f>VLOOKUP(B310,'Dados ClubeFII'!$A:$Z,26,0)</f>
        <v>#N/A</v>
      </c>
      <c r="D310" s="180" t="str">
        <f>VLOOKUP(B310,'Dados ClubeFII'!$A:$Z,20,0)/100</f>
        <v>#N/A</v>
      </c>
      <c r="E310" s="89" t="str">
        <f t="shared" si="1"/>
        <v>#N/A</v>
      </c>
      <c r="F310" s="181">
        <f>IF(ISERROR(1/VLOOKUP(B310,Capa!A:Z,13,0)),0,1/VLOOKUP(B310,Capa!A:Z,13,0))</f>
        <v>0</v>
      </c>
      <c r="G310" s="182">
        <f t="shared" si="2"/>
        <v>1.000001</v>
      </c>
      <c r="H310" s="183" t="str">
        <f t="shared" si="3"/>
        <v>#N/A</v>
      </c>
      <c r="M310" s="178" t="s">
        <v>3579</v>
      </c>
      <c r="N310" s="179" t="str">
        <f>VLOOKUP(M310,'Dados ClubeFII'!$A:$Z,26,0)</f>
        <v>#N/A</v>
      </c>
      <c r="O310" s="185" t="str">
        <f>VLOOKUP(M310,'Dados ClubeFII'!$A:$Z,18,0)/100</f>
        <v>#N/A</v>
      </c>
      <c r="P310" s="186" t="str">
        <f t="shared" si="5"/>
        <v>#N/A</v>
      </c>
      <c r="Q310" s="187">
        <f>IF(ISERROR(1/VLOOKUP(M310,Capa!A:Z,6,0)),0,1/VLOOKUP(M310,Capa!A:Z,6,0))</f>
        <v>0</v>
      </c>
      <c r="R310" s="188">
        <f t="shared" si="6"/>
        <v>1.000001</v>
      </c>
      <c r="S310" s="189" t="str">
        <f t="shared" si="7"/>
        <v>#N/A</v>
      </c>
    </row>
    <row r="311">
      <c r="A311" s="190"/>
      <c r="B311" s="178" t="s">
        <v>3580</v>
      </c>
      <c r="C311" s="179" t="str">
        <f>VLOOKUP(B311,'Dados ClubeFII'!$A:$Z,26,0)</f>
        <v>#N/A</v>
      </c>
      <c r="D311" s="180" t="str">
        <f>VLOOKUP(B311,'Dados ClubeFII'!$A:$Z,20,0)/100</f>
        <v>#N/A</v>
      </c>
      <c r="E311" s="89" t="str">
        <f t="shared" si="1"/>
        <v>#N/A</v>
      </c>
      <c r="F311" s="181">
        <f>IF(ISERROR(1/VLOOKUP(B311,Capa!A:Z,13,0)),0,1/VLOOKUP(B311,Capa!A:Z,13,0))</f>
        <v>0</v>
      </c>
      <c r="G311" s="182">
        <f t="shared" si="2"/>
        <v>1.000001</v>
      </c>
      <c r="H311" s="183" t="str">
        <f t="shared" si="3"/>
        <v>#N/A</v>
      </c>
      <c r="M311" s="178" t="s">
        <v>3580</v>
      </c>
      <c r="N311" s="179" t="str">
        <f>VLOOKUP(M311,'Dados ClubeFII'!$A:$Z,26,0)</f>
        <v>#N/A</v>
      </c>
      <c r="O311" s="185" t="str">
        <f>VLOOKUP(M311,'Dados ClubeFII'!$A:$Z,18,0)/100</f>
        <v>#N/A</v>
      </c>
      <c r="P311" s="186" t="str">
        <f t="shared" si="5"/>
        <v>#N/A</v>
      </c>
      <c r="Q311" s="187">
        <f>IF(ISERROR(1/VLOOKUP(M311,Capa!A:Z,6,0)),0,1/VLOOKUP(M311,Capa!A:Z,6,0))</f>
        <v>0</v>
      </c>
      <c r="R311" s="188">
        <f t="shared" si="6"/>
        <v>1.000001</v>
      </c>
      <c r="S311" s="189" t="str">
        <f t="shared" si="7"/>
        <v>#N/A</v>
      </c>
    </row>
    <row r="312">
      <c r="A312" s="190"/>
      <c r="B312" s="178" t="s">
        <v>3581</v>
      </c>
      <c r="C312" s="179" t="str">
        <f>VLOOKUP(B312,'Dados ClubeFII'!$A:$Z,26,0)</f>
        <v>#N/A</v>
      </c>
      <c r="D312" s="180" t="str">
        <f>VLOOKUP(B312,'Dados ClubeFII'!$A:$Z,20,0)/100</f>
        <v>#N/A</v>
      </c>
      <c r="E312" s="89" t="str">
        <f t="shared" si="1"/>
        <v>#N/A</v>
      </c>
      <c r="F312" s="181">
        <f>IF(ISERROR(1/VLOOKUP(B312,Capa!A:Z,13,0)),0,1/VLOOKUP(B312,Capa!A:Z,13,0))</f>
        <v>0</v>
      </c>
      <c r="G312" s="182">
        <f t="shared" si="2"/>
        <v>1.000001</v>
      </c>
      <c r="H312" s="183" t="str">
        <f t="shared" si="3"/>
        <v>#N/A</v>
      </c>
      <c r="M312" s="178" t="s">
        <v>3581</v>
      </c>
      <c r="N312" s="179" t="str">
        <f>VLOOKUP(M312,'Dados ClubeFII'!$A:$Z,26,0)</f>
        <v>#N/A</v>
      </c>
      <c r="O312" s="185" t="str">
        <f>VLOOKUP(M312,'Dados ClubeFII'!$A:$Z,18,0)/100</f>
        <v>#N/A</v>
      </c>
      <c r="P312" s="186" t="str">
        <f t="shared" si="5"/>
        <v>#N/A</v>
      </c>
      <c r="Q312" s="187">
        <f>IF(ISERROR(1/VLOOKUP(M312,Capa!A:Z,6,0)),0,1/VLOOKUP(M312,Capa!A:Z,6,0))</f>
        <v>0</v>
      </c>
      <c r="R312" s="188">
        <f t="shared" si="6"/>
        <v>1.000001</v>
      </c>
      <c r="S312" s="189" t="str">
        <f t="shared" si="7"/>
        <v>#N/A</v>
      </c>
    </row>
    <row r="313">
      <c r="A313" s="190"/>
      <c r="B313" s="178" t="s">
        <v>3582</v>
      </c>
      <c r="C313" s="179" t="str">
        <f>VLOOKUP(B313,'Dados ClubeFII'!$A:$Z,26,0)</f>
        <v>#N/A</v>
      </c>
      <c r="D313" s="180" t="str">
        <f>VLOOKUP(B313,'Dados ClubeFII'!$A:$Z,20,0)/100</f>
        <v>#N/A</v>
      </c>
      <c r="E313" s="89" t="str">
        <f t="shared" si="1"/>
        <v>#N/A</v>
      </c>
      <c r="F313" s="181">
        <f>IF(ISERROR(1/VLOOKUP(B313,Capa!A:Z,13,0)),0,1/VLOOKUP(B313,Capa!A:Z,13,0))</f>
        <v>0</v>
      </c>
      <c r="G313" s="182">
        <f t="shared" si="2"/>
        <v>1.000001</v>
      </c>
      <c r="H313" s="183" t="str">
        <f t="shared" si="3"/>
        <v>#N/A</v>
      </c>
      <c r="M313" s="178" t="s">
        <v>3582</v>
      </c>
      <c r="N313" s="179" t="str">
        <f>VLOOKUP(M313,'Dados ClubeFII'!$A:$Z,26,0)</f>
        <v>#N/A</v>
      </c>
      <c r="O313" s="185" t="str">
        <f>VLOOKUP(M313,'Dados ClubeFII'!$A:$Z,18,0)/100</f>
        <v>#N/A</v>
      </c>
      <c r="P313" s="186" t="str">
        <f t="shared" si="5"/>
        <v>#N/A</v>
      </c>
      <c r="Q313" s="187">
        <f>IF(ISERROR(1/VLOOKUP(M313,Capa!A:Z,6,0)),0,1/VLOOKUP(M313,Capa!A:Z,6,0))</f>
        <v>0</v>
      </c>
      <c r="R313" s="188">
        <f t="shared" si="6"/>
        <v>1.000001</v>
      </c>
      <c r="S313" s="189" t="str">
        <f t="shared" si="7"/>
        <v>#N/A</v>
      </c>
    </row>
    <row r="314">
      <c r="A314" s="190"/>
      <c r="B314" s="178" t="s">
        <v>3583</v>
      </c>
      <c r="C314" s="179" t="str">
        <f>VLOOKUP(B314,'Dados ClubeFII'!$A:$Z,26,0)</f>
        <v>#N/A</v>
      </c>
      <c r="D314" s="180" t="str">
        <f>VLOOKUP(B314,'Dados ClubeFII'!$A:$Z,20,0)/100</f>
        <v>#N/A</v>
      </c>
      <c r="E314" s="89" t="str">
        <f t="shared" si="1"/>
        <v>#N/A</v>
      </c>
      <c r="F314" s="181">
        <f>IF(ISERROR(1/VLOOKUP(B314,Capa!A:Z,13,0)),0,1/VLOOKUP(B314,Capa!A:Z,13,0))</f>
        <v>0</v>
      </c>
      <c r="G314" s="182">
        <f t="shared" si="2"/>
        <v>1.000001</v>
      </c>
      <c r="H314" s="183" t="str">
        <f t="shared" si="3"/>
        <v>#N/A</v>
      </c>
      <c r="M314" s="178" t="s">
        <v>3583</v>
      </c>
      <c r="N314" s="179" t="str">
        <f>VLOOKUP(M314,'Dados ClubeFII'!$A:$Z,26,0)</f>
        <v>#N/A</v>
      </c>
      <c r="O314" s="185" t="str">
        <f>VLOOKUP(M314,'Dados ClubeFII'!$A:$Z,18,0)/100</f>
        <v>#N/A</v>
      </c>
      <c r="P314" s="186" t="str">
        <f t="shared" si="5"/>
        <v>#N/A</v>
      </c>
      <c r="Q314" s="187">
        <f>IF(ISERROR(1/VLOOKUP(M314,Capa!A:Z,6,0)),0,1/VLOOKUP(M314,Capa!A:Z,6,0))</f>
        <v>0</v>
      </c>
      <c r="R314" s="188">
        <f t="shared" si="6"/>
        <v>1.000001</v>
      </c>
      <c r="S314" s="189" t="str">
        <f t="shared" si="7"/>
        <v>#N/A</v>
      </c>
    </row>
    <row r="315">
      <c r="A315" s="190"/>
      <c r="B315" s="178" t="s">
        <v>3584</v>
      </c>
      <c r="C315" s="179" t="str">
        <f>VLOOKUP(B315,'Dados ClubeFII'!$A:$Z,26,0)</f>
        <v>#N/A</v>
      </c>
      <c r="D315" s="180" t="str">
        <f>VLOOKUP(B315,'Dados ClubeFII'!$A:$Z,20,0)/100</f>
        <v>#N/A</v>
      </c>
      <c r="E315" s="89" t="str">
        <f t="shared" si="1"/>
        <v>#N/A</v>
      </c>
      <c r="F315" s="181">
        <f>IF(ISERROR(1/VLOOKUP(B315,Capa!A:Z,13,0)),0,1/VLOOKUP(B315,Capa!A:Z,13,0))</f>
        <v>0</v>
      </c>
      <c r="G315" s="182">
        <f t="shared" si="2"/>
        <v>1.000001</v>
      </c>
      <c r="H315" s="183" t="str">
        <f t="shared" si="3"/>
        <v>#N/A</v>
      </c>
      <c r="M315" s="178" t="s">
        <v>3584</v>
      </c>
      <c r="N315" s="179" t="str">
        <f>VLOOKUP(M315,'Dados ClubeFII'!$A:$Z,26,0)</f>
        <v>#N/A</v>
      </c>
      <c r="O315" s="185" t="str">
        <f>VLOOKUP(M315,'Dados ClubeFII'!$A:$Z,18,0)/100</f>
        <v>#N/A</v>
      </c>
      <c r="P315" s="186" t="str">
        <f t="shared" si="5"/>
        <v>#N/A</v>
      </c>
      <c r="Q315" s="187">
        <f>IF(ISERROR(1/VLOOKUP(M315,Capa!A:Z,6,0)),0,1/VLOOKUP(M315,Capa!A:Z,6,0))</f>
        <v>0</v>
      </c>
      <c r="R315" s="188">
        <f t="shared" si="6"/>
        <v>1.000001</v>
      </c>
      <c r="S315" s="189" t="str">
        <f t="shared" si="7"/>
        <v>#N/A</v>
      </c>
    </row>
    <row r="316">
      <c r="A316" s="190"/>
      <c r="B316" s="178" t="s">
        <v>3585</v>
      </c>
      <c r="C316" s="179" t="str">
        <f>VLOOKUP(B316,'Dados ClubeFII'!$A:$Z,26,0)</f>
        <v>#N/A</v>
      </c>
      <c r="D316" s="180" t="str">
        <f>VLOOKUP(B316,'Dados ClubeFII'!$A:$Z,20,0)/100</f>
        <v>#N/A</v>
      </c>
      <c r="E316" s="89" t="str">
        <f t="shared" si="1"/>
        <v>#N/A</v>
      </c>
      <c r="F316" s="181">
        <f>IF(ISERROR(1/VLOOKUP(B316,Capa!A:Z,13,0)),0,1/VLOOKUP(B316,Capa!A:Z,13,0))</f>
        <v>0</v>
      </c>
      <c r="G316" s="182">
        <f t="shared" si="2"/>
        <v>1.000001</v>
      </c>
      <c r="H316" s="183" t="str">
        <f t="shared" si="3"/>
        <v>#N/A</v>
      </c>
      <c r="M316" s="178" t="s">
        <v>3585</v>
      </c>
      <c r="N316" s="179" t="str">
        <f>VLOOKUP(M316,'Dados ClubeFII'!$A:$Z,26,0)</f>
        <v>#N/A</v>
      </c>
      <c r="O316" s="185" t="str">
        <f>VLOOKUP(M316,'Dados ClubeFII'!$A:$Z,18,0)/100</f>
        <v>#N/A</v>
      </c>
      <c r="P316" s="186" t="str">
        <f t="shared" si="5"/>
        <v>#N/A</v>
      </c>
      <c r="Q316" s="187">
        <f>IF(ISERROR(1/VLOOKUP(M316,Capa!A:Z,6,0)),0,1/VLOOKUP(M316,Capa!A:Z,6,0))</f>
        <v>0</v>
      </c>
      <c r="R316" s="188">
        <f t="shared" si="6"/>
        <v>1.000001</v>
      </c>
      <c r="S316" s="189" t="str">
        <f t="shared" si="7"/>
        <v>#N/A</v>
      </c>
    </row>
    <row r="317">
      <c r="A317" s="190"/>
      <c r="B317" s="178" t="s">
        <v>3586</v>
      </c>
      <c r="C317" s="179" t="str">
        <f>VLOOKUP(B317,'Dados ClubeFII'!$A:$Z,26,0)</f>
        <v>#N/A</v>
      </c>
      <c r="D317" s="180" t="str">
        <f>VLOOKUP(B317,'Dados ClubeFII'!$A:$Z,20,0)/100</f>
        <v>#N/A</v>
      </c>
      <c r="E317" s="89" t="str">
        <f t="shared" si="1"/>
        <v>#N/A</v>
      </c>
      <c r="F317" s="181">
        <f>IF(ISERROR(1/VLOOKUP(B317,Capa!A:Z,13,0)),0,1/VLOOKUP(B317,Capa!A:Z,13,0))</f>
        <v>0</v>
      </c>
      <c r="G317" s="182">
        <f t="shared" si="2"/>
        <v>1.000001</v>
      </c>
      <c r="H317" s="183" t="str">
        <f t="shared" si="3"/>
        <v>#N/A</v>
      </c>
      <c r="M317" s="178" t="s">
        <v>3586</v>
      </c>
      <c r="N317" s="179" t="str">
        <f>VLOOKUP(M317,'Dados ClubeFII'!$A:$Z,26,0)</f>
        <v>#N/A</v>
      </c>
      <c r="O317" s="185" t="str">
        <f>VLOOKUP(M317,'Dados ClubeFII'!$A:$Z,18,0)/100</f>
        <v>#N/A</v>
      </c>
      <c r="P317" s="186" t="str">
        <f t="shared" si="5"/>
        <v>#N/A</v>
      </c>
      <c r="Q317" s="187">
        <f>IF(ISERROR(1/VLOOKUP(M317,Capa!A:Z,6,0)),0,1/VLOOKUP(M317,Capa!A:Z,6,0))</f>
        <v>0</v>
      </c>
      <c r="R317" s="188">
        <f t="shared" si="6"/>
        <v>1.000001</v>
      </c>
      <c r="S317" s="189" t="str">
        <f t="shared" si="7"/>
        <v>#N/A</v>
      </c>
    </row>
    <row r="318">
      <c r="A318" s="190"/>
      <c r="B318" s="178" t="s">
        <v>3587</v>
      </c>
      <c r="C318" s="179" t="str">
        <f>VLOOKUP(B318,'Dados ClubeFII'!$A:$Z,26,0)</f>
        <v>#N/A</v>
      </c>
      <c r="D318" s="180" t="str">
        <f>VLOOKUP(B318,'Dados ClubeFII'!$A:$Z,20,0)/100</f>
        <v>#N/A</v>
      </c>
      <c r="E318" s="89" t="str">
        <f t="shared" si="1"/>
        <v>#N/A</v>
      </c>
      <c r="F318" s="181">
        <f>IF(ISERROR(1/VLOOKUP(B318,Capa!A:Z,13,0)),0,1/VLOOKUP(B318,Capa!A:Z,13,0))</f>
        <v>0</v>
      </c>
      <c r="G318" s="182">
        <f t="shared" si="2"/>
        <v>1.000001</v>
      </c>
      <c r="H318" s="183" t="str">
        <f t="shared" si="3"/>
        <v>#N/A</v>
      </c>
      <c r="M318" s="178" t="s">
        <v>3587</v>
      </c>
      <c r="N318" s="179" t="str">
        <f>VLOOKUP(M318,'Dados ClubeFII'!$A:$Z,26,0)</f>
        <v>#N/A</v>
      </c>
      <c r="O318" s="185" t="str">
        <f>VLOOKUP(M318,'Dados ClubeFII'!$A:$Z,18,0)/100</f>
        <v>#N/A</v>
      </c>
      <c r="P318" s="186" t="str">
        <f t="shared" si="5"/>
        <v>#N/A</v>
      </c>
      <c r="Q318" s="187">
        <f>IF(ISERROR(1/VLOOKUP(M318,Capa!A:Z,6,0)),0,1/VLOOKUP(M318,Capa!A:Z,6,0))</f>
        <v>0</v>
      </c>
      <c r="R318" s="188">
        <f t="shared" si="6"/>
        <v>1.000001</v>
      </c>
      <c r="S318" s="189" t="str">
        <f t="shared" si="7"/>
        <v>#N/A</v>
      </c>
    </row>
    <row r="319">
      <c r="A319" s="190"/>
      <c r="B319" s="178" t="s">
        <v>3588</v>
      </c>
      <c r="C319" s="179" t="str">
        <f>VLOOKUP(B319,'Dados ClubeFII'!$A:$Z,26,0)</f>
        <v>#N/A</v>
      </c>
      <c r="D319" s="180" t="str">
        <f>VLOOKUP(B319,'Dados ClubeFII'!$A:$Z,20,0)/100</f>
        <v>#N/A</v>
      </c>
      <c r="E319" s="89" t="str">
        <f t="shared" si="1"/>
        <v>#N/A</v>
      </c>
      <c r="F319" s="181">
        <f>IF(ISERROR(1/VLOOKUP(B319,Capa!A:Z,13,0)),0,1/VLOOKUP(B319,Capa!A:Z,13,0))</f>
        <v>0</v>
      </c>
      <c r="G319" s="182">
        <f t="shared" si="2"/>
        <v>1.000001</v>
      </c>
      <c r="H319" s="183" t="str">
        <f t="shared" si="3"/>
        <v>#N/A</v>
      </c>
      <c r="M319" s="178" t="s">
        <v>3588</v>
      </c>
      <c r="N319" s="179" t="str">
        <f>VLOOKUP(M319,'Dados ClubeFII'!$A:$Z,26,0)</f>
        <v>#N/A</v>
      </c>
      <c r="O319" s="185" t="str">
        <f>VLOOKUP(M319,'Dados ClubeFII'!$A:$Z,18,0)/100</f>
        <v>#N/A</v>
      </c>
      <c r="P319" s="186" t="str">
        <f t="shared" si="5"/>
        <v>#N/A</v>
      </c>
      <c r="Q319" s="187">
        <f>IF(ISERROR(1/VLOOKUP(M319,Capa!A:Z,6,0)),0,1/VLOOKUP(M319,Capa!A:Z,6,0))</f>
        <v>0</v>
      </c>
      <c r="R319" s="188">
        <f t="shared" si="6"/>
        <v>1.000001</v>
      </c>
      <c r="S319" s="189" t="str">
        <f t="shared" si="7"/>
        <v>#N/A</v>
      </c>
    </row>
    <row r="320">
      <c r="A320" s="190"/>
      <c r="B320" s="178" t="s">
        <v>3589</v>
      </c>
      <c r="C320" s="179" t="str">
        <f>VLOOKUP(B320,'Dados ClubeFII'!$A:$Z,26,0)</f>
        <v>#N/A</v>
      </c>
      <c r="D320" s="180" t="str">
        <f>VLOOKUP(B320,'Dados ClubeFII'!$A:$Z,20,0)/100</f>
        <v>#N/A</v>
      </c>
      <c r="E320" s="89" t="str">
        <f t="shared" si="1"/>
        <v>#N/A</v>
      </c>
      <c r="F320" s="181">
        <f>IF(ISERROR(1/VLOOKUP(B320,Capa!A:Z,13,0)),0,1/VLOOKUP(B320,Capa!A:Z,13,0))</f>
        <v>0</v>
      </c>
      <c r="G320" s="182">
        <f t="shared" si="2"/>
        <v>1.000001</v>
      </c>
      <c r="H320" s="183" t="str">
        <f t="shared" si="3"/>
        <v>#N/A</v>
      </c>
      <c r="M320" s="178" t="s">
        <v>3589</v>
      </c>
      <c r="N320" s="179" t="str">
        <f>VLOOKUP(M320,'Dados ClubeFII'!$A:$Z,26,0)</f>
        <v>#N/A</v>
      </c>
      <c r="O320" s="185" t="str">
        <f>VLOOKUP(M320,'Dados ClubeFII'!$A:$Z,18,0)/100</f>
        <v>#N/A</v>
      </c>
      <c r="P320" s="186" t="str">
        <f t="shared" si="5"/>
        <v>#N/A</v>
      </c>
      <c r="Q320" s="187">
        <f>IF(ISERROR(1/VLOOKUP(M320,Capa!A:Z,6,0)),0,1/VLOOKUP(M320,Capa!A:Z,6,0))</f>
        <v>0</v>
      </c>
      <c r="R320" s="188">
        <f t="shared" si="6"/>
        <v>1.000001</v>
      </c>
      <c r="S320" s="189" t="str">
        <f t="shared" si="7"/>
        <v>#N/A</v>
      </c>
    </row>
    <row r="321">
      <c r="A321" s="190"/>
      <c r="B321" s="178" t="s">
        <v>3590</v>
      </c>
      <c r="C321" s="179" t="str">
        <f>VLOOKUP(B321,'Dados ClubeFII'!$A:$Z,26,0)</f>
        <v>#N/A</v>
      </c>
      <c r="D321" s="180" t="str">
        <f>VLOOKUP(B321,'Dados ClubeFII'!$A:$Z,20,0)/100</f>
        <v>#N/A</v>
      </c>
      <c r="E321" s="89" t="str">
        <f t="shared" si="1"/>
        <v>#N/A</v>
      </c>
      <c r="F321" s="181">
        <f>IF(ISERROR(1/VLOOKUP(B321,Capa!A:Z,13,0)),0,1/VLOOKUP(B321,Capa!A:Z,13,0))</f>
        <v>0</v>
      </c>
      <c r="G321" s="182">
        <f t="shared" si="2"/>
        <v>1.000001</v>
      </c>
      <c r="H321" s="183" t="str">
        <f t="shared" si="3"/>
        <v>#N/A</v>
      </c>
      <c r="M321" s="178" t="s">
        <v>3590</v>
      </c>
      <c r="N321" s="179" t="str">
        <f>VLOOKUP(M321,'Dados ClubeFII'!$A:$Z,26,0)</f>
        <v>#N/A</v>
      </c>
      <c r="O321" s="185" t="str">
        <f>VLOOKUP(M321,'Dados ClubeFII'!$A:$Z,18,0)/100</f>
        <v>#N/A</v>
      </c>
      <c r="P321" s="186" t="str">
        <f t="shared" si="5"/>
        <v>#N/A</v>
      </c>
      <c r="Q321" s="187">
        <f>IF(ISERROR(1/VLOOKUP(M321,Capa!A:Z,6,0)),0,1/VLOOKUP(M321,Capa!A:Z,6,0))</f>
        <v>0</v>
      </c>
      <c r="R321" s="188">
        <f t="shared" si="6"/>
        <v>1.000001</v>
      </c>
      <c r="S321" s="189" t="str">
        <f t="shared" si="7"/>
        <v>#N/A</v>
      </c>
    </row>
    <row r="322">
      <c r="A322" s="190"/>
      <c r="B322" s="178" t="s">
        <v>3591</v>
      </c>
      <c r="C322" s="179" t="str">
        <f>VLOOKUP(B322,'Dados ClubeFII'!$A:$Z,26,0)</f>
        <v>#N/A</v>
      </c>
      <c r="D322" s="180" t="str">
        <f>VLOOKUP(B322,'Dados ClubeFII'!$A:$Z,20,0)/100</f>
        <v>#N/A</v>
      </c>
      <c r="E322" s="89" t="str">
        <f t="shared" si="1"/>
        <v>#N/A</v>
      </c>
      <c r="F322" s="181">
        <f>IF(ISERROR(1/VLOOKUP(B322,Capa!A:Z,13,0)),0,1/VLOOKUP(B322,Capa!A:Z,13,0))</f>
        <v>0</v>
      </c>
      <c r="G322" s="182">
        <f t="shared" si="2"/>
        <v>1.000001</v>
      </c>
      <c r="H322" s="183" t="str">
        <f t="shared" si="3"/>
        <v>#N/A</v>
      </c>
      <c r="M322" s="178" t="s">
        <v>3591</v>
      </c>
      <c r="N322" s="179" t="str">
        <f>VLOOKUP(M322,'Dados ClubeFII'!$A:$Z,26,0)</f>
        <v>#N/A</v>
      </c>
      <c r="O322" s="185" t="str">
        <f>VLOOKUP(M322,'Dados ClubeFII'!$A:$Z,18,0)/100</f>
        <v>#N/A</v>
      </c>
      <c r="P322" s="186" t="str">
        <f t="shared" si="5"/>
        <v>#N/A</v>
      </c>
      <c r="Q322" s="187">
        <f>IF(ISERROR(1/VLOOKUP(M322,Capa!A:Z,6,0)),0,1/VLOOKUP(M322,Capa!A:Z,6,0))</f>
        <v>0</v>
      </c>
      <c r="R322" s="188">
        <f t="shared" si="6"/>
        <v>1.000001</v>
      </c>
      <c r="S322" s="189" t="str">
        <f t="shared" si="7"/>
        <v>#N/A</v>
      </c>
    </row>
    <row r="323">
      <c r="A323" s="190"/>
      <c r="B323" s="178" t="s">
        <v>3592</v>
      </c>
      <c r="C323" s="179" t="str">
        <f>VLOOKUP(B323,'Dados ClubeFII'!$A:$Z,26,0)</f>
        <v>#N/A</v>
      </c>
      <c r="D323" s="180" t="str">
        <f>VLOOKUP(B323,'Dados ClubeFII'!$A:$Z,20,0)/100</f>
        <v>#N/A</v>
      </c>
      <c r="E323" s="89" t="str">
        <f t="shared" si="1"/>
        <v>#N/A</v>
      </c>
      <c r="F323" s="181">
        <f>IF(ISERROR(1/VLOOKUP(B323,Capa!A:Z,13,0)),0,1/VLOOKUP(B323,Capa!A:Z,13,0))</f>
        <v>0</v>
      </c>
      <c r="G323" s="182">
        <f t="shared" si="2"/>
        <v>1.000001</v>
      </c>
      <c r="H323" s="183" t="str">
        <f t="shared" si="3"/>
        <v>#N/A</v>
      </c>
      <c r="M323" s="178" t="s">
        <v>3592</v>
      </c>
      <c r="N323" s="179" t="str">
        <f>VLOOKUP(M323,'Dados ClubeFII'!$A:$Z,26,0)</f>
        <v>#N/A</v>
      </c>
      <c r="O323" s="185" t="str">
        <f>VLOOKUP(M323,'Dados ClubeFII'!$A:$Z,18,0)/100</f>
        <v>#N/A</v>
      </c>
      <c r="P323" s="186" t="str">
        <f t="shared" si="5"/>
        <v>#N/A</v>
      </c>
      <c r="Q323" s="187">
        <f>IF(ISERROR(1/VLOOKUP(M323,Capa!A:Z,6,0)),0,1/VLOOKUP(M323,Capa!A:Z,6,0))</f>
        <v>0</v>
      </c>
      <c r="R323" s="188">
        <f t="shared" si="6"/>
        <v>1.000001</v>
      </c>
      <c r="S323" s="189" t="str">
        <f t="shared" si="7"/>
        <v>#N/A</v>
      </c>
    </row>
    <row r="324">
      <c r="A324" s="190"/>
      <c r="B324" s="178" t="s">
        <v>3593</v>
      </c>
      <c r="C324" s="179" t="str">
        <f>VLOOKUP(B324,'Dados ClubeFII'!$A:$Z,26,0)</f>
        <v>#N/A</v>
      </c>
      <c r="D324" s="180" t="str">
        <f>VLOOKUP(B324,'Dados ClubeFII'!$A:$Z,20,0)/100</f>
        <v>#N/A</v>
      </c>
      <c r="E324" s="89" t="str">
        <f t="shared" si="1"/>
        <v>#N/A</v>
      </c>
      <c r="F324" s="181">
        <f>IF(ISERROR(1/VLOOKUP(B324,Capa!A:Z,13,0)),0,1/VLOOKUP(B324,Capa!A:Z,13,0))</f>
        <v>0</v>
      </c>
      <c r="G324" s="182">
        <f t="shared" si="2"/>
        <v>1.000001</v>
      </c>
      <c r="H324" s="183" t="str">
        <f t="shared" si="3"/>
        <v>#N/A</v>
      </c>
      <c r="M324" s="178" t="s">
        <v>3593</v>
      </c>
      <c r="N324" s="179" t="str">
        <f>VLOOKUP(M324,'Dados ClubeFII'!$A:$Z,26,0)</f>
        <v>#N/A</v>
      </c>
      <c r="O324" s="185" t="str">
        <f>VLOOKUP(M324,'Dados ClubeFII'!$A:$Z,18,0)/100</f>
        <v>#N/A</v>
      </c>
      <c r="P324" s="186" t="str">
        <f t="shared" si="5"/>
        <v>#N/A</v>
      </c>
      <c r="Q324" s="187">
        <f>IF(ISERROR(1/VLOOKUP(M324,Capa!A:Z,6,0)),0,1/VLOOKUP(M324,Capa!A:Z,6,0))</f>
        <v>0</v>
      </c>
      <c r="R324" s="188">
        <f t="shared" si="6"/>
        <v>1.000001</v>
      </c>
      <c r="S324" s="189" t="str">
        <f t="shared" si="7"/>
        <v>#N/A</v>
      </c>
    </row>
    <row r="325">
      <c r="A325" s="190"/>
      <c r="B325" s="178" t="s">
        <v>3594</v>
      </c>
      <c r="C325" s="179" t="str">
        <f>VLOOKUP(B325,'Dados ClubeFII'!$A:$Z,26,0)</f>
        <v>#N/A</v>
      </c>
      <c r="D325" s="180" t="str">
        <f>VLOOKUP(B325,'Dados ClubeFII'!$A:$Z,20,0)/100</f>
        <v>#N/A</v>
      </c>
      <c r="E325" s="89" t="str">
        <f t="shared" si="1"/>
        <v>#N/A</v>
      </c>
      <c r="F325" s="181">
        <f>IF(ISERROR(1/VLOOKUP(B325,Capa!A:Z,13,0)),0,1/VLOOKUP(B325,Capa!A:Z,13,0))</f>
        <v>0</v>
      </c>
      <c r="G325" s="182">
        <f t="shared" si="2"/>
        <v>1.000001</v>
      </c>
      <c r="H325" s="183" t="str">
        <f t="shared" si="3"/>
        <v>#N/A</v>
      </c>
      <c r="M325" s="178" t="s">
        <v>3594</v>
      </c>
      <c r="N325" s="179" t="str">
        <f>VLOOKUP(M325,'Dados ClubeFII'!$A:$Z,26,0)</f>
        <v>#N/A</v>
      </c>
      <c r="O325" s="185" t="str">
        <f>VLOOKUP(M325,'Dados ClubeFII'!$A:$Z,18,0)/100</f>
        <v>#N/A</v>
      </c>
      <c r="P325" s="186" t="str">
        <f t="shared" si="5"/>
        <v>#N/A</v>
      </c>
      <c r="Q325" s="187">
        <f>IF(ISERROR(1/VLOOKUP(M325,Capa!A:Z,6,0)),0,1/VLOOKUP(M325,Capa!A:Z,6,0))</f>
        <v>0</v>
      </c>
      <c r="R325" s="188">
        <f t="shared" si="6"/>
        <v>1.000001</v>
      </c>
      <c r="S325" s="189" t="str">
        <f t="shared" si="7"/>
        <v>#N/A</v>
      </c>
    </row>
    <row r="326">
      <c r="A326" s="190"/>
      <c r="B326" s="178" t="s">
        <v>3595</v>
      </c>
      <c r="C326" s="179" t="str">
        <f>VLOOKUP(B326,'Dados ClubeFII'!$A:$Z,26,0)</f>
        <v>#N/A</v>
      </c>
      <c r="D326" s="180" t="str">
        <f>VLOOKUP(B326,'Dados ClubeFII'!$A:$Z,20,0)/100</f>
        <v>#N/A</v>
      </c>
      <c r="E326" s="89" t="str">
        <f t="shared" si="1"/>
        <v>#N/A</v>
      </c>
      <c r="F326" s="181">
        <f>IF(ISERROR(1/VLOOKUP(B326,Capa!A:Z,13,0)),0,1/VLOOKUP(B326,Capa!A:Z,13,0))</f>
        <v>0</v>
      </c>
      <c r="G326" s="182">
        <f t="shared" si="2"/>
        <v>1.000001</v>
      </c>
      <c r="H326" s="183" t="str">
        <f t="shared" si="3"/>
        <v>#N/A</v>
      </c>
      <c r="M326" s="178" t="s">
        <v>3595</v>
      </c>
      <c r="N326" s="179" t="str">
        <f>VLOOKUP(M326,'Dados ClubeFII'!$A:$Z,26,0)</f>
        <v>#N/A</v>
      </c>
      <c r="O326" s="185" t="str">
        <f>VLOOKUP(M326,'Dados ClubeFII'!$A:$Z,18,0)/100</f>
        <v>#N/A</v>
      </c>
      <c r="P326" s="186" t="str">
        <f t="shared" si="5"/>
        <v>#N/A</v>
      </c>
      <c r="Q326" s="187">
        <f>IF(ISERROR(1/VLOOKUP(M326,Capa!A:Z,6,0)),0,1/VLOOKUP(M326,Capa!A:Z,6,0))</f>
        <v>0</v>
      </c>
      <c r="R326" s="188">
        <f t="shared" si="6"/>
        <v>1.000001</v>
      </c>
      <c r="S326" s="189" t="str">
        <f t="shared" si="7"/>
        <v>#N/A</v>
      </c>
    </row>
    <row r="327">
      <c r="A327" s="190"/>
      <c r="B327" s="178" t="s">
        <v>3596</v>
      </c>
      <c r="C327" s="179" t="str">
        <f>VLOOKUP(B327,'Dados ClubeFII'!$A:$Z,26,0)</f>
        <v>#N/A</v>
      </c>
      <c r="D327" s="180" t="str">
        <f>VLOOKUP(B327,'Dados ClubeFII'!$A:$Z,20,0)/100</f>
        <v>#N/A</v>
      </c>
      <c r="E327" s="89" t="str">
        <f t="shared" si="1"/>
        <v>#N/A</v>
      </c>
      <c r="F327" s="181">
        <f>IF(ISERROR(1/VLOOKUP(B327,Capa!A:Z,13,0)),0,1/VLOOKUP(B327,Capa!A:Z,13,0))</f>
        <v>0</v>
      </c>
      <c r="G327" s="182">
        <f t="shared" si="2"/>
        <v>1.000001</v>
      </c>
      <c r="H327" s="183" t="str">
        <f t="shared" si="3"/>
        <v>#N/A</v>
      </c>
      <c r="M327" s="178" t="s">
        <v>3596</v>
      </c>
      <c r="N327" s="179" t="str">
        <f>VLOOKUP(M327,'Dados ClubeFII'!$A:$Z,26,0)</f>
        <v>#N/A</v>
      </c>
      <c r="O327" s="185" t="str">
        <f>VLOOKUP(M327,'Dados ClubeFII'!$A:$Z,18,0)/100</f>
        <v>#N/A</v>
      </c>
      <c r="P327" s="186" t="str">
        <f t="shared" si="5"/>
        <v>#N/A</v>
      </c>
      <c r="Q327" s="187">
        <f>IF(ISERROR(1/VLOOKUP(M327,Capa!A:Z,6,0)),0,1/VLOOKUP(M327,Capa!A:Z,6,0))</f>
        <v>0</v>
      </c>
      <c r="R327" s="188">
        <f t="shared" si="6"/>
        <v>1.000001</v>
      </c>
      <c r="S327" s="189" t="str">
        <f t="shared" si="7"/>
        <v>#N/A</v>
      </c>
    </row>
    <row r="328">
      <c r="A328" s="190"/>
      <c r="B328" s="178" t="s">
        <v>3597</v>
      </c>
      <c r="C328" s="179" t="str">
        <f>VLOOKUP(B328,'Dados ClubeFII'!$A:$Z,26,0)</f>
        <v>#N/A</v>
      </c>
      <c r="D328" s="180" t="str">
        <f>VLOOKUP(B328,'Dados ClubeFII'!$A:$Z,20,0)/100</f>
        <v>#N/A</v>
      </c>
      <c r="E328" s="89" t="str">
        <f t="shared" si="1"/>
        <v>#N/A</v>
      </c>
      <c r="F328" s="181">
        <f>IF(ISERROR(1/VLOOKUP(B328,Capa!A:Z,13,0)),0,1/VLOOKUP(B328,Capa!A:Z,13,0))</f>
        <v>0</v>
      </c>
      <c r="G328" s="182">
        <f t="shared" si="2"/>
        <v>1.000001</v>
      </c>
      <c r="H328" s="183" t="str">
        <f t="shared" si="3"/>
        <v>#N/A</v>
      </c>
      <c r="M328" s="178" t="s">
        <v>3597</v>
      </c>
      <c r="N328" s="179" t="str">
        <f>VLOOKUP(M328,'Dados ClubeFII'!$A:$Z,26,0)</f>
        <v>#N/A</v>
      </c>
      <c r="O328" s="185" t="str">
        <f>VLOOKUP(M328,'Dados ClubeFII'!$A:$Z,18,0)/100</f>
        <v>#N/A</v>
      </c>
      <c r="P328" s="186" t="str">
        <f t="shared" si="5"/>
        <v>#N/A</v>
      </c>
      <c r="Q328" s="187">
        <f>IF(ISERROR(1/VLOOKUP(M328,Capa!A:Z,6,0)),0,1/VLOOKUP(M328,Capa!A:Z,6,0))</f>
        <v>0</v>
      </c>
      <c r="R328" s="188">
        <f t="shared" si="6"/>
        <v>1.000001</v>
      </c>
      <c r="S328" s="189" t="str">
        <f t="shared" si="7"/>
        <v>#N/A</v>
      </c>
    </row>
    <row r="329">
      <c r="A329" s="190"/>
      <c r="B329" s="178" t="s">
        <v>3598</v>
      </c>
      <c r="C329" s="179" t="str">
        <f>VLOOKUP(B329,'Dados ClubeFII'!$A:$Z,26,0)</f>
        <v>#N/A</v>
      </c>
      <c r="D329" s="180" t="str">
        <f>VLOOKUP(B329,'Dados ClubeFII'!$A:$Z,20,0)/100</f>
        <v>#N/A</v>
      </c>
      <c r="E329" s="89" t="str">
        <f t="shared" si="1"/>
        <v>#N/A</v>
      </c>
      <c r="F329" s="181">
        <f>IF(ISERROR(1/VLOOKUP(B329,Capa!A:Z,13,0)),0,1/VLOOKUP(B329,Capa!A:Z,13,0))</f>
        <v>0</v>
      </c>
      <c r="G329" s="182">
        <f t="shared" si="2"/>
        <v>1.000001</v>
      </c>
      <c r="H329" s="183" t="str">
        <f t="shared" si="3"/>
        <v>#N/A</v>
      </c>
      <c r="M329" s="178" t="s">
        <v>3598</v>
      </c>
      <c r="N329" s="179" t="str">
        <f>VLOOKUP(M329,'Dados ClubeFII'!$A:$Z,26,0)</f>
        <v>#N/A</v>
      </c>
      <c r="O329" s="185" t="str">
        <f>VLOOKUP(M329,'Dados ClubeFII'!$A:$Z,18,0)/100</f>
        <v>#N/A</v>
      </c>
      <c r="P329" s="186" t="str">
        <f t="shared" si="5"/>
        <v>#N/A</v>
      </c>
      <c r="Q329" s="187">
        <f>IF(ISERROR(1/VLOOKUP(M329,Capa!A:Z,6,0)),0,1/VLOOKUP(M329,Capa!A:Z,6,0))</f>
        <v>0</v>
      </c>
      <c r="R329" s="188">
        <f t="shared" si="6"/>
        <v>1.000001</v>
      </c>
      <c r="S329" s="189" t="str">
        <f t="shared" si="7"/>
        <v>#N/A</v>
      </c>
    </row>
    <row r="330">
      <c r="A330" s="190"/>
      <c r="B330" s="178" t="s">
        <v>3599</v>
      </c>
      <c r="C330" s="179" t="str">
        <f>VLOOKUP(B330,'Dados ClubeFII'!$A:$Z,26,0)</f>
        <v>#N/A</v>
      </c>
      <c r="D330" s="180" t="str">
        <f>VLOOKUP(B330,'Dados ClubeFII'!$A:$Z,20,0)/100</f>
        <v>#N/A</v>
      </c>
      <c r="E330" s="89" t="str">
        <f t="shared" si="1"/>
        <v>#N/A</v>
      </c>
      <c r="F330" s="181">
        <f>IF(ISERROR(1/VLOOKUP(B330,Capa!A:Z,13,0)),0,1/VLOOKUP(B330,Capa!A:Z,13,0))</f>
        <v>0</v>
      </c>
      <c r="G330" s="182">
        <f t="shared" si="2"/>
        <v>1.000001</v>
      </c>
      <c r="H330" s="183" t="str">
        <f t="shared" si="3"/>
        <v>#N/A</v>
      </c>
      <c r="M330" s="178" t="s">
        <v>3599</v>
      </c>
      <c r="N330" s="179" t="str">
        <f>VLOOKUP(M330,'Dados ClubeFII'!$A:$Z,26,0)</f>
        <v>#N/A</v>
      </c>
      <c r="O330" s="185" t="str">
        <f>VLOOKUP(M330,'Dados ClubeFII'!$A:$Z,18,0)/100</f>
        <v>#N/A</v>
      </c>
      <c r="P330" s="186" t="str">
        <f t="shared" si="5"/>
        <v>#N/A</v>
      </c>
      <c r="Q330" s="187">
        <f>IF(ISERROR(1/VLOOKUP(M330,Capa!A:Z,6,0)),0,1/VLOOKUP(M330,Capa!A:Z,6,0))</f>
        <v>0</v>
      </c>
      <c r="R330" s="188">
        <f t="shared" si="6"/>
        <v>1.000001</v>
      </c>
      <c r="S330" s="189" t="str">
        <f t="shared" si="7"/>
        <v>#N/A</v>
      </c>
    </row>
    <row r="331">
      <c r="A331" s="190"/>
      <c r="B331" s="178" t="s">
        <v>3600</v>
      </c>
      <c r="C331" s="179" t="str">
        <f>VLOOKUP(B331,'Dados ClubeFII'!$A:$Z,26,0)</f>
        <v>#N/A</v>
      </c>
      <c r="D331" s="180" t="str">
        <f>VLOOKUP(B331,'Dados ClubeFII'!$A:$Z,20,0)/100</f>
        <v>#N/A</v>
      </c>
      <c r="E331" s="89" t="str">
        <f t="shared" si="1"/>
        <v>#N/A</v>
      </c>
      <c r="F331" s="181">
        <f>IF(ISERROR(1/VLOOKUP(B331,Capa!A:Z,13,0)),0,1/VLOOKUP(B331,Capa!A:Z,13,0))</f>
        <v>0</v>
      </c>
      <c r="G331" s="182">
        <f t="shared" si="2"/>
        <v>1.000001</v>
      </c>
      <c r="H331" s="183" t="str">
        <f t="shared" si="3"/>
        <v>#N/A</v>
      </c>
      <c r="M331" s="178" t="s">
        <v>3600</v>
      </c>
      <c r="N331" s="179" t="str">
        <f>VLOOKUP(M331,'Dados ClubeFII'!$A:$Z,26,0)</f>
        <v>#N/A</v>
      </c>
      <c r="O331" s="185" t="str">
        <f>VLOOKUP(M331,'Dados ClubeFII'!$A:$Z,18,0)/100</f>
        <v>#N/A</v>
      </c>
      <c r="P331" s="186" t="str">
        <f t="shared" si="5"/>
        <v>#N/A</v>
      </c>
      <c r="Q331" s="187">
        <f>IF(ISERROR(1/VLOOKUP(M331,Capa!A:Z,6,0)),0,1/VLOOKUP(M331,Capa!A:Z,6,0))</f>
        <v>0</v>
      </c>
      <c r="R331" s="188">
        <f t="shared" si="6"/>
        <v>1.000001</v>
      </c>
      <c r="S331" s="189" t="str">
        <f t="shared" si="7"/>
        <v>#N/A</v>
      </c>
    </row>
    <row r="332">
      <c r="A332" s="190"/>
      <c r="B332" s="178" t="s">
        <v>3601</v>
      </c>
      <c r="C332" s="179" t="str">
        <f>VLOOKUP(B332,'Dados ClubeFII'!$A:$Z,26,0)</f>
        <v>#N/A</v>
      </c>
      <c r="D332" s="180" t="str">
        <f>VLOOKUP(B332,'Dados ClubeFII'!$A:$Z,20,0)/100</f>
        <v>#N/A</v>
      </c>
      <c r="E332" s="89" t="str">
        <f t="shared" si="1"/>
        <v>#N/A</v>
      </c>
      <c r="F332" s="181">
        <f>IF(ISERROR(1/VLOOKUP(B332,Capa!A:Z,13,0)),0,1/VLOOKUP(B332,Capa!A:Z,13,0))</f>
        <v>0</v>
      </c>
      <c r="G332" s="182">
        <f t="shared" si="2"/>
        <v>1.000001</v>
      </c>
      <c r="H332" s="183" t="str">
        <f t="shared" si="3"/>
        <v>#N/A</v>
      </c>
      <c r="M332" s="178" t="s">
        <v>3601</v>
      </c>
      <c r="N332" s="179" t="str">
        <f>VLOOKUP(M332,'Dados ClubeFII'!$A:$Z,26,0)</f>
        <v>#N/A</v>
      </c>
      <c r="O332" s="185" t="str">
        <f>VLOOKUP(M332,'Dados ClubeFII'!$A:$Z,18,0)/100</f>
        <v>#N/A</v>
      </c>
      <c r="P332" s="186" t="str">
        <f t="shared" si="5"/>
        <v>#N/A</v>
      </c>
      <c r="Q332" s="187">
        <f>IF(ISERROR(1/VLOOKUP(M332,Capa!A:Z,6,0)),0,1/VLOOKUP(M332,Capa!A:Z,6,0))</f>
        <v>0</v>
      </c>
      <c r="R332" s="188">
        <f t="shared" si="6"/>
        <v>1.000001</v>
      </c>
      <c r="S332" s="189" t="str">
        <f t="shared" si="7"/>
        <v>#N/A</v>
      </c>
    </row>
    <row r="333">
      <c r="A333" s="190"/>
      <c r="B333" s="178" t="s">
        <v>3602</v>
      </c>
      <c r="C333" s="179" t="str">
        <f>VLOOKUP(B333,'Dados ClubeFII'!$A:$Z,26,0)</f>
        <v>#N/A</v>
      </c>
      <c r="D333" s="180" t="str">
        <f>VLOOKUP(B333,'Dados ClubeFII'!$A:$Z,20,0)/100</f>
        <v>#N/A</v>
      </c>
      <c r="E333" s="89" t="str">
        <f t="shared" si="1"/>
        <v>#N/A</v>
      </c>
      <c r="F333" s="181">
        <f>IF(ISERROR(1/VLOOKUP(B333,Capa!A:Z,13,0)),0,1/VLOOKUP(B333,Capa!A:Z,13,0))</f>
        <v>0</v>
      </c>
      <c r="G333" s="182">
        <f t="shared" si="2"/>
        <v>1.000001</v>
      </c>
      <c r="H333" s="183" t="str">
        <f t="shared" si="3"/>
        <v>#N/A</v>
      </c>
      <c r="M333" s="178" t="s">
        <v>3602</v>
      </c>
      <c r="N333" s="179" t="str">
        <f>VLOOKUP(M333,'Dados ClubeFII'!$A:$Z,26,0)</f>
        <v>#N/A</v>
      </c>
      <c r="O333" s="185" t="str">
        <f>VLOOKUP(M333,'Dados ClubeFII'!$A:$Z,18,0)/100</f>
        <v>#N/A</v>
      </c>
      <c r="P333" s="186" t="str">
        <f t="shared" si="5"/>
        <v>#N/A</v>
      </c>
      <c r="Q333" s="187">
        <f>IF(ISERROR(1/VLOOKUP(M333,Capa!A:Z,6,0)),0,1/VLOOKUP(M333,Capa!A:Z,6,0))</f>
        <v>0</v>
      </c>
      <c r="R333" s="188">
        <f t="shared" si="6"/>
        <v>1.000001</v>
      </c>
      <c r="S333" s="189" t="str">
        <f t="shared" si="7"/>
        <v>#N/A</v>
      </c>
    </row>
    <row r="334">
      <c r="A334" s="190"/>
      <c r="B334" s="178" t="s">
        <v>3603</v>
      </c>
      <c r="C334" s="179" t="str">
        <f>VLOOKUP(B334,'Dados ClubeFII'!$A:$Z,26,0)</f>
        <v>#N/A</v>
      </c>
      <c r="D334" s="180" t="str">
        <f>VLOOKUP(B334,'Dados ClubeFII'!$A:$Z,20,0)/100</f>
        <v>#N/A</v>
      </c>
      <c r="E334" s="89" t="str">
        <f t="shared" si="1"/>
        <v>#N/A</v>
      </c>
      <c r="F334" s="181">
        <f>IF(ISERROR(1/VLOOKUP(B334,Capa!A:Z,13,0)),0,1/VLOOKUP(B334,Capa!A:Z,13,0))</f>
        <v>0</v>
      </c>
      <c r="G334" s="182">
        <f t="shared" si="2"/>
        <v>1.000001</v>
      </c>
      <c r="H334" s="183" t="str">
        <f t="shared" si="3"/>
        <v>#N/A</v>
      </c>
      <c r="M334" s="178" t="s">
        <v>3603</v>
      </c>
      <c r="N334" s="179" t="str">
        <f>VLOOKUP(M334,'Dados ClubeFII'!$A:$Z,26,0)</f>
        <v>#N/A</v>
      </c>
      <c r="O334" s="185" t="str">
        <f>VLOOKUP(M334,'Dados ClubeFII'!$A:$Z,18,0)/100</f>
        <v>#N/A</v>
      </c>
      <c r="P334" s="186" t="str">
        <f t="shared" si="5"/>
        <v>#N/A</v>
      </c>
      <c r="Q334" s="187">
        <f>IF(ISERROR(1/VLOOKUP(M334,Capa!A:Z,6,0)),0,1/VLOOKUP(M334,Capa!A:Z,6,0))</f>
        <v>0</v>
      </c>
      <c r="R334" s="188">
        <f t="shared" si="6"/>
        <v>1.000001</v>
      </c>
      <c r="S334" s="189" t="str">
        <f t="shared" si="7"/>
        <v>#N/A</v>
      </c>
    </row>
    <row r="335">
      <c r="A335" s="190"/>
      <c r="B335" s="178" t="s">
        <v>3604</v>
      </c>
      <c r="C335" s="179" t="str">
        <f>VLOOKUP(B335,'Dados ClubeFII'!$A:$Z,26,0)</f>
        <v>#N/A</v>
      </c>
      <c r="D335" s="180" t="str">
        <f>VLOOKUP(B335,'Dados ClubeFII'!$A:$Z,20,0)/100</f>
        <v>#N/A</v>
      </c>
      <c r="E335" s="89" t="str">
        <f t="shared" si="1"/>
        <v>#N/A</v>
      </c>
      <c r="F335" s="181">
        <f>IF(ISERROR(1/VLOOKUP(B335,Capa!A:Z,13,0)),0,1/VLOOKUP(B335,Capa!A:Z,13,0))</f>
        <v>0</v>
      </c>
      <c r="G335" s="182">
        <f t="shared" si="2"/>
        <v>1.000001</v>
      </c>
      <c r="H335" s="183" t="str">
        <f t="shared" si="3"/>
        <v>#N/A</v>
      </c>
      <c r="M335" s="178" t="s">
        <v>3604</v>
      </c>
      <c r="N335" s="179" t="str">
        <f>VLOOKUP(M335,'Dados ClubeFII'!$A:$Z,26,0)</f>
        <v>#N/A</v>
      </c>
      <c r="O335" s="185" t="str">
        <f>VLOOKUP(M335,'Dados ClubeFII'!$A:$Z,18,0)/100</f>
        <v>#N/A</v>
      </c>
      <c r="P335" s="186" t="str">
        <f t="shared" si="5"/>
        <v>#N/A</v>
      </c>
      <c r="Q335" s="187">
        <f>IF(ISERROR(1/VLOOKUP(M335,Capa!A:Z,6,0)),0,1/VLOOKUP(M335,Capa!A:Z,6,0))</f>
        <v>0</v>
      </c>
      <c r="R335" s="188">
        <f t="shared" si="6"/>
        <v>1.000001</v>
      </c>
      <c r="S335" s="189" t="str">
        <f t="shared" si="7"/>
        <v>#N/A</v>
      </c>
    </row>
    <row r="336">
      <c r="A336" s="190"/>
      <c r="B336" s="178" t="s">
        <v>3605</v>
      </c>
      <c r="C336" s="179" t="str">
        <f>VLOOKUP(B336,'Dados ClubeFII'!$A:$Z,26,0)</f>
        <v>#N/A</v>
      </c>
      <c r="D336" s="180" t="str">
        <f>VLOOKUP(B336,'Dados ClubeFII'!$A:$Z,20,0)/100</f>
        <v>#N/A</v>
      </c>
      <c r="E336" s="89" t="str">
        <f t="shared" si="1"/>
        <v>#N/A</v>
      </c>
      <c r="F336" s="181">
        <f>IF(ISERROR(1/VLOOKUP(B336,Capa!A:Z,13,0)),0,1/VLOOKUP(B336,Capa!A:Z,13,0))</f>
        <v>0</v>
      </c>
      <c r="G336" s="182">
        <f t="shared" si="2"/>
        <v>1.000001</v>
      </c>
      <c r="H336" s="183" t="str">
        <f t="shared" si="3"/>
        <v>#N/A</v>
      </c>
      <c r="M336" s="178" t="s">
        <v>3605</v>
      </c>
      <c r="N336" s="179" t="str">
        <f>VLOOKUP(M336,'Dados ClubeFII'!$A:$Z,26,0)</f>
        <v>#N/A</v>
      </c>
      <c r="O336" s="185" t="str">
        <f>VLOOKUP(M336,'Dados ClubeFII'!$A:$Z,18,0)/100</f>
        <v>#N/A</v>
      </c>
      <c r="P336" s="186" t="str">
        <f t="shared" si="5"/>
        <v>#N/A</v>
      </c>
      <c r="Q336" s="187">
        <f>IF(ISERROR(1/VLOOKUP(M336,Capa!A:Z,6,0)),0,1/VLOOKUP(M336,Capa!A:Z,6,0))</f>
        <v>0</v>
      </c>
      <c r="R336" s="188">
        <f t="shared" si="6"/>
        <v>1.000001</v>
      </c>
      <c r="S336" s="189" t="str">
        <f t="shared" si="7"/>
        <v>#N/A</v>
      </c>
    </row>
    <row r="337">
      <c r="A337" s="190"/>
      <c r="B337" s="178" t="s">
        <v>3606</v>
      </c>
      <c r="C337" s="179" t="str">
        <f>VLOOKUP(B337,'Dados ClubeFII'!$A:$Z,26,0)</f>
        <v>#N/A</v>
      </c>
      <c r="D337" s="180" t="str">
        <f>VLOOKUP(B337,'Dados ClubeFII'!$A:$Z,20,0)/100</f>
        <v>#N/A</v>
      </c>
      <c r="E337" s="89" t="str">
        <f t="shared" si="1"/>
        <v>#N/A</v>
      </c>
      <c r="F337" s="181">
        <f>IF(ISERROR(1/VLOOKUP(B337,Capa!A:Z,13,0)),0,1/VLOOKUP(B337,Capa!A:Z,13,0))</f>
        <v>0</v>
      </c>
      <c r="G337" s="182">
        <f t="shared" si="2"/>
        <v>1.000001</v>
      </c>
      <c r="H337" s="183" t="str">
        <f t="shared" si="3"/>
        <v>#N/A</v>
      </c>
      <c r="M337" s="178" t="s">
        <v>3606</v>
      </c>
      <c r="N337" s="179" t="str">
        <f>VLOOKUP(M337,'Dados ClubeFII'!$A:$Z,26,0)</f>
        <v>#N/A</v>
      </c>
      <c r="O337" s="185" t="str">
        <f>VLOOKUP(M337,'Dados ClubeFII'!$A:$Z,18,0)/100</f>
        <v>#N/A</v>
      </c>
      <c r="P337" s="186" t="str">
        <f t="shared" si="5"/>
        <v>#N/A</v>
      </c>
      <c r="Q337" s="187">
        <f>IF(ISERROR(1/VLOOKUP(M337,Capa!A:Z,6,0)),0,1/VLOOKUP(M337,Capa!A:Z,6,0))</f>
        <v>0</v>
      </c>
      <c r="R337" s="188">
        <f t="shared" si="6"/>
        <v>1.000001</v>
      </c>
      <c r="S337" s="189" t="str">
        <f t="shared" si="7"/>
        <v>#N/A</v>
      </c>
    </row>
    <row r="338">
      <c r="A338" s="190"/>
      <c r="B338" s="178" t="s">
        <v>3607</v>
      </c>
      <c r="C338" s="179" t="str">
        <f>VLOOKUP(B338,'Dados ClubeFII'!$A:$Z,26,0)</f>
        <v>#N/A</v>
      </c>
      <c r="D338" s="180" t="str">
        <f>VLOOKUP(B338,'Dados ClubeFII'!$A:$Z,20,0)/100</f>
        <v>#N/A</v>
      </c>
      <c r="E338" s="89" t="str">
        <f t="shared" si="1"/>
        <v>#N/A</v>
      </c>
      <c r="F338" s="181">
        <f>IF(ISERROR(1/VLOOKUP(B338,Capa!A:Z,13,0)),0,1/VLOOKUP(B338,Capa!A:Z,13,0))</f>
        <v>0</v>
      </c>
      <c r="G338" s="182">
        <f t="shared" si="2"/>
        <v>1.000001</v>
      </c>
      <c r="H338" s="183" t="str">
        <f t="shared" si="3"/>
        <v>#N/A</v>
      </c>
      <c r="M338" s="178" t="s">
        <v>3607</v>
      </c>
      <c r="N338" s="179" t="str">
        <f>VLOOKUP(M338,'Dados ClubeFII'!$A:$Z,26,0)</f>
        <v>#N/A</v>
      </c>
      <c r="O338" s="185" t="str">
        <f>VLOOKUP(M338,'Dados ClubeFII'!$A:$Z,18,0)/100</f>
        <v>#N/A</v>
      </c>
      <c r="P338" s="186" t="str">
        <f t="shared" si="5"/>
        <v>#N/A</v>
      </c>
      <c r="Q338" s="187">
        <f>IF(ISERROR(1/VLOOKUP(M338,Capa!A:Z,6,0)),0,1/VLOOKUP(M338,Capa!A:Z,6,0))</f>
        <v>0</v>
      </c>
      <c r="R338" s="188">
        <f t="shared" si="6"/>
        <v>1.000001</v>
      </c>
      <c r="S338" s="189" t="str">
        <f t="shared" si="7"/>
        <v>#N/A</v>
      </c>
    </row>
    <row r="339">
      <c r="A339" s="190"/>
      <c r="B339" s="178" t="s">
        <v>3608</v>
      </c>
      <c r="C339" s="179" t="str">
        <f>VLOOKUP(B339,'Dados ClubeFII'!$A:$Z,26,0)</f>
        <v>#N/A</v>
      </c>
      <c r="D339" s="180" t="str">
        <f>VLOOKUP(B339,'Dados ClubeFII'!$A:$Z,20,0)/100</f>
        <v>#N/A</v>
      </c>
      <c r="E339" s="89" t="str">
        <f t="shared" si="1"/>
        <v>#N/A</v>
      </c>
      <c r="F339" s="181">
        <f>IF(ISERROR(1/VLOOKUP(B339,Capa!A:Z,13,0)),0,1/VLOOKUP(B339,Capa!A:Z,13,0))</f>
        <v>0</v>
      </c>
      <c r="G339" s="182">
        <f t="shared" si="2"/>
        <v>1.000001</v>
      </c>
      <c r="H339" s="183" t="str">
        <f t="shared" si="3"/>
        <v>#N/A</v>
      </c>
      <c r="M339" s="178" t="s">
        <v>3608</v>
      </c>
      <c r="N339" s="179" t="str">
        <f>VLOOKUP(M339,'Dados ClubeFII'!$A:$Z,26,0)</f>
        <v>#N/A</v>
      </c>
      <c r="O339" s="185" t="str">
        <f>VLOOKUP(M339,'Dados ClubeFII'!$A:$Z,18,0)/100</f>
        <v>#N/A</v>
      </c>
      <c r="P339" s="186" t="str">
        <f t="shared" si="5"/>
        <v>#N/A</v>
      </c>
      <c r="Q339" s="187">
        <f>IF(ISERROR(1/VLOOKUP(M339,Capa!A:Z,6,0)),0,1/VLOOKUP(M339,Capa!A:Z,6,0))</f>
        <v>0</v>
      </c>
      <c r="R339" s="188">
        <f t="shared" si="6"/>
        <v>1.000001</v>
      </c>
      <c r="S339" s="189" t="str">
        <f t="shared" si="7"/>
        <v>#N/A</v>
      </c>
    </row>
    <row r="340">
      <c r="A340" s="190"/>
      <c r="B340" s="178" t="s">
        <v>3609</v>
      </c>
      <c r="C340" s="179" t="str">
        <f>VLOOKUP(B340,'Dados ClubeFII'!$A:$Z,26,0)</f>
        <v>#N/A</v>
      </c>
      <c r="D340" s="180" t="str">
        <f>VLOOKUP(B340,'Dados ClubeFII'!$A:$Z,20,0)/100</f>
        <v>#N/A</v>
      </c>
      <c r="E340" s="89" t="str">
        <f t="shared" si="1"/>
        <v>#N/A</v>
      </c>
      <c r="F340" s="181">
        <f>IF(ISERROR(1/VLOOKUP(B340,Capa!A:Z,13,0)),0,1/VLOOKUP(B340,Capa!A:Z,13,0))</f>
        <v>0</v>
      </c>
      <c r="G340" s="182">
        <f t="shared" si="2"/>
        <v>1.000001</v>
      </c>
      <c r="H340" s="183" t="str">
        <f t="shared" si="3"/>
        <v>#N/A</v>
      </c>
      <c r="M340" s="178" t="s">
        <v>3609</v>
      </c>
      <c r="N340" s="179" t="str">
        <f>VLOOKUP(M340,'Dados ClubeFII'!$A:$Z,26,0)</f>
        <v>#N/A</v>
      </c>
      <c r="O340" s="185" t="str">
        <f>VLOOKUP(M340,'Dados ClubeFII'!$A:$Z,18,0)/100</f>
        <v>#N/A</v>
      </c>
      <c r="P340" s="186" t="str">
        <f t="shared" si="5"/>
        <v>#N/A</v>
      </c>
      <c r="Q340" s="187">
        <f>IF(ISERROR(1/VLOOKUP(M340,Capa!A:Z,6,0)),0,1/VLOOKUP(M340,Capa!A:Z,6,0))</f>
        <v>0</v>
      </c>
      <c r="R340" s="188">
        <f t="shared" si="6"/>
        <v>1.000001</v>
      </c>
      <c r="S340" s="189" t="str">
        <f t="shared" si="7"/>
        <v>#N/A</v>
      </c>
    </row>
    <row r="341">
      <c r="A341" s="190"/>
      <c r="B341" s="178" t="s">
        <v>3610</v>
      </c>
      <c r="C341" s="179" t="str">
        <f>VLOOKUP(B341,'Dados ClubeFII'!$A:$Z,26,0)</f>
        <v>#N/A</v>
      </c>
      <c r="D341" s="180" t="str">
        <f>VLOOKUP(B341,'Dados ClubeFII'!$A:$Z,20,0)/100</f>
        <v>#N/A</v>
      </c>
      <c r="E341" s="89" t="str">
        <f t="shared" si="1"/>
        <v>#N/A</v>
      </c>
      <c r="F341" s="181">
        <f>IF(ISERROR(1/VLOOKUP(B341,Capa!A:Z,13,0)),0,1/VLOOKUP(B341,Capa!A:Z,13,0))</f>
        <v>0</v>
      </c>
      <c r="G341" s="182">
        <f t="shared" si="2"/>
        <v>1.000001</v>
      </c>
      <c r="H341" s="183" t="str">
        <f t="shared" si="3"/>
        <v>#N/A</v>
      </c>
      <c r="M341" s="178" t="s">
        <v>3610</v>
      </c>
      <c r="N341" s="179" t="str">
        <f>VLOOKUP(M341,'Dados ClubeFII'!$A:$Z,26,0)</f>
        <v>#N/A</v>
      </c>
      <c r="O341" s="185" t="str">
        <f>VLOOKUP(M341,'Dados ClubeFII'!$A:$Z,18,0)/100</f>
        <v>#N/A</v>
      </c>
      <c r="P341" s="186" t="str">
        <f t="shared" si="5"/>
        <v>#N/A</v>
      </c>
      <c r="Q341" s="187">
        <f>IF(ISERROR(1/VLOOKUP(M341,Capa!A:Z,6,0)),0,1/VLOOKUP(M341,Capa!A:Z,6,0))</f>
        <v>0</v>
      </c>
      <c r="R341" s="188">
        <f t="shared" si="6"/>
        <v>1.000001</v>
      </c>
      <c r="S341" s="189" t="str">
        <f t="shared" si="7"/>
        <v>#N/A</v>
      </c>
    </row>
    <row r="342">
      <c r="A342" s="190"/>
      <c r="B342" s="178" t="s">
        <v>3611</v>
      </c>
      <c r="C342" s="179" t="str">
        <f>VLOOKUP(B342,'Dados ClubeFII'!$A:$Z,26,0)</f>
        <v>#N/A</v>
      </c>
      <c r="D342" s="180" t="str">
        <f>VLOOKUP(B342,'Dados ClubeFII'!$A:$Z,20,0)/100</f>
        <v>#N/A</v>
      </c>
      <c r="E342" s="89" t="str">
        <f t="shared" si="1"/>
        <v>#N/A</v>
      </c>
      <c r="F342" s="181">
        <f>IF(ISERROR(1/VLOOKUP(B342,Capa!A:Z,13,0)),0,1/VLOOKUP(B342,Capa!A:Z,13,0))</f>
        <v>0</v>
      </c>
      <c r="G342" s="182">
        <f t="shared" si="2"/>
        <v>1.000001</v>
      </c>
      <c r="H342" s="183" t="str">
        <f t="shared" si="3"/>
        <v>#N/A</v>
      </c>
      <c r="M342" s="178" t="s">
        <v>3611</v>
      </c>
      <c r="N342" s="179" t="str">
        <f>VLOOKUP(M342,'Dados ClubeFII'!$A:$Z,26,0)</f>
        <v>#N/A</v>
      </c>
      <c r="O342" s="185" t="str">
        <f>VLOOKUP(M342,'Dados ClubeFII'!$A:$Z,18,0)/100</f>
        <v>#N/A</v>
      </c>
      <c r="P342" s="186" t="str">
        <f t="shared" si="5"/>
        <v>#N/A</v>
      </c>
      <c r="Q342" s="187">
        <f>IF(ISERROR(1/VLOOKUP(M342,Capa!A:Z,6,0)),0,1/VLOOKUP(M342,Capa!A:Z,6,0))</f>
        <v>0</v>
      </c>
      <c r="R342" s="188">
        <f t="shared" si="6"/>
        <v>1.000001</v>
      </c>
      <c r="S342" s="189" t="str">
        <f t="shared" si="7"/>
        <v>#N/A</v>
      </c>
    </row>
    <row r="343">
      <c r="A343" s="190"/>
      <c r="B343" s="178" t="s">
        <v>3612</v>
      </c>
      <c r="C343" s="179" t="str">
        <f>VLOOKUP(B343,'Dados ClubeFII'!$A:$Z,26,0)</f>
        <v>#N/A</v>
      </c>
      <c r="D343" s="180" t="str">
        <f>VLOOKUP(B343,'Dados ClubeFII'!$A:$Z,20,0)/100</f>
        <v>#N/A</v>
      </c>
      <c r="E343" s="89" t="str">
        <f t="shared" si="1"/>
        <v>#N/A</v>
      </c>
      <c r="F343" s="181">
        <f>IF(ISERROR(1/VLOOKUP(B343,Capa!A:Z,13,0)),0,1/VLOOKUP(B343,Capa!A:Z,13,0))</f>
        <v>0</v>
      </c>
      <c r="G343" s="182">
        <f t="shared" si="2"/>
        <v>1.000001</v>
      </c>
      <c r="H343" s="183" t="str">
        <f t="shared" si="3"/>
        <v>#N/A</v>
      </c>
      <c r="M343" s="178" t="s">
        <v>3612</v>
      </c>
      <c r="N343" s="179" t="str">
        <f>VLOOKUP(M343,'Dados ClubeFII'!$A:$Z,26,0)</f>
        <v>#N/A</v>
      </c>
      <c r="O343" s="185" t="str">
        <f>VLOOKUP(M343,'Dados ClubeFII'!$A:$Z,18,0)/100</f>
        <v>#N/A</v>
      </c>
      <c r="P343" s="186" t="str">
        <f t="shared" si="5"/>
        <v>#N/A</v>
      </c>
      <c r="Q343" s="187">
        <f>IF(ISERROR(1/VLOOKUP(M343,Capa!A:Z,6,0)),0,1/VLOOKUP(M343,Capa!A:Z,6,0))</f>
        <v>0</v>
      </c>
      <c r="R343" s="188">
        <f t="shared" si="6"/>
        <v>1.000001</v>
      </c>
      <c r="S343" s="189" t="str">
        <f t="shared" si="7"/>
        <v>#N/A</v>
      </c>
    </row>
    <row r="344">
      <c r="A344" s="190"/>
      <c r="B344" s="178" t="s">
        <v>3613</v>
      </c>
      <c r="C344" s="179" t="str">
        <f>VLOOKUP(B344,'Dados ClubeFII'!$A:$Z,26,0)</f>
        <v>#N/A</v>
      </c>
      <c r="D344" s="180" t="str">
        <f>VLOOKUP(B344,'Dados ClubeFII'!$A:$Z,20,0)/100</f>
        <v>#N/A</v>
      </c>
      <c r="E344" s="89" t="str">
        <f t="shared" si="1"/>
        <v>#N/A</v>
      </c>
      <c r="F344" s="181">
        <f>IF(ISERROR(1/VLOOKUP(B344,Capa!A:Z,13,0)),0,1/VLOOKUP(B344,Capa!A:Z,13,0))</f>
        <v>0</v>
      </c>
      <c r="G344" s="182">
        <f t="shared" si="2"/>
        <v>1.000001</v>
      </c>
      <c r="H344" s="183" t="str">
        <f t="shared" si="3"/>
        <v>#N/A</v>
      </c>
      <c r="M344" s="178" t="s">
        <v>3613</v>
      </c>
      <c r="N344" s="179" t="str">
        <f>VLOOKUP(M344,'Dados ClubeFII'!$A:$Z,26,0)</f>
        <v>#N/A</v>
      </c>
      <c r="O344" s="185" t="str">
        <f>VLOOKUP(M344,'Dados ClubeFII'!$A:$Z,18,0)/100</f>
        <v>#N/A</v>
      </c>
      <c r="P344" s="186" t="str">
        <f t="shared" si="5"/>
        <v>#N/A</v>
      </c>
      <c r="Q344" s="187">
        <f>IF(ISERROR(1/VLOOKUP(M344,Capa!A:Z,6,0)),0,1/VLOOKUP(M344,Capa!A:Z,6,0))</f>
        <v>0</v>
      </c>
      <c r="R344" s="188">
        <f t="shared" si="6"/>
        <v>1.000001</v>
      </c>
      <c r="S344" s="189" t="str">
        <f t="shared" si="7"/>
        <v>#N/A</v>
      </c>
    </row>
    <row r="345">
      <c r="A345" s="190"/>
      <c r="B345" s="178" t="s">
        <v>3614</v>
      </c>
      <c r="C345" s="179" t="str">
        <f>VLOOKUP(B345,'Dados ClubeFII'!$A:$Z,26,0)</f>
        <v>#N/A</v>
      </c>
      <c r="D345" s="180" t="str">
        <f>VLOOKUP(B345,'Dados ClubeFII'!$A:$Z,20,0)/100</f>
        <v>#N/A</v>
      </c>
      <c r="E345" s="89" t="str">
        <f t="shared" si="1"/>
        <v>#N/A</v>
      </c>
      <c r="F345" s="181">
        <f>IF(ISERROR(1/VLOOKUP(B345,Capa!A:Z,13,0)),0,1/VLOOKUP(B345,Capa!A:Z,13,0))</f>
        <v>0</v>
      </c>
      <c r="G345" s="182">
        <f t="shared" si="2"/>
        <v>1.000001</v>
      </c>
      <c r="H345" s="183" t="str">
        <f t="shared" si="3"/>
        <v>#N/A</v>
      </c>
      <c r="M345" s="178" t="s">
        <v>3614</v>
      </c>
      <c r="N345" s="179" t="str">
        <f>VLOOKUP(M345,'Dados ClubeFII'!$A:$Z,26,0)</f>
        <v>#N/A</v>
      </c>
      <c r="O345" s="185" t="str">
        <f>VLOOKUP(M345,'Dados ClubeFII'!$A:$Z,18,0)/100</f>
        <v>#N/A</v>
      </c>
      <c r="P345" s="186" t="str">
        <f t="shared" si="5"/>
        <v>#N/A</v>
      </c>
      <c r="Q345" s="187">
        <f>IF(ISERROR(1/VLOOKUP(M345,Capa!A:Z,6,0)),0,1/VLOOKUP(M345,Capa!A:Z,6,0))</f>
        <v>0</v>
      </c>
      <c r="R345" s="188">
        <f t="shared" si="6"/>
        <v>1.000001</v>
      </c>
      <c r="S345" s="189" t="str">
        <f t="shared" si="7"/>
        <v>#N/A</v>
      </c>
    </row>
    <row r="346">
      <c r="A346" s="190"/>
      <c r="B346" s="178" t="s">
        <v>3615</v>
      </c>
      <c r="C346" s="179" t="str">
        <f>VLOOKUP(B346,'Dados ClubeFII'!$A:$Z,26,0)</f>
        <v>#N/A</v>
      </c>
      <c r="D346" s="180" t="str">
        <f>VLOOKUP(B346,'Dados ClubeFII'!$A:$Z,20,0)/100</f>
        <v>#N/A</v>
      </c>
      <c r="E346" s="89" t="str">
        <f t="shared" si="1"/>
        <v>#N/A</v>
      </c>
      <c r="F346" s="181">
        <f>IF(ISERROR(1/VLOOKUP(B346,Capa!A:Z,13,0)),0,1/VLOOKUP(B346,Capa!A:Z,13,0))</f>
        <v>0</v>
      </c>
      <c r="G346" s="182">
        <f t="shared" si="2"/>
        <v>1.000001</v>
      </c>
      <c r="H346" s="183" t="str">
        <f t="shared" si="3"/>
        <v>#N/A</v>
      </c>
      <c r="M346" s="178" t="s">
        <v>3615</v>
      </c>
      <c r="N346" s="179" t="str">
        <f>VLOOKUP(M346,'Dados ClubeFII'!$A:$Z,26,0)</f>
        <v>#N/A</v>
      </c>
      <c r="O346" s="185" t="str">
        <f>VLOOKUP(M346,'Dados ClubeFII'!$A:$Z,18,0)/100</f>
        <v>#N/A</v>
      </c>
      <c r="P346" s="186" t="str">
        <f t="shared" si="5"/>
        <v>#N/A</v>
      </c>
      <c r="Q346" s="187">
        <f>IF(ISERROR(1/VLOOKUP(M346,Capa!A:Z,6,0)),0,1/VLOOKUP(M346,Capa!A:Z,6,0))</f>
        <v>0</v>
      </c>
      <c r="R346" s="188">
        <f t="shared" si="6"/>
        <v>1.000001</v>
      </c>
      <c r="S346" s="189" t="str">
        <f t="shared" si="7"/>
        <v>#N/A</v>
      </c>
    </row>
    <row r="347">
      <c r="A347" s="190"/>
      <c r="B347" s="178" t="s">
        <v>3616</v>
      </c>
      <c r="C347" s="179" t="str">
        <f>VLOOKUP(B347,'Dados ClubeFII'!$A:$Z,26,0)</f>
        <v>#N/A</v>
      </c>
      <c r="D347" s="180" t="str">
        <f>VLOOKUP(B347,'Dados ClubeFII'!$A:$Z,20,0)/100</f>
        <v>#N/A</v>
      </c>
      <c r="E347" s="89" t="str">
        <f t="shared" si="1"/>
        <v>#N/A</v>
      </c>
      <c r="F347" s="181">
        <f>IF(ISERROR(1/VLOOKUP(B347,Capa!A:Z,13,0)),0,1/VLOOKUP(B347,Capa!A:Z,13,0))</f>
        <v>0</v>
      </c>
      <c r="G347" s="182">
        <f t="shared" si="2"/>
        <v>1.000001</v>
      </c>
      <c r="H347" s="183" t="str">
        <f t="shared" si="3"/>
        <v>#N/A</v>
      </c>
      <c r="M347" s="178" t="s">
        <v>3616</v>
      </c>
      <c r="N347" s="179" t="str">
        <f>VLOOKUP(M347,'Dados ClubeFII'!$A:$Z,26,0)</f>
        <v>#N/A</v>
      </c>
      <c r="O347" s="185" t="str">
        <f>VLOOKUP(M347,'Dados ClubeFII'!$A:$Z,18,0)/100</f>
        <v>#N/A</v>
      </c>
      <c r="P347" s="186" t="str">
        <f t="shared" si="5"/>
        <v>#N/A</v>
      </c>
      <c r="Q347" s="187">
        <f>IF(ISERROR(1/VLOOKUP(M347,Capa!A:Z,6,0)),0,1/VLOOKUP(M347,Capa!A:Z,6,0))</f>
        <v>0</v>
      </c>
      <c r="R347" s="188">
        <f t="shared" si="6"/>
        <v>1.000001</v>
      </c>
      <c r="S347" s="189" t="str">
        <f t="shared" si="7"/>
        <v>#N/A</v>
      </c>
    </row>
    <row r="348">
      <c r="A348" s="190"/>
      <c r="B348" s="178" t="s">
        <v>3617</v>
      </c>
      <c r="C348" s="179" t="str">
        <f>VLOOKUP(B348,'Dados ClubeFII'!$A:$Z,26,0)</f>
        <v>#N/A</v>
      </c>
      <c r="D348" s="180" t="str">
        <f>VLOOKUP(B348,'Dados ClubeFII'!$A:$Z,20,0)/100</f>
        <v>#N/A</v>
      </c>
      <c r="E348" s="89" t="str">
        <f t="shared" si="1"/>
        <v>#N/A</v>
      </c>
      <c r="F348" s="181">
        <f>IF(ISERROR(1/VLOOKUP(B348,Capa!A:Z,13,0)),0,1/VLOOKUP(B348,Capa!A:Z,13,0))</f>
        <v>0</v>
      </c>
      <c r="G348" s="182">
        <f t="shared" si="2"/>
        <v>1.000001</v>
      </c>
      <c r="H348" s="183" t="str">
        <f t="shared" si="3"/>
        <v>#N/A</v>
      </c>
      <c r="M348" s="178" t="s">
        <v>3617</v>
      </c>
      <c r="N348" s="179" t="str">
        <f>VLOOKUP(M348,'Dados ClubeFII'!$A:$Z,26,0)</f>
        <v>#N/A</v>
      </c>
      <c r="O348" s="185" t="str">
        <f>VLOOKUP(M348,'Dados ClubeFII'!$A:$Z,18,0)/100</f>
        <v>#N/A</v>
      </c>
      <c r="P348" s="186" t="str">
        <f t="shared" si="5"/>
        <v>#N/A</v>
      </c>
      <c r="Q348" s="187">
        <f>IF(ISERROR(1/VLOOKUP(M348,Capa!A:Z,6,0)),0,1/VLOOKUP(M348,Capa!A:Z,6,0))</f>
        <v>0</v>
      </c>
      <c r="R348" s="188">
        <f t="shared" si="6"/>
        <v>1.000001</v>
      </c>
      <c r="S348" s="189" t="str">
        <f t="shared" si="7"/>
        <v>#N/A</v>
      </c>
    </row>
    <row r="349">
      <c r="A349" s="190"/>
      <c r="B349" s="178" t="s">
        <v>3618</v>
      </c>
      <c r="C349" s="179" t="str">
        <f>VLOOKUP(B349,'Dados ClubeFII'!$A:$Z,26,0)</f>
        <v>#N/A</v>
      </c>
      <c r="D349" s="180" t="str">
        <f>VLOOKUP(B349,'Dados ClubeFII'!$A:$Z,20,0)/100</f>
        <v>#N/A</v>
      </c>
      <c r="E349" s="89" t="str">
        <f t="shared" si="1"/>
        <v>#N/A</v>
      </c>
      <c r="F349" s="181">
        <f>IF(ISERROR(1/VLOOKUP(B349,Capa!A:Z,13,0)),0,1/VLOOKUP(B349,Capa!A:Z,13,0))</f>
        <v>0</v>
      </c>
      <c r="G349" s="182">
        <f t="shared" si="2"/>
        <v>1.000001</v>
      </c>
      <c r="H349" s="183" t="str">
        <f t="shared" si="3"/>
        <v>#N/A</v>
      </c>
      <c r="M349" s="178" t="s">
        <v>3618</v>
      </c>
      <c r="N349" s="179" t="str">
        <f>VLOOKUP(M349,'Dados ClubeFII'!$A:$Z,26,0)</f>
        <v>#N/A</v>
      </c>
      <c r="O349" s="185" t="str">
        <f>VLOOKUP(M349,'Dados ClubeFII'!$A:$Z,18,0)/100</f>
        <v>#N/A</v>
      </c>
      <c r="P349" s="186" t="str">
        <f t="shared" si="5"/>
        <v>#N/A</v>
      </c>
      <c r="Q349" s="187">
        <f>IF(ISERROR(1/VLOOKUP(M349,Capa!A:Z,6,0)),0,1/VLOOKUP(M349,Capa!A:Z,6,0))</f>
        <v>0</v>
      </c>
      <c r="R349" s="188">
        <f t="shared" si="6"/>
        <v>1.000001</v>
      </c>
      <c r="S349" s="189" t="str">
        <f t="shared" si="7"/>
        <v>#N/A</v>
      </c>
    </row>
    <row r="350">
      <c r="A350" s="190"/>
      <c r="B350" s="178" t="s">
        <v>3619</v>
      </c>
      <c r="C350" s="179" t="str">
        <f>VLOOKUP(B350,'Dados ClubeFII'!$A:$Z,26,0)</f>
        <v>#N/A</v>
      </c>
      <c r="D350" s="180" t="str">
        <f>VLOOKUP(B350,'Dados ClubeFII'!$A:$Z,20,0)/100</f>
        <v>#N/A</v>
      </c>
      <c r="E350" s="89" t="str">
        <f t="shared" si="1"/>
        <v>#N/A</v>
      </c>
      <c r="F350" s="181">
        <f>IF(ISERROR(1/VLOOKUP(B350,Capa!A:Z,13,0)),0,1/VLOOKUP(B350,Capa!A:Z,13,0))</f>
        <v>0</v>
      </c>
      <c r="G350" s="182">
        <f t="shared" si="2"/>
        <v>1.000001</v>
      </c>
      <c r="H350" s="183" t="str">
        <f t="shared" si="3"/>
        <v>#N/A</v>
      </c>
      <c r="M350" s="178" t="s">
        <v>3619</v>
      </c>
      <c r="N350" s="179" t="str">
        <f>VLOOKUP(M350,'Dados ClubeFII'!$A:$Z,26,0)</f>
        <v>#N/A</v>
      </c>
      <c r="O350" s="185" t="str">
        <f>VLOOKUP(M350,'Dados ClubeFII'!$A:$Z,18,0)/100</f>
        <v>#N/A</v>
      </c>
      <c r="P350" s="186" t="str">
        <f t="shared" si="5"/>
        <v>#N/A</v>
      </c>
      <c r="Q350" s="187">
        <f>IF(ISERROR(1/VLOOKUP(M350,Capa!A:Z,6,0)),0,1/VLOOKUP(M350,Capa!A:Z,6,0))</f>
        <v>0</v>
      </c>
      <c r="R350" s="188">
        <f t="shared" si="6"/>
        <v>1.000001</v>
      </c>
      <c r="S350" s="189" t="str">
        <f t="shared" si="7"/>
        <v>#N/A</v>
      </c>
    </row>
    <row r="351">
      <c r="A351" s="190"/>
      <c r="B351" s="178" t="s">
        <v>3620</v>
      </c>
      <c r="C351" s="179" t="str">
        <f>VLOOKUP(B351,'Dados ClubeFII'!$A:$Z,26,0)</f>
        <v>#N/A</v>
      </c>
      <c r="D351" s="180" t="str">
        <f>VLOOKUP(B351,'Dados ClubeFII'!$A:$Z,20,0)/100</f>
        <v>#N/A</v>
      </c>
      <c r="E351" s="89" t="str">
        <f t="shared" si="1"/>
        <v>#N/A</v>
      </c>
      <c r="F351" s="181">
        <f>IF(ISERROR(1/VLOOKUP(B351,Capa!A:Z,13,0)),0,1/VLOOKUP(B351,Capa!A:Z,13,0))</f>
        <v>0</v>
      </c>
      <c r="G351" s="182">
        <f t="shared" si="2"/>
        <v>1.000001</v>
      </c>
      <c r="H351" s="183" t="str">
        <f t="shared" si="3"/>
        <v>#N/A</v>
      </c>
      <c r="M351" s="178" t="s">
        <v>3620</v>
      </c>
      <c r="N351" s="179" t="str">
        <f>VLOOKUP(M351,'Dados ClubeFII'!$A:$Z,26,0)</f>
        <v>#N/A</v>
      </c>
      <c r="O351" s="185" t="str">
        <f>VLOOKUP(M351,'Dados ClubeFII'!$A:$Z,18,0)/100</f>
        <v>#N/A</v>
      </c>
      <c r="P351" s="186" t="str">
        <f t="shared" si="5"/>
        <v>#N/A</v>
      </c>
      <c r="Q351" s="187">
        <f>IF(ISERROR(1/VLOOKUP(M351,Capa!A:Z,6,0)),0,1/VLOOKUP(M351,Capa!A:Z,6,0))</f>
        <v>0</v>
      </c>
      <c r="R351" s="188">
        <f t="shared" si="6"/>
        <v>1.000001</v>
      </c>
      <c r="S351" s="189" t="str">
        <f t="shared" si="7"/>
        <v>#N/A</v>
      </c>
    </row>
    <row r="352">
      <c r="A352" s="190"/>
      <c r="B352" s="178" t="s">
        <v>3621</v>
      </c>
      <c r="C352" s="179" t="str">
        <f>VLOOKUP(B352,'Dados ClubeFII'!$A:$Z,26,0)</f>
        <v>#N/A</v>
      </c>
      <c r="D352" s="180" t="str">
        <f>VLOOKUP(B352,'Dados ClubeFII'!$A:$Z,20,0)/100</f>
        <v>#N/A</v>
      </c>
      <c r="E352" s="89" t="str">
        <f t="shared" si="1"/>
        <v>#N/A</v>
      </c>
      <c r="F352" s="181">
        <f>IF(ISERROR(1/VLOOKUP(B352,Capa!A:Z,13,0)),0,1/VLOOKUP(B352,Capa!A:Z,13,0))</f>
        <v>0</v>
      </c>
      <c r="G352" s="182">
        <f t="shared" si="2"/>
        <v>1.000001</v>
      </c>
      <c r="H352" s="183" t="str">
        <f t="shared" si="3"/>
        <v>#N/A</v>
      </c>
      <c r="M352" s="178" t="s">
        <v>3621</v>
      </c>
      <c r="N352" s="179" t="str">
        <f>VLOOKUP(M352,'Dados ClubeFII'!$A:$Z,26,0)</f>
        <v>#N/A</v>
      </c>
      <c r="O352" s="185" t="str">
        <f>VLOOKUP(M352,'Dados ClubeFII'!$A:$Z,18,0)/100</f>
        <v>#N/A</v>
      </c>
      <c r="P352" s="186" t="str">
        <f t="shared" si="5"/>
        <v>#N/A</v>
      </c>
      <c r="Q352" s="187">
        <f>IF(ISERROR(1/VLOOKUP(M352,Capa!A:Z,6,0)),0,1/VLOOKUP(M352,Capa!A:Z,6,0))</f>
        <v>0</v>
      </c>
      <c r="R352" s="188">
        <f t="shared" si="6"/>
        <v>1.000001</v>
      </c>
      <c r="S352" s="189" t="str">
        <f t="shared" si="7"/>
        <v>#N/A</v>
      </c>
    </row>
    <row r="353">
      <c r="A353" s="190"/>
      <c r="B353" s="178" t="s">
        <v>3622</v>
      </c>
      <c r="C353" s="179" t="str">
        <f>VLOOKUP(B353,'Dados ClubeFII'!$A:$Z,26,0)</f>
        <v>#N/A</v>
      </c>
      <c r="D353" s="180" t="str">
        <f>VLOOKUP(B353,'Dados ClubeFII'!$A:$Z,20,0)/100</f>
        <v>#N/A</v>
      </c>
      <c r="E353" s="89" t="str">
        <f t="shared" si="1"/>
        <v>#N/A</v>
      </c>
      <c r="F353" s="181">
        <f>IF(ISERROR(1/VLOOKUP(B353,Capa!A:Z,13,0)),0,1/VLOOKUP(B353,Capa!A:Z,13,0))</f>
        <v>0</v>
      </c>
      <c r="G353" s="182">
        <f t="shared" si="2"/>
        <v>1.000001</v>
      </c>
      <c r="H353" s="183" t="str">
        <f t="shared" si="3"/>
        <v>#N/A</v>
      </c>
      <c r="M353" s="178" t="s">
        <v>3622</v>
      </c>
      <c r="N353" s="179" t="str">
        <f>VLOOKUP(M353,'Dados ClubeFII'!$A:$Z,26,0)</f>
        <v>#N/A</v>
      </c>
      <c r="O353" s="185" t="str">
        <f>VLOOKUP(M353,'Dados ClubeFII'!$A:$Z,18,0)/100</f>
        <v>#N/A</v>
      </c>
      <c r="P353" s="186" t="str">
        <f t="shared" si="5"/>
        <v>#N/A</v>
      </c>
      <c r="Q353" s="187">
        <f>IF(ISERROR(1/VLOOKUP(M353,Capa!A:Z,6,0)),0,1/VLOOKUP(M353,Capa!A:Z,6,0))</f>
        <v>0</v>
      </c>
      <c r="R353" s="188">
        <f t="shared" si="6"/>
        <v>1.000001</v>
      </c>
      <c r="S353" s="189" t="str">
        <f t="shared" si="7"/>
        <v>#N/A</v>
      </c>
    </row>
    <row r="354">
      <c r="A354" s="190"/>
      <c r="B354" s="178" t="s">
        <v>3623</v>
      </c>
      <c r="C354" s="179" t="str">
        <f>VLOOKUP(B354,'Dados ClubeFII'!$A:$Z,26,0)</f>
        <v>#N/A</v>
      </c>
      <c r="D354" s="180" t="str">
        <f>VLOOKUP(B354,'Dados ClubeFII'!$A:$Z,20,0)/100</f>
        <v>#N/A</v>
      </c>
      <c r="E354" s="89" t="str">
        <f t="shared" si="1"/>
        <v>#N/A</v>
      </c>
      <c r="F354" s="181">
        <f>IF(ISERROR(1/VLOOKUP(B354,Capa!A:Z,13,0)),0,1/VLOOKUP(B354,Capa!A:Z,13,0))</f>
        <v>0</v>
      </c>
      <c r="G354" s="182">
        <f t="shared" si="2"/>
        <v>1.000001</v>
      </c>
      <c r="H354" s="183" t="str">
        <f t="shared" si="3"/>
        <v>#N/A</v>
      </c>
      <c r="M354" s="178" t="s">
        <v>3623</v>
      </c>
      <c r="N354" s="179" t="str">
        <f>VLOOKUP(M354,'Dados ClubeFII'!$A:$Z,26,0)</f>
        <v>#N/A</v>
      </c>
      <c r="O354" s="185" t="str">
        <f>VLOOKUP(M354,'Dados ClubeFII'!$A:$Z,18,0)/100</f>
        <v>#N/A</v>
      </c>
      <c r="P354" s="186" t="str">
        <f t="shared" si="5"/>
        <v>#N/A</v>
      </c>
      <c r="Q354" s="187">
        <f>IF(ISERROR(1/VLOOKUP(M354,Capa!A:Z,6,0)),0,1/VLOOKUP(M354,Capa!A:Z,6,0))</f>
        <v>0</v>
      </c>
      <c r="R354" s="188">
        <f t="shared" si="6"/>
        <v>1.000001</v>
      </c>
      <c r="S354" s="189" t="str">
        <f t="shared" si="7"/>
        <v>#N/A</v>
      </c>
    </row>
    <row r="355">
      <c r="A355" s="190"/>
      <c r="B355" s="178" t="s">
        <v>3624</v>
      </c>
      <c r="C355" s="179" t="str">
        <f>VLOOKUP(B355,'Dados ClubeFII'!$A:$Z,26,0)</f>
        <v>#N/A</v>
      </c>
      <c r="D355" s="180" t="str">
        <f>VLOOKUP(B355,'Dados ClubeFII'!$A:$Z,20,0)/100</f>
        <v>#N/A</v>
      </c>
      <c r="E355" s="89" t="str">
        <f t="shared" si="1"/>
        <v>#N/A</v>
      </c>
      <c r="F355" s="181">
        <f>IF(ISERROR(1/VLOOKUP(B355,Capa!A:Z,13,0)),0,1/VLOOKUP(B355,Capa!A:Z,13,0))</f>
        <v>0</v>
      </c>
      <c r="G355" s="182">
        <f t="shared" si="2"/>
        <v>1.000001</v>
      </c>
      <c r="H355" s="183" t="str">
        <f t="shared" si="3"/>
        <v>#N/A</v>
      </c>
      <c r="M355" s="178" t="s">
        <v>3624</v>
      </c>
      <c r="N355" s="179" t="str">
        <f>VLOOKUP(M355,'Dados ClubeFII'!$A:$Z,26,0)</f>
        <v>#N/A</v>
      </c>
      <c r="O355" s="185" t="str">
        <f>VLOOKUP(M355,'Dados ClubeFII'!$A:$Z,18,0)/100</f>
        <v>#N/A</v>
      </c>
      <c r="P355" s="186" t="str">
        <f t="shared" si="5"/>
        <v>#N/A</v>
      </c>
      <c r="Q355" s="187">
        <f>IF(ISERROR(1/VLOOKUP(M355,Capa!A:Z,6,0)),0,1/VLOOKUP(M355,Capa!A:Z,6,0))</f>
        <v>0</v>
      </c>
      <c r="R355" s="188">
        <f t="shared" si="6"/>
        <v>1.000001</v>
      </c>
      <c r="S355" s="189" t="str">
        <f t="shared" si="7"/>
        <v>#N/A</v>
      </c>
    </row>
    <row r="356">
      <c r="A356" s="190"/>
      <c r="B356" s="178" t="s">
        <v>3625</v>
      </c>
      <c r="C356" s="179" t="str">
        <f>VLOOKUP(B356,'Dados ClubeFII'!$A:$Z,26,0)</f>
        <v>#N/A</v>
      </c>
      <c r="D356" s="180" t="str">
        <f>VLOOKUP(B356,'Dados ClubeFII'!$A:$Z,20,0)/100</f>
        <v>#N/A</v>
      </c>
      <c r="E356" s="89" t="str">
        <f t="shared" si="1"/>
        <v>#N/A</v>
      </c>
      <c r="F356" s="181">
        <f>IF(ISERROR(1/VLOOKUP(B356,Capa!A:Z,13,0)),0,1/VLOOKUP(B356,Capa!A:Z,13,0))</f>
        <v>0</v>
      </c>
      <c r="G356" s="182">
        <f t="shared" si="2"/>
        <v>1.000001</v>
      </c>
      <c r="H356" s="183" t="str">
        <f t="shared" si="3"/>
        <v>#N/A</v>
      </c>
      <c r="M356" s="178" t="s">
        <v>3625</v>
      </c>
      <c r="N356" s="179" t="str">
        <f>VLOOKUP(M356,'Dados ClubeFII'!$A:$Z,26,0)</f>
        <v>#N/A</v>
      </c>
      <c r="O356" s="185" t="str">
        <f>VLOOKUP(M356,'Dados ClubeFII'!$A:$Z,18,0)/100</f>
        <v>#N/A</v>
      </c>
      <c r="P356" s="186" t="str">
        <f t="shared" si="5"/>
        <v>#N/A</v>
      </c>
      <c r="Q356" s="187">
        <f>IF(ISERROR(1/VLOOKUP(M356,Capa!A:Z,6,0)),0,1/VLOOKUP(M356,Capa!A:Z,6,0))</f>
        <v>0</v>
      </c>
      <c r="R356" s="188">
        <f t="shared" si="6"/>
        <v>1.000001</v>
      </c>
      <c r="S356" s="189" t="str">
        <f t="shared" si="7"/>
        <v>#N/A</v>
      </c>
    </row>
    <row r="357">
      <c r="A357" s="190"/>
      <c r="B357" s="178" t="s">
        <v>3626</v>
      </c>
      <c r="C357" s="179" t="str">
        <f>VLOOKUP(B357,'Dados ClubeFII'!$A:$Z,26,0)</f>
        <v>#N/A</v>
      </c>
      <c r="D357" s="180" t="str">
        <f>VLOOKUP(B357,'Dados ClubeFII'!$A:$Z,20,0)/100</f>
        <v>#N/A</v>
      </c>
      <c r="E357" s="89" t="str">
        <f t="shared" si="1"/>
        <v>#N/A</v>
      </c>
      <c r="F357" s="181">
        <f>IF(ISERROR(1/VLOOKUP(B357,Capa!A:Z,13,0)),0,1/VLOOKUP(B357,Capa!A:Z,13,0))</f>
        <v>0</v>
      </c>
      <c r="G357" s="182">
        <f t="shared" si="2"/>
        <v>1.000001</v>
      </c>
      <c r="H357" s="183" t="str">
        <f t="shared" si="3"/>
        <v>#N/A</v>
      </c>
      <c r="M357" s="178" t="s">
        <v>3626</v>
      </c>
      <c r="N357" s="179" t="str">
        <f>VLOOKUP(M357,'Dados ClubeFII'!$A:$Z,26,0)</f>
        <v>#N/A</v>
      </c>
      <c r="O357" s="185" t="str">
        <f>VLOOKUP(M357,'Dados ClubeFII'!$A:$Z,18,0)/100</f>
        <v>#N/A</v>
      </c>
      <c r="P357" s="186" t="str">
        <f t="shared" si="5"/>
        <v>#N/A</v>
      </c>
      <c r="Q357" s="187">
        <f>IF(ISERROR(1/VLOOKUP(M357,Capa!A:Z,6,0)),0,1/VLOOKUP(M357,Capa!A:Z,6,0))</f>
        <v>0</v>
      </c>
      <c r="R357" s="188">
        <f t="shared" si="6"/>
        <v>1.000001</v>
      </c>
      <c r="S357" s="189" t="str">
        <f t="shared" si="7"/>
        <v>#N/A</v>
      </c>
    </row>
    <row r="358">
      <c r="A358" s="190"/>
      <c r="B358" s="178" t="s">
        <v>3627</v>
      </c>
      <c r="C358" s="179" t="str">
        <f>VLOOKUP(B358,'Dados ClubeFII'!$A:$Z,26,0)</f>
        <v>#N/A</v>
      </c>
      <c r="D358" s="180" t="str">
        <f>VLOOKUP(B358,'Dados ClubeFII'!$A:$Z,20,0)/100</f>
        <v>#N/A</v>
      </c>
      <c r="E358" s="89" t="str">
        <f t="shared" si="1"/>
        <v>#N/A</v>
      </c>
      <c r="F358" s="181">
        <f>IF(ISERROR(1/VLOOKUP(B358,Capa!A:Z,13,0)),0,1/VLOOKUP(B358,Capa!A:Z,13,0))</f>
        <v>0</v>
      </c>
      <c r="G358" s="182">
        <f t="shared" si="2"/>
        <v>1.000001</v>
      </c>
      <c r="H358" s="183" t="str">
        <f t="shared" si="3"/>
        <v>#N/A</v>
      </c>
      <c r="M358" s="178" t="s">
        <v>3627</v>
      </c>
      <c r="N358" s="179" t="str">
        <f>VLOOKUP(M358,'Dados ClubeFII'!$A:$Z,26,0)</f>
        <v>#N/A</v>
      </c>
      <c r="O358" s="185" t="str">
        <f>VLOOKUP(M358,'Dados ClubeFII'!$A:$Z,18,0)/100</f>
        <v>#N/A</v>
      </c>
      <c r="P358" s="186" t="str">
        <f t="shared" si="5"/>
        <v>#N/A</v>
      </c>
      <c r="Q358" s="187">
        <f>IF(ISERROR(1/VLOOKUP(M358,Capa!A:Z,6,0)),0,1/VLOOKUP(M358,Capa!A:Z,6,0))</f>
        <v>0</v>
      </c>
      <c r="R358" s="188">
        <f t="shared" si="6"/>
        <v>1.000001</v>
      </c>
      <c r="S358" s="189" t="str">
        <f t="shared" si="7"/>
        <v>#N/A</v>
      </c>
    </row>
    <row r="359">
      <c r="A359" s="190"/>
      <c r="B359" s="178" t="s">
        <v>3628</v>
      </c>
      <c r="C359" s="179" t="str">
        <f>VLOOKUP(B359,'Dados ClubeFII'!$A:$Z,26,0)</f>
        <v>#N/A</v>
      </c>
      <c r="D359" s="180" t="str">
        <f>VLOOKUP(B359,'Dados ClubeFII'!$A:$Z,20,0)/100</f>
        <v>#N/A</v>
      </c>
      <c r="E359" s="89" t="str">
        <f t="shared" si="1"/>
        <v>#N/A</v>
      </c>
      <c r="F359" s="181">
        <f>IF(ISERROR(1/VLOOKUP(B359,Capa!A:Z,13,0)),0,1/VLOOKUP(B359,Capa!A:Z,13,0))</f>
        <v>0</v>
      </c>
      <c r="G359" s="182">
        <f t="shared" si="2"/>
        <v>1.000001</v>
      </c>
      <c r="H359" s="183" t="str">
        <f t="shared" si="3"/>
        <v>#N/A</v>
      </c>
      <c r="M359" s="178" t="s">
        <v>3628</v>
      </c>
      <c r="N359" s="179" t="str">
        <f>VLOOKUP(M359,'Dados ClubeFII'!$A:$Z,26,0)</f>
        <v>#N/A</v>
      </c>
      <c r="O359" s="185" t="str">
        <f>VLOOKUP(M359,'Dados ClubeFII'!$A:$Z,18,0)/100</f>
        <v>#N/A</v>
      </c>
      <c r="P359" s="186" t="str">
        <f t="shared" si="5"/>
        <v>#N/A</v>
      </c>
      <c r="Q359" s="187">
        <f>IF(ISERROR(1/VLOOKUP(M359,Capa!A:Z,6,0)),0,1/VLOOKUP(M359,Capa!A:Z,6,0))</f>
        <v>0</v>
      </c>
      <c r="R359" s="188">
        <f t="shared" si="6"/>
        <v>1.000001</v>
      </c>
      <c r="S359" s="189" t="str">
        <f t="shared" si="7"/>
        <v>#N/A</v>
      </c>
    </row>
    <row r="360">
      <c r="A360" s="190"/>
      <c r="B360" s="178" t="s">
        <v>3629</v>
      </c>
      <c r="C360" s="179" t="str">
        <f>VLOOKUP(B360,'Dados ClubeFII'!$A:$Z,26,0)</f>
        <v>#N/A</v>
      </c>
      <c r="D360" s="180" t="str">
        <f>VLOOKUP(B360,'Dados ClubeFII'!$A:$Z,20,0)/100</f>
        <v>#N/A</v>
      </c>
      <c r="E360" s="89" t="str">
        <f t="shared" si="1"/>
        <v>#N/A</v>
      </c>
      <c r="F360" s="181">
        <f>IF(ISERROR(1/VLOOKUP(B360,Capa!A:Z,13,0)),0,1/VLOOKUP(B360,Capa!A:Z,13,0))</f>
        <v>0</v>
      </c>
      <c r="G360" s="182">
        <f t="shared" si="2"/>
        <v>1.000001</v>
      </c>
      <c r="H360" s="183" t="str">
        <f t="shared" si="3"/>
        <v>#N/A</v>
      </c>
      <c r="M360" s="178" t="s">
        <v>3629</v>
      </c>
      <c r="N360" s="179" t="str">
        <f>VLOOKUP(M360,'Dados ClubeFII'!$A:$Z,26,0)</f>
        <v>#N/A</v>
      </c>
      <c r="O360" s="185" t="str">
        <f>VLOOKUP(M360,'Dados ClubeFII'!$A:$Z,18,0)/100</f>
        <v>#N/A</v>
      </c>
      <c r="P360" s="186" t="str">
        <f t="shared" si="5"/>
        <v>#N/A</v>
      </c>
      <c r="Q360" s="187">
        <f>IF(ISERROR(1/VLOOKUP(M360,Capa!A:Z,6,0)),0,1/VLOOKUP(M360,Capa!A:Z,6,0))</f>
        <v>0</v>
      </c>
      <c r="R360" s="188">
        <f t="shared" si="6"/>
        <v>1.000001</v>
      </c>
      <c r="S360" s="189" t="str">
        <f t="shared" si="7"/>
        <v>#N/A</v>
      </c>
    </row>
    <row r="361">
      <c r="A361" s="190"/>
      <c r="B361" s="178" t="s">
        <v>3630</v>
      </c>
      <c r="C361" s="179" t="str">
        <f>VLOOKUP(B361,'Dados ClubeFII'!$A:$Z,26,0)</f>
        <v>#N/A</v>
      </c>
      <c r="D361" s="180" t="str">
        <f>VLOOKUP(B361,'Dados ClubeFII'!$A:$Z,20,0)/100</f>
        <v>#N/A</v>
      </c>
      <c r="E361" s="89" t="str">
        <f t="shared" si="1"/>
        <v>#N/A</v>
      </c>
      <c r="F361" s="181">
        <f>IF(ISERROR(1/VLOOKUP(B361,Capa!A:Z,13,0)),0,1/VLOOKUP(B361,Capa!A:Z,13,0))</f>
        <v>0</v>
      </c>
      <c r="G361" s="182">
        <f t="shared" si="2"/>
        <v>1.000001</v>
      </c>
      <c r="H361" s="183" t="str">
        <f t="shared" si="3"/>
        <v>#N/A</v>
      </c>
      <c r="M361" s="178" t="s">
        <v>3630</v>
      </c>
      <c r="N361" s="179" t="str">
        <f>VLOOKUP(M361,'Dados ClubeFII'!$A:$Z,26,0)</f>
        <v>#N/A</v>
      </c>
      <c r="O361" s="185" t="str">
        <f>VLOOKUP(M361,'Dados ClubeFII'!$A:$Z,18,0)/100</f>
        <v>#N/A</v>
      </c>
      <c r="P361" s="186" t="str">
        <f t="shared" si="5"/>
        <v>#N/A</v>
      </c>
      <c r="Q361" s="187">
        <f>IF(ISERROR(1/VLOOKUP(M361,Capa!A:Z,6,0)),0,1/VLOOKUP(M361,Capa!A:Z,6,0))</f>
        <v>0</v>
      </c>
      <c r="R361" s="188">
        <f t="shared" si="6"/>
        <v>1.000001</v>
      </c>
      <c r="S361" s="189" t="str">
        <f t="shared" si="7"/>
        <v>#N/A</v>
      </c>
    </row>
    <row r="362">
      <c r="A362" s="190"/>
      <c r="B362" s="178" t="s">
        <v>3631</v>
      </c>
      <c r="C362" s="179" t="str">
        <f>VLOOKUP(B362,'Dados ClubeFII'!$A:$Z,26,0)</f>
        <v>#N/A</v>
      </c>
      <c r="D362" s="180" t="str">
        <f>VLOOKUP(B362,'Dados ClubeFII'!$A:$Z,20,0)/100</f>
        <v>#N/A</v>
      </c>
      <c r="E362" s="89" t="str">
        <f t="shared" si="1"/>
        <v>#N/A</v>
      </c>
      <c r="F362" s="181">
        <f>IF(ISERROR(1/VLOOKUP(B362,Capa!A:Z,13,0)),0,1/VLOOKUP(B362,Capa!A:Z,13,0))</f>
        <v>0</v>
      </c>
      <c r="G362" s="182">
        <f t="shared" si="2"/>
        <v>1.000001</v>
      </c>
      <c r="H362" s="183" t="str">
        <f t="shared" si="3"/>
        <v>#N/A</v>
      </c>
      <c r="M362" s="178" t="s">
        <v>3631</v>
      </c>
      <c r="N362" s="179" t="str">
        <f>VLOOKUP(M362,'Dados ClubeFII'!$A:$Z,26,0)</f>
        <v>#N/A</v>
      </c>
      <c r="O362" s="185" t="str">
        <f>VLOOKUP(M362,'Dados ClubeFII'!$A:$Z,18,0)/100</f>
        <v>#N/A</v>
      </c>
      <c r="P362" s="186" t="str">
        <f t="shared" si="5"/>
        <v>#N/A</v>
      </c>
      <c r="Q362" s="187">
        <f>IF(ISERROR(1/VLOOKUP(M362,Capa!A:Z,6,0)),0,1/VLOOKUP(M362,Capa!A:Z,6,0))</f>
        <v>0</v>
      </c>
      <c r="R362" s="188">
        <f t="shared" si="6"/>
        <v>1.000001</v>
      </c>
      <c r="S362" s="189" t="str">
        <f t="shared" si="7"/>
        <v>#N/A</v>
      </c>
    </row>
    <row r="363">
      <c r="A363" s="190"/>
      <c r="B363" s="178" t="s">
        <v>3632</v>
      </c>
      <c r="C363" s="179" t="str">
        <f>VLOOKUP(B363,'Dados ClubeFII'!$A:$Z,26,0)</f>
        <v>#N/A</v>
      </c>
      <c r="D363" s="180" t="str">
        <f>VLOOKUP(B363,'Dados ClubeFII'!$A:$Z,20,0)/100</f>
        <v>#N/A</v>
      </c>
      <c r="E363" s="89" t="str">
        <f t="shared" si="1"/>
        <v>#N/A</v>
      </c>
      <c r="F363" s="181">
        <f>IF(ISERROR(1/VLOOKUP(B363,Capa!A:Z,13,0)),0,1/VLOOKUP(B363,Capa!A:Z,13,0))</f>
        <v>0</v>
      </c>
      <c r="G363" s="182">
        <f t="shared" si="2"/>
        <v>1.000001</v>
      </c>
      <c r="H363" s="183" t="str">
        <f t="shared" si="3"/>
        <v>#N/A</v>
      </c>
      <c r="M363" s="178" t="s">
        <v>3632</v>
      </c>
      <c r="N363" s="179" t="str">
        <f>VLOOKUP(M363,'Dados ClubeFII'!$A:$Z,26,0)</f>
        <v>#N/A</v>
      </c>
      <c r="O363" s="185" t="str">
        <f>VLOOKUP(M363,'Dados ClubeFII'!$A:$Z,18,0)/100</f>
        <v>#N/A</v>
      </c>
      <c r="P363" s="186" t="str">
        <f t="shared" si="5"/>
        <v>#N/A</v>
      </c>
      <c r="Q363" s="187">
        <f>IF(ISERROR(1/VLOOKUP(M363,Capa!A:Z,6,0)),0,1/VLOOKUP(M363,Capa!A:Z,6,0))</f>
        <v>0</v>
      </c>
      <c r="R363" s="188">
        <f t="shared" si="6"/>
        <v>1.000001</v>
      </c>
      <c r="S363" s="189" t="str">
        <f t="shared" si="7"/>
        <v>#N/A</v>
      </c>
    </row>
    <row r="364">
      <c r="A364" s="190"/>
      <c r="B364" s="178" t="s">
        <v>3633</v>
      </c>
      <c r="C364" s="179" t="str">
        <f>VLOOKUP(B364,'Dados ClubeFII'!$A:$Z,26,0)</f>
        <v>#N/A</v>
      </c>
      <c r="D364" s="180" t="str">
        <f>VLOOKUP(B364,'Dados ClubeFII'!$A:$Z,20,0)/100</f>
        <v>#N/A</v>
      </c>
      <c r="E364" s="89" t="str">
        <f t="shared" si="1"/>
        <v>#N/A</v>
      </c>
      <c r="F364" s="181">
        <f>IF(ISERROR(1/VLOOKUP(B364,Capa!A:Z,13,0)),0,1/VLOOKUP(B364,Capa!A:Z,13,0))</f>
        <v>0</v>
      </c>
      <c r="G364" s="182">
        <f t="shared" si="2"/>
        <v>1.000001</v>
      </c>
      <c r="H364" s="183" t="str">
        <f t="shared" si="3"/>
        <v>#N/A</v>
      </c>
      <c r="M364" s="178" t="s">
        <v>3633</v>
      </c>
      <c r="N364" s="179" t="str">
        <f>VLOOKUP(M364,'Dados ClubeFII'!$A:$Z,26,0)</f>
        <v>#N/A</v>
      </c>
      <c r="O364" s="185" t="str">
        <f>VLOOKUP(M364,'Dados ClubeFII'!$A:$Z,18,0)/100</f>
        <v>#N/A</v>
      </c>
      <c r="P364" s="186" t="str">
        <f t="shared" si="5"/>
        <v>#N/A</v>
      </c>
      <c r="Q364" s="187">
        <f>IF(ISERROR(1/VLOOKUP(M364,Capa!A:Z,6,0)),0,1/VLOOKUP(M364,Capa!A:Z,6,0))</f>
        <v>0</v>
      </c>
      <c r="R364" s="188">
        <f t="shared" si="6"/>
        <v>1.000001</v>
      </c>
      <c r="S364" s="189" t="str">
        <f t="shared" si="7"/>
        <v>#N/A</v>
      </c>
    </row>
    <row r="365">
      <c r="A365" s="190"/>
      <c r="B365" s="178" t="s">
        <v>3634</v>
      </c>
      <c r="C365" s="179" t="str">
        <f>VLOOKUP(B365,'Dados ClubeFII'!$A:$Z,26,0)</f>
        <v>#N/A</v>
      </c>
      <c r="D365" s="180" t="str">
        <f>VLOOKUP(B365,'Dados ClubeFII'!$A:$Z,20,0)/100</f>
        <v>#N/A</v>
      </c>
      <c r="E365" s="89" t="str">
        <f t="shared" si="1"/>
        <v>#N/A</v>
      </c>
      <c r="F365" s="181">
        <f>IF(ISERROR(1/VLOOKUP(B365,Capa!A:Z,13,0)),0,1/VLOOKUP(B365,Capa!A:Z,13,0))</f>
        <v>0</v>
      </c>
      <c r="G365" s="182">
        <f t="shared" si="2"/>
        <v>1.000001</v>
      </c>
      <c r="H365" s="183" t="str">
        <f t="shared" si="3"/>
        <v>#N/A</v>
      </c>
      <c r="M365" s="178" t="s">
        <v>3634</v>
      </c>
      <c r="N365" s="179" t="str">
        <f>VLOOKUP(M365,'Dados ClubeFII'!$A:$Z,26,0)</f>
        <v>#N/A</v>
      </c>
      <c r="O365" s="185" t="str">
        <f>VLOOKUP(M365,'Dados ClubeFII'!$A:$Z,18,0)/100</f>
        <v>#N/A</v>
      </c>
      <c r="P365" s="186" t="str">
        <f t="shared" si="5"/>
        <v>#N/A</v>
      </c>
      <c r="Q365" s="187">
        <f>IF(ISERROR(1/VLOOKUP(M365,Capa!A:Z,6,0)),0,1/VLOOKUP(M365,Capa!A:Z,6,0))</f>
        <v>0</v>
      </c>
      <c r="R365" s="188">
        <f t="shared" si="6"/>
        <v>1.000001</v>
      </c>
      <c r="S365" s="189" t="str">
        <f t="shared" si="7"/>
        <v>#N/A</v>
      </c>
    </row>
    <row r="366">
      <c r="A366" s="190"/>
      <c r="B366" s="178" t="s">
        <v>3635</v>
      </c>
      <c r="C366" s="179" t="str">
        <f>VLOOKUP(B366,'Dados ClubeFII'!$A:$Z,26,0)</f>
        <v>#N/A</v>
      </c>
      <c r="D366" s="180" t="str">
        <f>VLOOKUP(B366,'Dados ClubeFII'!$A:$Z,20,0)/100</f>
        <v>#N/A</v>
      </c>
      <c r="E366" s="89" t="str">
        <f t="shared" si="1"/>
        <v>#N/A</v>
      </c>
      <c r="F366" s="181">
        <f>IF(ISERROR(1/VLOOKUP(B366,Capa!A:Z,13,0)),0,1/VLOOKUP(B366,Capa!A:Z,13,0))</f>
        <v>0</v>
      </c>
      <c r="G366" s="182">
        <f t="shared" si="2"/>
        <v>1.000001</v>
      </c>
      <c r="H366" s="183" t="str">
        <f t="shared" si="3"/>
        <v>#N/A</v>
      </c>
      <c r="M366" s="178" t="s">
        <v>3635</v>
      </c>
      <c r="N366" s="179" t="str">
        <f>VLOOKUP(M366,'Dados ClubeFII'!$A:$Z,26,0)</f>
        <v>#N/A</v>
      </c>
      <c r="O366" s="185" t="str">
        <f>VLOOKUP(M366,'Dados ClubeFII'!$A:$Z,18,0)/100</f>
        <v>#N/A</v>
      </c>
      <c r="P366" s="186" t="str">
        <f t="shared" si="5"/>
        <v>#N/A</v>
      </c>
      <c r="Q366" s="187">
        <f>IF(ISERROR(1/VLOOKUP(M366,Capa!A:Z,6,0)),0,1/VLOOKUP(M366,Capa!A:Z,6,0))</f>
        <v>0</v>
      </c>
      <c r="R366" s="188">
        <f t="shared" si="6"/>
        <v>1.000001</v>
      </c>
      <c r="S366" s="189" t="str">
        <f t="shared" si="7"/>
        <v>#N/A</v>
      </c>
    </row>
    <row r="367">
      <c r="A367" s="190"/>
      <c r="B367" s="178" t="s">
        <v>3636</v>
      </c>
      <c r="C367" s="179" t="str">
        <f>VLOOKUP(B367,'Dados ClubeFII'!$A:$Z,26,0)</f>
        <v>#N/A</v>
      </c>
      <c r="D367" s="180" t="str">
        <f>VLOOKUP(B367,'Dados ClubeFII'!$A:$Z,20,0)/100</f>
        <v>#N/A</v>
      </c>
      <c r="E367" s="89" t="str">
        <f t="shared" si="1"/>
        <v>#N/A</v>
      </c>
      <c r="F367" s="181">
        <f>IF(ISERROR(1/VLOOKUP(B367,Capa!A:Z,13,0)),0,1/VLOOKUP(B367,Capa!A:Z,13,0))</f>
        <v>0</v>
      </c>
      <c r="G367" s="182">
        <f t="shared" si="2"/>
        <v>1.000001</v>
      </c>
      <c r="H367" s="183" t="str">
        <f t="shared" si="3"/>
        <v>#N/A</v>
      </c>
      <c r="M367" s="178" t="s">
        <v>3636</v>
      </c>
      <c r="N367" s="179" t="str">
        <f>VLOOKUP(M367,'Dados ClubeFII'!$A:$Z,26,0)</f>
        <v>#N/A</v>
      </c>
      <c r="O367" s="185" t="str">
        <f>VLOOKUP(M367,'Dados ClubeFII'!$A:$Z,18,0)/100</f>
        <v>#N/A</v>
      </c>
      <c r="P367" s="186" t="str">
        <f t="shared" si="5"/>
        <v>#N/A</v>
      </c>
      <c r="Q367" s="187">
        <f>IF(ISERROR(1/VLOOKUP(M367,Capa!A:Z,6,0)),0,1/VLOOKUP(M367,Capa!A:Z,6,0))</f>
        <v>0</v>
      </c>
      <c r="R367" s="188">
        <f t="shared" si="6"/>
        <v>1.000001</v>
      </c>
      <c r="S367" s="189" t="str">
        <f t="shared" si="7"/>
        <v>#N/A</v>
      </c>
    </row>
    <row r="368">
      <c r="A368" s="190"/>
      <c r="B368" s="178" t="s">
        <v>3637</v>
      </c>
      <c r="C368" s="179" t="str">
        <f>VLOOKUP(B368,'Dados ClubeFII'!$A:$Z,26,0)</f>
        <v>#N/A</v>
      </c>
      <c r="D368" s="180" t="str">
        <f>VLOOKUP(B368,'Dados ClubeFII'!$A:$Z,20,0)/100</f>
        <v>#N/A</v>
      </c>
      <c r="E368" s="89" t="str">
        <f t="shared" si="1"/>
        <v>#N/A</v>
      </c>
      <c r="F368" s="181">
        <f>IF(ISERROR(1/VLOOKUP(B368,Capa!A:Z,13,0)),0,1/VLOOKUP(B368,Capa!A:Z,13,0))</f>
        <v>0</v>
      </c>
      <c r="G368" s="182">
        <f t="shared" si="2"/>
        <v>1.000001</v>
      </c>
      <c r="H368" s="183" t="str">
        <f t="shared" si="3"/>
        <v>#N/A</v>
      </c>
      <c r="M368" s="178" t="s">
        <v>3637</v>
      </c>
      <c r="N368" s="179" t="str">
        <f>VLOOKUP(M368,'Dados ClubeFII'!$A:$Z,26,0)</f>
        <v>#N/A</v>
      </c>
      <c r="O368" s="185" t="str">
        <f>VLOOKUP(M368,'Dados ClubeFII'!$A:$Z,18,0)/100</f>
        <v>#N/A</v>
      </c>
      <c r="P368" s="186" t="str">
        <f t="shared" si="5"/>
        <v>#N/A</v>
      </c>
      <c r="Q368" s="187">
        <f>IF(ISERROR(1/VLOOKUP(M368,Capa!A:Z,6,0)),0,1/VLOOKUP(M368,Capa!A:Z,6,0))</f>
        <v>0</v>
      </c>
      <c r="R368" s="188">
        <f t="shared" si="6"/>
        <v>1.000001</v>
      </c>
      <c r="S368" s="189" t="str">
        <f t="shared" si="7"/>
        <v>#N/A</v>
      </c>
    </row>
    <row r="369">
      <c r="A369" s="190"/>
      <c r="B369" s="178" t="s">
        <v>3638</v>
      </c>
      <c r="C369" s="179" t="str">
        <f>VLOOKUP(B369,'Dados ClubeFII'!$A:$Z,26,0)</f>
        <v>#N/A</v>
      </c>
      <c r="D369" s="180" t="str">
        <f>VLOOKUP(B369,'Dados ClubeFII'!$A:$Z,20,0)/100</f>
        <v>#N/A</v>
      </c>
      <c r="E369" s="89" t="str">
        <f t="shared" si="1"/>
        <v>#N/A</v>
      </c>
      <c r="F369" s="181">
        <f>IF(ISERROR(1/VLOOKUP(B369,Capa!A:Z,13,0)),0,1/VLOOKUP(B369,Capa!A:Z,13,0))</f>
        <v>0</v>
      </c>
      <c r="G369" s="182">
        <f t="shared" si="2"/>
        <v>1.000001</v>
      </c>
      <c r="H369" s="183" t="str">
        <f t="shared" si="3"/>
        <v>#N/A</v>
      </c>
      <c r="M369" s="178" t="s">
        <v>3638</v>
      </c>
      <c r="N369" s="179" t="str">
        <f>VLOOKUP(M369,'Dados ClubeFII'!$A:$Z,26,0)</f>
        <v>#N/A</v>
      </c>
      <c r="O369" s="185" t="str">
        <f>VLOOKUP(M369,'Dados ClubeFII'!$A:$Z,18,0)/100</f>
        <v>#N/A</v>
      </c>
      <c r="P369" s="186" t="str">
        <f t="shared" si="5"/>
        <v>#N/A</v>
      </c>
      <c r="Q369" s="187">
        <f>IF(ISERROR(1/VLOOKUP(M369,Capa!A:Z,6,0)),0,1/VLOOKUP(M369,Capa!A:Z,6,0))</f>
        <v>0</v>
      </c>
      <c r="R369" s="188">
        <f t="shared" si="6"/>
        <v>1.000001</v>
      </c>
      <c r="S369" s="189" t="str">
        <f t="shared" si="7"/>
        <v>#N/A</v>
      </c>
    </row>
    <row r="370">
      <c r="A370" s="190"/>
      <c r="B370" s="178" t="s">
        <v>3639</v>
      </c>
      <c r="C370" s="179" t="str">
        <f>VLOOKUP(B370,'Dados ClubeFII'!$A:$Z,26,0)</f>
        <v>#N/A</v>
      </c>
      <c r="D370" s="180" t="str">
        <f>VLOOKUP(B370,'Dados ClubeFII'!$A:$Z,20,0)/100</f>
        <v>#N/A</v>
      </c>
      <c r="E370" s="89" t="str">
        <f t="shared" si="1"/>
        <v>#N/A</v>
      </c>
      <c r="F370" s="181">
        <f>IF(ISERROR(1/VLOOKUP(B370,Capa!A:Z,13,0)),0,1/VLOOKUP(B370,Capa!A:Z,13,0))</f>
        <v>0</v>
      </c>
      <c r="G370" s="182">
        <f t="shared" si="2"/>
        <v>1.000001</v>
      </c>
      <c r="H370" s="183" t="str">
        <f t="shared" si="3"/>
        <v>#N/A</v>
      </c>
      <c r="M370" s="178" t="s">
        <v>3639</v>
      </c>
      <c r="N370" s="179" t="str">
        <f>VLOOKUP(M370,'Dados ClubeFII'!$A:$Z,26,0)</f>
        <v>#N/A</v>
      </c>
      <c r="O370" s="185" t="str">
        <f>VLOOKUP(M370,'Dados ClubeFII'!$A:$Z,18,0)/100</f>
        <v>#N/A</v>
      </c>
      <c r="P370" s="186" t="str">
        <f t="shared" si="5"/>
        <v>#N/A</v>
      </c>
      <c r="Q370" s="187">
        <f>IF(ISERROR(1/VLOOKUP(M370,Capa!A:Z,6,0)),0,1/VLOOKUP(M370,Capa!A:Z,6,0))</f>
        <v>0</v>
      </c>
      <c r="R370" s="188">
        <f t="shared" si="6"/>
        <v>1.000001</v>
      </c>
      <c r="S370" s="189" t="str">
        <f t="shared" si="7"/>
        <v>#N/A</v>
      </c>
    </row>
    <row r="371">
      <c r="A371" s="190"/>
      <c r="B371" s="178" t="s">
        <v>3640</v>
      </c>
      <c r="C371" s="179" t="str">
        <f>VLOOKUP(B371,'Dados ClubeFII'!$A:$Z,26,0)</f>
        <v>#N/A</v>
      </c>
      <c r="D371" s="180" t="str">
        <f>VLOOKUP(B371,'Dados ClubeFII'!$A:$Z,20,0)/100</f>
        <v>#N/A</v>
      </c>
      <c r="E371" s="89" t="str">
        <f t="shared" si="1"/>
        <v>#N/A</v>
      </c>
      <c r="F371" s="181">
        <f>IF(ISERROR(1/VLOOKUP(B371,Capa!A:Z,13,0)),0,1/VLOOKUP(B371,Capa!A:Z,13,0))</f>
        <v>0</v>
      </c>
      <c r="G371" s="182">
        <f t="shared" si="2"/>
        <v>1.000001</v>
      </c>
      <c r="H371" s="183" t="str">
        <f t="shared" si="3"/>
        <v>#N/A</v>
      </c>
      <c r="M371" s="178" t="s">
        <v>3640</v>
      </c>
      <c r="N371" s="179" t="str">
        <f>VLOOKUP(M371,'Dados ClubeFII'!$A:$Z,26,0)</f>
        <v>#N/A</v>
      </c>
      <c r="O371" s="185" t="str">
        <f>VLOOKUP(M371,'Dados ClubeFII'!$A:$Z,18,0)/100</f>
        <v>#N/A</v>
      </c>
      <c r="P371" s="186" t="str">
        <f t="shared" si="5"/>
        <v>#N/A</v>
      </c>
      <c r="Q371" s="187">
        <f>IF(ISERROR(1/VLOOKUP(M371,Capa!A:Z,6,0)),0,1/VLOOKUP(M371,Capa!A:Z,6,0))</f>
        <v>0</v>
      </c>
      <c r="R371" s="188">
        <f t="shared" si="6"/>
        <v>1.000001</v>
      </c>
      <c r="S371" s="189" t="str">
        <f t="shared" si="7"/>
        <v>#N/A</v>
      </c>
    </row>
    <row r="372">
      <c r="A372" s="190"/>
      <c r="B372" s="178" t="s">
        <v>3641</v>
      </c>
      <c r="C372" s="179" t="str">
        <f>VLOOKUP(B372,'Dados ClubeFII'!$A:$Z,26,0)</f>
        <v>#N/A</v>
      </c>
      <c r="D372" s="180" t="str">
        <f>VLOOKUP(B372,'Dados ClubeFII'!$A:$Z,20,0)/100</f>
        <v>#N/A</v>
      </c>
      <c r="E372" s="89" t="str">
        <f t="shared" si="1"/>
        <v>#N/A</v>
      </c>
      <c r="F372" s="181">
        <f>IF(ISERROR(1/VLOOKUP(B372,Capa!A:Z,13,0)),0,1/VLOOKUP(B372,Capa!A:Z,13,0))</f>
        <v>0</v>
      </c>
      <c r="G372" s="182">
        <f t="shared" si="2"/>
        <v>1.000001</v>
      </c>
      <c r="H372" s="183" t="str">
        <f t="shared" si="3"/>
        <v>#N/A</v>
      </c>
      <c r="M372" s="178" t="s">
        <v>3641</v>
      </c>
      <c r="N372" s="179" t="str">
        <f>VLOOKUP(M372,'Dados ClubeFII'!$A:$Z,26,0)</f>
        <v>#N/A</v>
      </c>
      <c r="O372" s="185" t="str">
        <f>VLOOKUP(M372,'Dados ClubeFII'!$A:$Z,18,0)/100</f>
        <v>#N/A</v>
      </c>
      <c r="P372" s="186" t="str">
        <f t="shared" si="5"/>
        <v>#N/A</v>
      </c>
      <c r="Q372" s="187">
        <f>IF(ISERROR(1/VLOOKUP(M372,Capa!A:Z,6,0)),0,1/VLOOKUP(M372,Capa!A:Z,6,0))</f>
        <v>0</v>
      </c>
      <c r="R372" s="188">
        <f t="shared" si="6"/>
        <v>1.000001</v>
      </c>
      <c r="S372" s="189" t="str">
        <f t="shared" si="7"/>
        <v>#N/A</v>
      </c>
    </row>
    <row r="373">
      <c r="A373" s="190"/>
      <c r="B373" s="178" t="s">
        <v>3642</v>
      </c>
      <c r="C373" s="179" t="str">
        <f>VLOOKUP(B373,'Dados ClubeFII'!$A:$Z,26,0)</f>
        <v>#N/A</v>
      </c>
      <c r="D373" s="180" t="str">
        <f>VLOOKUP(B373,'Dados ClubeFII'!$A:$Z,20,0)/100</f>
        <v>#N/A</v>
      </c>
      <c r="E373" s="89" t="str">
        <f t="shared" si="1"/>
        <v>#N/A</v>
      </c>
      <c r="F373" s="181">
        <f>IF(ISERROR(1/VLOOKUP(B373,Capa!A:Z,13,0)),0,1/VLOOKUP(B373,Capa!A:Z,13,0))</f>
        <v>0</v>
      </c>
      <c r="G373" s="182">
        <f t="shared" si="2"/>
        <v>1.000001</v>
      </c>
      <c r="H373" s="183" t="str">
        <f t="shared" si="3"/>
        <v>#N/A</v>
      </c>
      <c r="M373" s="178" t="s">
        <v>3642</v>
      </c>
      <c r="N373" s="179" t="str">
        <f>VLOOKUP(M373,'Dados ClubeFII'!$A:$Z,26,0)</f>
        <v>#N/A</v>
      </c>
      <c r="O373" s="185" t="str">
        <f>VLOOKUP(M373,'Dados ClubeFII'!$A:$Z,18,0)/100</f>
        <v>#N/A</v>
      </c>
      <c r="P373" s="186" t="str">
        <f t="shared" si="5"/>
        <v>#N/A</v>
      </c>
      <c r="Q373" s="187">
        <f>IF(ISERROR(1/VLOOKUP(M373,Capa!A:Z,6,0)),0,1/VLOOKUP(M373,Capa!A:Z,6,0))</f>
        <v>0</v>
      </c>
      <c r="R373" s="188">
        <f t="shared" si="6"/>
        <v>1.000001</v>
      </c>
      <c r="S373" s="189" t="str">
        <f t="shared" si="7"/>
        <v>#N/A</v>
      </c>
    </row>
    <row r="374">
      <c r="A374" s="190"/>
      <c r="B374" s="178" t="s">
        <v>3643</v>
      </c>
      <c r="C374" s="179" t="str">
        <f>VLOOKUP(B374,'Dados ClubeFII'!$A:$Z,26,0)</f>
        <v>#N/A</v>
      </c>
      <c r="D374" s="180" t="str">
        <f>VLOOKUP(B374,'Dados ClubeFII'!$A:$Z,20,0)/100</f>
        <v>#N/A</v>
      </c>
      <c r="E374" s="89" t="str">
        <f t="shared" si="1"/>
        <v>#N/A</v>
      </c>
      <c r="F374" s="181">
        <f>IF(ISERROR(1/VLOOKUP(B374,Capa!A:Z,13,0)),0,1/VLOOKUP(B374,Capa!A:Z,13,0))</f>
        <v>0</v>
      </c>
      <c r="G374" s="182">
        <f t="shared" si="2"/>
        <v>1.000001</v>
      </c>
      <c r="H374" s="183" t="str">
        <f t="shared" si="3"/>
        <v>#N/A</v>
      </c>
      <c r="M374" s="178" t="s">
        <v>3643</v>
      </c>
      <c r="N374" s="179" t="str">
        <f>VLOOKUP(M374,'Dados ClubeFII'!$A:$Z,26,0)</f>
        <v>#N/A</v>
      </c>
      <c r="O374" s="185" t="str">
        <f>VLOOKUP(M374,'Dados ClubeFII'!$A:$Z,18,0)/100</f>
        <v>#N/A</v>
      </c>
      <c r="P374" s="186" t="str">
        <f t="shared" si="5"/>
        <v>#N/A</v>
      </c>
      <c r="Q374" s="187">
        <f>IF(ISERROR(1/VLOOKUP(M374,Capa!A:Z,6,0)),0,1/VLOOKUP(M374,Capa!A:Z,6,0))</f>
        <v>0</v>
      </c>
      <c r="R374" s="188">
        <f t="shared" si="6"/>
        <v>1.000001</v>
      </c>
      <c r="S374" s="189" t="str">
        <f t="shared" si="7"/>
        <v>#N/A</v>
      </c>
    </row>
    <row r="375">
      <c r="A375" s="190"/>
      <c r="B375" s="178" t="s">
        <v>3644</v>
      </c>
      <c r="C375" s="179" t="str">
        <f>VLOOKUP(B375,'Dados ClubeFII'!$A:$Z,26,0)</f>
        <v>#N/A</v>
      </c>
      <c r="D375" s="180" t="str">
        <f>VLOOKUP(B375,'Dados ClubeFII'!$A:$Z,20,0)/100</f>
        <v>#N/A</v>
      </c>
      <c r="E375" s="89" t="str">
        <f t="shared" si="1"/>
        <v>#N/A</v>
      </c>
      <c r="F375" s="181">
        <f>IF(ISERROR(1/VLOOKUP(B375,Capa!A:Z,13,0)),0,1/VLOOKUP(B375,Capa!A:Z,13,0))</f>
        <v>0</v>
      </c>
      <c r="G375" s="182">
        <f t="shared" si="2"/>
        <v>1.000001</v>
      </c>
      <c r="H375" s="183" t="str">
        <f t="shared" si="3"/>
        <v>#N/A</v>
      </c>
      <c r="M375" s="178" t="s">
        <v>3644</v>
      </c>
      <c r="N375" s="179" t="str">
        <f>VLOOKUP(M375,'Dados ClubeFII'!$A:$Z,26,0)</f>
        <v>#N/A</v>
      </c>
      <c r="O375" s="185" t="str">
        <f>VLOOKUP(M375,'Dados ClubeFII'!$A:$Z,18,0)/100</f>
        <v>#N/A</v>
      </c>
      <c r="P375" s="186" t="str">
        <f t="shared" si="5"/>
        <v>#N/A</v>
      </c>
      <c r="Q375" s="187">
        <f>IF(ISERROR(1/VLOOKUP(M375,Capa!A:Z,6,0)),0,1/VLOOKUP(M375,Capa!A:Z,6,0))</f>
        <v>0</v>
      </c>
      <c r="R375" s="188">
        <f t="shared" si="6"/>
        <v>1.000001</v>
      </c>
      <c r="S375" s="189" t="str">
        <f t="shared" si="7"/>
        <v>#N/A</v>
      </c>
    </row>
    <row r="376">
      <c r="A376" s="190"/>
      <c r="B376" s="178" t="s">
        <v>3645</v>
      </c>
      <c r="C376" s="179" t="str">
        <f>VLOOKUP(B376,'Dados ClubeFII'!$A:$Z,26,0)</f>
        <v>#N/A</v>
      </c>
      <c r="D376" s="180" t="str">
        <f>VLOOKUP(B376,'Dados ClubeFII'!$A:$Z,20,0)/100</f>
        <v>#N/A</v>
      </c>
      <c r="E376" s="89" t="str">
        <f t="shared" si="1"/>
        <v>#N/A</v>
      </c>
      <c r="F376" s="181">
        <f>IF(ISERROR(1/VLOOKUP(B376,Capa!A:Z,13,0)),0,1/VLOOKUP(B376,Capa!A:Z,13,0))</f>
        <v>0</v>
      </c>
      <c r="G376" s="182">
        <f t="shared" si="2"/>
        <v>1.000001</v>
      </c>
      <c r="H376" s="183" t="str">
        <f t="shared" si="3"/>
        <v>#N/A</v>
      </c>
      <c r="M376" s="178" t="s">
        <v>3645</v>
      </c>
      <c r="N376" s="179" t="str">
        <f>VLOOKUP(M376,'Dados ClubeFII'!$A:$Z,26,0)</f>
        <v>#N/A</v>
      </c>
      <c r="O376" s="185" t="str">
        <f>VLOOKUP(M376,'Dados ClubeFII'!$A:$Z,18,0)/100</f>
        <v>#N/A</v>
      </c>
      <c r="P376" s="186" t="str">
        <f t="shared" si="5"/>
        <v>#N/A</v>
      </c>
      <c r="Q376" s="187">
        <f>IF(ISERROR(1/VLOOKUP(M376,Capa!A:Z,6,0)),0,1/VLOOKUP(M376,Capa!A:Z,6,0))</f>
        <v>0</v>
      </c>
      <c r="R376" s="188">
        <f t="shared" si="6"/>
        <v>1.000001</v>
      </c>
      <c r="S376" s="189" t="str">
        <f t="shared" si="7"/>
        <v>#N/A</v>
      </c>
    </row>
    <row r="377">
      <c r="A377" s="190"/>
      <c r="B377" s="178" t="s">
        <v>3646</v>
      </c>
      <c r="C377" s="179" t="str">
        <f>VLOOKUP(B377,'Dados ClubeFII'!$A:$Z,26,0)</f>
        <v>#N/A</v>
      </c>
      <c r="D377" s="180" t="str">
        <f>VLOOKUP(B377,'Dados ClubeFII'!$A:$Z,20,0)/100</f>
        <v>#N/A</v>
      </c>
      <c r="E377" s="89" t="str">
        <f t="shared" si="1"/>
        <v>#N/A</v>
      </c>
      <c r="F377" s="181">
        <f>IF(ISERROR(1/VLOOKUP(B377,Capa!A:Z,13,0)),0,1/VLOOKUP(B377,Capa!A:Z,13,0))</f>
        <v>0</v>
      </c>
      <c r="G377" s="182">
        <f t="shared" si="2"/>
        <v>1.000001</v>
      </c>
      <c r="H377" s="183" t="str">
        <f t="shared" si="3"/>
        <v>#N/A</v>
      </c>
      <c r="M377" s="178" t="s">
        <v>3646</v>
      </c>
      <c r="N377" s="179" t="str">
        <f>VLOOKUP(M377,'Dados ClubeFII'!$A:$Z,26,0)</f>
        <v>#N/A</v>
      </c>
      <c r="O377" s="185" t="str">
        <f>VLOOKUP(M377,'Dados ClubeFII'!$A:$Z,18,0)/100</f>
        <v>#N/A</v>
      </c>
      <c r="P377" s="186" t="str">
        <f t="shared" si="5"/>
        <v>#N/A</v>
      </c>
      <c r="Q377" s="187">
        <f>IF(ISERROR(1/VLOOKUP(M377,Capa!A:Z,6,0)),0,1/VLOOKUP(M377,Capa!A:Z,6,0))</f>
        <v>0</v>
      </c>
      <c r="R377" s="188">
        <f t="shared" si="6"/>
        <v>1.000001</v>
      </c>
      <c r="S377" s="189" t="str">
        <f t="shared" si="7"/>
        <v>#N/A</v>
      </c>
    </row>
    <row r="378">
      <c r="A378" s="190"/>
      <c r="B378" s="178" t="s">
        <v>3647</v>
      </c>
      <c r="C378" s="179" t="str">
        <f>VLOOKUP(B378,'Dados ClubeFII'!$A:$Z,26,0)</f>
        <v>#N/A</v>
      </c>
      <c r="D378" s="180" t="str">
        <f>VLOOKUP(B378,'Dados ClubeFII'!$A:$Z,20,0)/100</f>
        <v>#N/A</v>
      </c>
      <c r="E378" s="89" t="str">
        <f t="shared" si="1"/>
        <v>#N/A</v>
      </c>
      <c r="F378" s="181">
        <f>IF(ISERROR(1/VLOOKUP(B378,Capa!A:Z,13,0)),0,1/VLOOKUP(B378,Capa!A:Z,13,0))</f>
        <v>0</v>
      </c>
      <c r="G378" s="182">
        <f t="shared" si="2"/>
        <v>1.000001</v>
      </c>
      <c r="H378" s="183" t="str">
        <f t="shared" si="3"/>
        <v>#N/A</v>
      </c>
      <c r="M378" s="178" t="s">
        <v>3647</v>
      </c>
      <c r="N378" s="179" t="str">
        <f>VLOOKUP(M378,'Dados ClubeFII'!$A:$Z,26,0)</f>
        <v>#N/A</v>
      </c>
      <c r="O378" s="185" t="str">
        <f>VLOOKUP(M378,'Dados ClubeFII'!$A:$Z,18,0)/100</f>
        <v>#N/A</v>
      </c>
      <c r="P378" s="186" t="str">
        <f t="shared" si="5"/>
        <v>#N/A</v>
      </c>
      <c r="Q378" s="187">
        <f>IF(ISERROR(1/VLOOKUP(M378,Capa!A:Z,6,0)),0,1/VLOOKUP(M378,Capa!A:Z,6,0))</f>
        <v>0</v>
      </c>
      <c r="R378" s="188">
        <f t="shared" si="6"/>
        <v>1.000001</v>
      </c>
      <c r="S378" s="189" t="str">
        <f t="shared" si="7"/>
        <v>#N/A</v>
      </c>
    </row>
    <row r="379">
      <c r="A379" s="190"/>
      <c r="B379" s="178" t="s">
        <v>3648</v>
      </c>
      <c r="C379" s="179" t="str">
        <f>VLOOKUP(B379,'Dados ClubeFII'!$A:$Z,26,0)</f>
        <v>#N/A</v>
      </c>
      <c r="D379" s="180" t="str">
        <f>VLOOKUP(B379,'Dados ClubeFII'!$A:$Z,20,0)/100</f>
        <v>#N/A</v>
      </c>
      <c r="E379" s="89" t="str">
        <f t="shared" si="1"/>
        <v>#N/A</v>
      </c>
      <c r="F379" s="181">
        <f>IF(ISERROR(1/VLOOKUP(B379,Capa!A:Z,13,0)),0,1/VLOOKUP(B379,Capa!A:Z,13,0))</f>
        <v>0</v>
      </c>
      <c r="G379" s="182">
        <f t="shared" si="2"/>
        <v>1.000001</v>
      </c>
      <c r="H379" s="183" t="str">
        <f t="shared" si="3"/>
        <v>#N/A</v>
      </c>
      <c r="M379" s="178" t="s">
        <v>3648</v>
      </c>
      <c r="N379" s="179" t="str">
        <f>VLOOKUP(M379,'Dados ClubeFII'!$A:$Z,26,0)</f>
        <v>#N/A</v>
      </c>
      <c r="O379" s="185" t="str">
        <f>VLOOKUP(M379,'Dados ClubeFII'!$A:$Z,18,0)/100</f>
        <v>#N/A</v>
      </c>
      <c r="P379" s="186" t="str">
        <f t="shared" si="5"/>
        <v>#N/A</v>
      </c>
      <c r="Q379" s="187">
        <f>IF(ISERROR(1/VLOOKUP(M379,Capa!A:Z,6,0)),0,1/VLOOKUP(M379,Capa!A:Z,6,0))</f>
        <v>0</v>
      </c>
      <c r="R379" s="188">
        <f t="shared" si="6"/>
        <v>1.000001</v>
      </c>
      <c r="S379" s="189" t="str">
        <f t="shared" si="7"/>
        <v>#N/A</v>
      </c>
    </row>
    <row r="380">
      <c r="A380" s="190"/>
      <c r="B380" s="178" t="s">
        <v>3649</v>
      </c>
      <c r="C380" s="179" t="str">
        <f>VLOOKUP(B380,'Dados ClubeFII'!$A:$Z,26,0)</f>
        <v>#N/A</v>
      </c>
      <c r="D380" s="180" t="str">
        <f>VLOOKUP(B380,'Dados ClubeFII'!$A:$Z,20,0)/100</f>
        <v>#N/A</v>
      </c>
      <c r="E380" s="89" t="str">
        <f t="shared" si="1"/>
        <v>#N/A</v>
      </c>
      <c r="F380" s="181">
        <f>IF(ISERROR(1/VLOOKUP(B380,Capa!A:Z,13,0)),0,1/VLOOKUP(B380,Capa!A:Z,13,0))</f>
        <v>0</v>
      </c>
      <c r="G380" s="182">
        <f t="shared" si="2"/>
        <v>1.000001</v>
      </c>
      <c r="H380" s="183" t="str">
        <f t="shared" si="3"/>
        <v>#N/A</v>
      </c>
      <c r="M380" s="178" t="s">
        <v>3649</v>
      </c>
      <c r="N380" s="179" t="str">
        <f>VLOOKUP(M380,'Dados ClubeFII'!$A:$Z,26,0)</f>
        <v>#N/A</v>
      </c>
      <c r="O380" s="185" t="str">
        <f>VLOOKUP(M380,'Dados ClubeFII'!$A:$Z,18,0)/100</f>
        <v>#N/A</v>
      </c>
      <c r="P380" s="186" t="str">
        <f t="shared" si="5"/>
        <v>#N/A</v>
      </c>
      <c r="Q380" s="187">
        <f>IF(ISERROR(1/VLOOKUP(M380,Capa!A:Z,6,0)),0,1/VLOOKUP(M380,Capa!A:Z,6,0))</f>
        <v>0</v>
      </c>
      <c r="R380" s="188">
        <f t="shared" si="6"/>
        <v>1.000001</v>
      </c>
      <c r="S380" s="189" t="str">
        <f t="shared" si="7"/>
        <v>#N/A</v>
      </c>
    </row>
    <row r="381">
      <c r="A381" s="190"/>
      <c r="B381" s="178" t="s">
        <v>3650</v>
      </c>
      <c r="C381" s="179" t="str">
        <f>VLOOKUP(B381,'Dados ClubeFII'!$A:$Z,26,0)</f>
        <v>#N/A</v>
      </c>
      <c r="D381" s="180" t="str">
        <f>VLOOKUP(B381,'Dados ClubeFII'!$A:$Z,20,0)/100</f>
        <v>#N/A</v>
      </c>
      <c r="E381" s="89" t="str">
        <f t="shared" si="1"/>
        <v>#N/A</v>
      </c>
      <c r="F381" s="181">
        <f>IF(ISERROR(1/VLOOKUP(B381,Capa!A:Z,13,0)),0,1/VLOOKUP(B381,Capa!A:Z,13,0))</f>
        <v>0</v>
      </c>
      <c r="G381" s="182">
        <f t="shared" si="2"/>
        <v>1.000001</v>
      </c>
      <c r="H381" s="183" t="str">
        <f t="shared" si="3"/>
        <v>#N/A</v>
      </c>
      <c r="M381" s="178" t="s">
        <v>3650</v>
      </c>
      <c r="N381" s="179" t="str">
        <f>VLOOKUP(M381,'Dados ClubeFII'!$A:$Z,26,0)</f>
        <v>#N/A</v>
      </c>
      <c r="O381" s="185" t="str">
        <f>VLOOKUP(M381,'Dados ClubeFII'!$A:$Z,18,0)/100</f>
        <v>#N/A</v>
      </c>
      <c r="P381" s="186" t="str">
        <f t="shared" si="5"/>
        <v>#N/A</v>
      </c>
      <c r="Q381" s="187">
        <f>IF(ISERROR(1/VLOOKUP(M381,Capa!A:Z,6,0)),0,1/VLOOKUP(M381,Capa!A:Z,6,0))</f>
        <v>0</v>
      </c>
      <c r="R381" s="188">
        <f t="shared" si="6"/>
        <v>1.000001</v>
      </c>
      <c r="S381" s="189" t="str">
        <f t="shared" si="7"/>
        <v>#N/A</v>
      </c>
    </row>
    <row r="382">
      <c r="A382" s="190"/>
      <c r="B382" s="178" t="s">
        <v>3651</v>
      </c>
      <c r="C382" s="179" t="str">
        <f>VLOOKUP(B382,'Dados ClubeFII'!$A:$Z,26,0)</f>
        <v>#N/A</v>
      </c>
      <c r="D382" s="180" t="str">
        <f>VLOOKUP(B382,'Dados ClubeFII'!$A:$Z,20,0)/100</f>
        <v>#N/A</v>
      </c>
      <c r="E382" s="89" t="str">
        <f t="shared" si="1"/>
        <v>#N/A</v>
      </c>
      <c r="F382" s="181">
        <f>IF(ISERROR(1/VLOOKUP(B382,Capa!A:Z,13,0)),0,1/VLOOKUP(B382,Capa!A:Z,13,0))</f>
        <v>0</v>
      </c>
      <c r="G382" s="182">
        <f t="shared" si="2"/>
        <v>1.000001</v>
      </c>
      <c r="H382" s="183" t="str">
        <f t="shared" si="3"/>
        <v>#N/A</v>
      </c>
      <c r="M382" s="178" t="s">
        <v>3651</v>
      </c>
      <c r="N382" s="179" t="str">
        <f>VLOOKUP(M382,'Dados ClubeFII'!$A:$Z,26,0)</f>
        <v>#N/A</v>
      </c>
      <c r="O382" s="185" t="str">
        <f>VLOOKUP(M382,'Dados ClubeFII'!$A:$Z,18,0)/100</f>
        <v>#N/A</v>
      </c>
      <c r="P382" s="186" t="str">
        <f t="shared" si="5"/>
        <v>#N/A</v>
      </c>
      <c r="Q382" s="187">
        <f>IF(ISERROR(1/VLOOKUP(M382,Capa!A:Z,6,0)),0,1/VLOOKUP(M382,Capa!A:Z,6,0))</f>
        <v>0</v>
      </c>
      <c r="R382" s="188">
        <f t="shared" si="6"/>
        <v>1.000001</v>
      </c>
      <c r="S382" s="189" t="str">
        <f t="shared" si="7"/>
        <v>#N/A</v>
      </c>
    </row>
    <row r="383">
      <c r="A383" s="190"/>
      <c r="B383" s="178" t="s">
        <v>3652</v>
      </c>
      <c r="C383" s="179" t="str">
        <f>VLOOKUP(B383,'Dados ClubeFII'!$A:$Z,26,0)</f>
        <v>#N/A</v>
      </c>
      <c r="D383" s="180" t="str">
        <f>VLOOKUP(B383,'Dados ClubeFII'!$A:$Z,20,0)/100</f>
        <v>#N/A</v>
      </c>
      <c r="E383" s="89" t="str">
        <f t="shared" si="1"/>
        <v>#N/A</v>
      </c>
      <c r="F383" s="181">
        <f>IF(ISERROR(1/VLOOKUP(B383,Capa!A:Z,13,0)),0,1/VLOOKUP(B383,Capa!A:Z,13,0))</f>
        <v>0</v>
      </c>
      <c r="G383" s="182">
        <f t="shared" si="2"/>
        <v>1.000001</v>
      </c>
      <c r="H383" s="183" t="str">
        <f t="shared" si="3"/>
        <v>#N/A</v>
      </c>
      <c r="M383" s="178" t="s">
        <v>3652</v>
      </c>
      <c r="N383" s="179" t="str">
        <f>VLOOKUP(M383,'Dados ClubeFII'!$A:$Z,26,0)</f>
        <v>#N/A</v>
      </c>
      <c r="O383" s="185" t="str">
        <f>VLOOKUP(M383,'Dados ClubeFII'!$A:$Z,18,0)/100</f>
        <v>#N/A</v>
      </c>
      <c r="P383" s="186" t="str">
        <f t="shared" si="5"/>
        <v>#N/A</v>
      </c>
      <c r="Q383" s="187">
        <f>IF(ISERROR(1/VLOOKUP(M383,Capa!A:Z,6,0)),0,1/VLOOKUP(M383,Capa!A:Z,6,0))</f>
        <v>0</v>
      </c>
      <c r="R383" s="188">
        <f t="shared" si="6"/>
        <v>1.000001</v>
      </c>
      <c r="S383" s="189" t="str">
        <f t="shared" si="7"/>
        <v>#N/A</v>
      </c>
    </row>
    <row r="384">
      <c r="A384" s="190"/>
      <c r="B384" s="178" t="s">
        <v>3653</v>
      </c>
      <c r="C384" s="179" t="str">
        <f>VLOOKUP(B384,'Dados ClubeFII'!$A:$Z,26,0)</f>
        <v>#N/A</v>
      </c>
      <c r="D384" s="180" t="str">
        <f>VLOOKUP(B384,'Dados ClubeFII'!$A:$Z,20,0)/100</f>
        <v>#N/A</v>
      </c>
      <c r="E384" s="89" t="str">
        <f t="shared" si="1"/>
        <v>#N/A</v>
      </c>
      <c r="F384" s="181">
        <f>IF(ISERROR(1/VLOOKUP(B384,Capa!A:Z,13,0)),0,1/VLOOKUP(B384,Capa!A:Z,13,0))</f>
        <v>0</v>
      </c>
      <c r="G384" s="182">
        <f t="shared" si="2"/>
        <v>1.000001</v>
      </c>
      <c r="H384" s="183" t="str">
        <f t="shared" si="3"/>
        <v>#N/A</v>
      </c>
      <c r="M384" s="178" t="s">
        <v>3653</v>
      </c>
      <c r="N384" s="179" t="str">
        <f>VLOOKUP(M384,'Dados ClubeFII'!$A:$Z,26,0)</f>
        <v>#N/A</v>
      </c>
      <c r="O384" s="185" t="str">
        <f>VLOOKUP(M384,'Dados ClubeFII'!$A:$Z,18,0)/100</f>
        <v>#N/A</v>
      </c>
      <c r="P384" s="186" t="str">
        <f t="shared" si="5"/>
        <v>#N/A</v>
      </c>
      <c r="Q384" s="187">
        <f>IF(ISERROR(1/VLOOKUP(M384,Capa!A:Z,6,0)),0,1/VLOOKUP(M384,Capa!A:Z,6,0))</f>
        <v>0</v>
      </c>
      <c r="R384" s="188">
        <f t="shared" si="6"/>
        <v>1.000001</v>
      </c>
      <c r="S384" s="189" t="str">
        <f t="shared" si="7"/>
        <v>#N/A</v>
      </c>
    </row>
    <row r="385">
      <c r="A385" s="190"/>
      <c r="B385" s="178" t="s">
        <v>3654</v>
      </c>
      <c r="C385" s="179" t="str">
        <f>VLOOKUP(B385,'Dados ClubeFII'!$A:$Z,26,0)</f>
        <v>#N/A</v>
      </c>
      <c r="D385" s="180" t="str">
        <f>VLOOKUP(B385,'Dados ClubeFII'!$A:$Z,20,0)/100</f>
        <v>#N/A</v>
      </c>
      <c r="E385" s="89" t="str">
        <f t="shared" si="1"/>
        <v>#N/A</v>
      </c>
      <c r="F385" s="181">
        <f>IF(ISERROR(1/VLOOKUP(B385,Capa!A:Z,13,0)),0,1/VLOOKUP(B385,Capa!A:Z,13,0))</f>
        <v>0</v>
      </c>
      <c r="G385" s="182">
        <f t="shared" si="2"/>
        <v>1.000001</v>
      </c>
      <c r="H385" s="183" t="str">
        <f t="shared" si="3"/>
        <v>#N/A</v>
      </c>
      <c r="M385" s="178" t="s">
        <v>3654</v>
      </c>
      <c r="N385" s="179" t="str">
        <f>VLOOKUP(M385,'Dados ClubeFII'!$A:$Z,26,0)</f>
        <v>#N/A</v>
      </c>
      <c r="O385" s="185" t="str">
        <f>VLOOKUP(M385,'Dados ClubeFII'!$A:$Z,18,0)/100</f>
        <v>#N/A</v>
      </c>
      <c r="P385" s="186" t="str">
        <f t="shared" si="5"/>
        <v>#N/A</v>
      </c>
      <c r="Q385" s="187">
        <f>IF(ISERROR(1/VLOOKUP(M385,Capa!A:Z,6,0)),0,1/VLOOKUP(M385,Capa!A:Z,6,0))</f>
        <v>0</v>
      </c>
      <c r="R385" s="188">
        <f t="shared" si="6"/>
        <v>1.000001</v>
      </c>
      <c r="S385" s="189" t="str">
        <f t="shared" si="7"/>
        <v>#N/A</v>
      </c>
    </row>
    <row r="386">
      <c r="A386" s="190"/>
      <c r="B386" s="178" t="s">
        <v>3655</v>
      </c>
      <c r="C386" s="179" t="str">
        <f>VLOOKUP(B386,'Dados ClubeFII'!$A:$Z,26,0)</f>
        <v>#N/A</v>
      </c>
      <c r="D386" s="180" t="str">
        <f>VLOOKUP(B386,'Dados ClubeFII'!$A:$Z,20,0)/100</f>
        <v>#N/A</v>
      </c>
      <c r="E386" s="89" t="str">
        <f t="shared" si="1"/>
        <v>#N/A</v>
      </c>
      <c r="F386" s="181">
        <f>IF(ISERROR(1/VLOOKUP(B386,Capa!A:Z,13,0)),0,1/VLOOKUP(B386,Capa!A:Z,13,0))</f>
        <v>0</v>
      </c>
      <c r="G386" s="182">
        <f t="shared" si="2"/>
        <v>1.000001</v>
      </c>
      <c r="H386" s="183" t="str">
        <f t="shared" si="3"/>
        <v>#N/A</v>
      </c>
      <c r="M386" s="178" t="s">
        <v>3655</v>
      </c>
      <c r="N386" s="179" t="str">
        <f>VLOOKUP(M386,'Dados ClubeFII'!$A:$Z,26,0)</f>
        <v>#N/A</v>
      </c>
      <c r="O386" s="185" t="str">
        <f>VLOOKUP(M386,'Dados ClubeFII'!$A:$Z,18,0)/100</f>
        <v>#N/A</v>
      </c>
      <c r="P386" s="186" t="str">
        <f t="shared" si="5"/>
        <v>#N/A</v>
      </c>
      <c r="Q386" s="187">
        <f>IF(ISERROR(1/VLOOKUP(M386,Capa!A:Z,6,0)),0,1/VLOOKUP(M386,Capa!A:Z,6,0))</f>
        <v>0</v>
      </c>
      <c r="R386" s="188">
        <f t="shared" si="6"/>
        <v>1.000001</v>
      </c>
      <c r="S386" s="189" t="str">
        <f t="shared" si="7"/>
        <v>#N/A</v>
      </c>
    </row>
    <row r="387">
      <c r="A387" s="190"/>
      <c r="B387" s="178" t="s">
        <v>3656</v>
      </c>
      <c r="C387" s="179" t="str">
        <f>VLOOKUP(B387,'Dados ClubeFII'!$A:$Z,26,0)</f>
        <v>#N/A</v>
      </c>
      <c r="D387" s="180" t="str">
        <f>VLOOKUP(B387,'Dados ClubeFII'!$A:$Z,20,0)/100</f>
        <v>#N/A</v>
      </c>
      <c r="E387" s="89" t="str">
        <f t="shared" si="1"/>
        <v>#N/A</v>
      </c>
      <c r="F387" s="181">
        <f>IF(ISERROR(1/VLOOKUP(B387,Capa!A:Z,13,0)),0,1/VLOOKUP(B387,Capa!A:Z,13,0))</f>
        <v>0</v>
      </c>
      <c r="G387" s="182">
        <f t="shared" si="2"/>
        <v>1.000001</v>
      </c>
      <c r="H387" s="183" t="str">
        <f t="shared" si="3"/>
        <v>#N/A</v>
      </c>
      <c r="M387" s="178" t="s">
        <v>3656</v>
      </c>
      <c r="N387" s="179" t="str">
        <f>VLOOKUP(M387,'Dados ClubeFII'!$A:$Z,26,0)</f>
        <v>#N/A</v>
      </c>
      <c r="O387" s="185" t="str">
        <f>VLOOKUP(M387,'Dados ClubeFII'!$A:$Z,18,0)/100</f>
        <v>#N/A</v>
      </c>
      <c r="P387" s="186" t="str">
        <f t="shared" si="5"/>
        <v>#N/A</v>
      </c>
      <c r="Q387" s="187">
        <f>IF(ISERROR(1/VLOOKUP(M387,Capa!A:Z,6,0)),0,1/VLOOKUP(M387,Capa!A:Z,6,0))</f>
        <v>0</v>
      </c>
      <c r="R387" s="188">
        <f t="shared" si="6"/>
        <v>1.000001</v>
      </c>
      <c r="S387" s="189" t="str">
        <f t="shared" si="7"/>
        <v>#N/A</v>
      </c>
    </row>
    <row r="388">
      <c r="A388" s="190"/>
      <c r="B388" s="178" t="s">
        <v>3657</v>
      </c>
      <c r="C388" s="179" t="str">
        <f>VLOOKUP(B388,'Dados ClubeFII'!$A:$Z,26,0)</f>
        <v>#N/A</v>
      </c>
      <c r="D388" s="180" t="str">
        <f>VLOOKUP(B388,'Dados ClubeFII'!$A:$Z,20,0)/100</f>
        <v>#N/A</v>
      </c>
      <c r="E388" s="89" t="str">
        <f t="shared" si="1"/>
        <v>#N/A</v>
      </c>
      <c r="F388" s="181">
        <f>IF(ISERROR(1/VLOOKUP(B388,Capa!A:Z,13,0)),0,1/VLOOKUP(B388,Capa!A:Z,13,0))</f>
        <v>0</v>
      </c>
      <c r="G388" s="182">
        <f t="shared" si="2"/>
        <v>1.000001</v>
      </c>
      <c r="H388" s="183" t="str">
        <f t="shared" si="3"/>
        <v>#N/A</v>
      </c>
      <c r="M388" s="178" t="s">
        <v>3657</v>
      </c>
      <c r="N388" s="179" t="str">
        <f>VLOOKUP(M388,'Dados ClubeFII'!$A:$Z,26,0)</f>
        <v>#N/A</v>
      </c>
      <c r="O388" s="185" t="str">
        <f>VLOOKUP(M388,'Dados ClubeFII'!$A:$Z,18,0)/100</f>
        <v>#N/A</v>
      </c>
      <c r="P388" s="186" t="str">
        <f t="shared" si="5"/>
        <v>#N/A</v>
      </c>
      <c r="Q388" s="187">
        <f>IF(ISERROR(1/VLOOKUP(M388,Capa!A:Z,6,0)),0,1/VLOOKUP(M388,Capa!A:Z,6,0))</f>
        <v>0</v>
      </c>
      <c r="R388" s="188">
        <f t="shared" si="6"/>
        <v>1.000001</v>
      </c>
      <c r="S388" s="189" t="str">
        <f t="shared" si="7"/>
        <v>#N/A</v>
      </c>
    </row>
    <row r="389">
      <c r="A389" s="190"/>
      <c r="B389" s="178" t="s">
        <v>3658</v>
      </c>
      <c r="C389" s="179" t="str">
        <f>VLOOKUP(B389,'Dados ClubeFII'!$A:$Z,26,0)</f>
        <v>#N/A</v>
      </c>
      <c r="D389" s="180" t="str">
        <f>VLOOKUP(B389,'Dados ClubeFII'!$A:$Z,20,0)/100</f>
        <v>#N/A</v>
      </c>
      <c r="E389" s="89" t="str">
        <f t="shared" si="1"/>
        <v>#N/A</v>
      </c>
      <c r="F389" s="181">
        <f>IF(ISERROR(1/VLOOKUP(B389,Capa!A:Z,13,0)),0,1/VLOOKUP(B389,Capa!A:Z,13,0))</f>
        <v>0</v>
      </c>
      <c r="G389" s="182">
        <f t="shared" si="2"/>
        <v>1.000001</v>
      </c>
      <c r="H389" s="183" t="str">
        <f t="shared" si="3"/>
        <v>#N/A</v>
      </c>
      <c r="M389" s="178" t="s">
        <v>3658</v>
      </c>
      <c r="N389" s="179" t="str">
        <f>VLOOKUP(M389,'Dados ClubeFII'!$A:$Z,26,0)</f>
        <v>#N/A</v>
      </c>
      <c r="O389" s="185" t="str">
        <f>VLOOKUP(M389,'Dados ClubeFII'!$A:$Z,18,0)/100</f>
        <v>#N/A</v>
      </c>
      <c r="P389" s="186" t="str">
        <f t="shared" si="5"/>
        <v>#N/A</v>
      </c>
      <c r="Q389" s="187">
        <f>IF(ISERROR(1/VLOOKUP(M389,Capa!A:Z,6,0)),0,1/VLOOKUP(M389,Capa!A:Z,6,0))</f>
        <v>0</v>
      </c>
      <c r="R389" s="188">
        <f t="shared" si="6"/>
        <v>1.000001</v>
      </c>
      <c r="S389" s="189" t="str">
        <f t="shared" si="7"/>
        <v>#N/A</v>
      </c>
    </row>
    <row r="390">
      <c r="A390" s="190"/>
      <c r="B390" s="178" t="s">
        <v>3659</v>
      </c>
      <c r="C390" s="179" t="str">
        <f>VLOOKUP(B390,'Dados ClubeFII'!$A:$Z,26,0)</f>
        <v>#N/A</v>
      </c>
      <c r="D390" s="180" t="str">
        <f>VLOOKUP(B390,'Dados ClubeFII'!$A:$Z,20,0)/100</f>
        <v>#N/A</v>
      </c>
      <c r="E390" s="89" t="str">
        <f t="shared" si="1"/>
        <v>#N/A</v>
      </c>
      <c r="F390" s="181">
        <f>IF(ISERROR(1/VLOOKUP(B390,Capa!A:Z,13,0)),0,1/VLOOKUP(B390,Capa!A:Z,13,0))</f>
        <v>0</v>
      </c>
      <c r="G390" s="182">
        <f t="shared" si="2"/>
        <v>1.000001</v>
      </c>
      <c r="H390" s="183" t="str">
        <f t="shared" si="3"/>
        <v>#N/A</v>
      </c>
      <c r="M390" s="178" t="s">
        <v>3659</v>
      </c>
      <c r="N390" s="179" t="str">
        <f>VLOOKUP(M390,'Dados ClubeFII'!$A:$Z,26,0)</f>
        <v>#N/A</v>
      </c>
      <c r="O390" s="185" t="str">
        <f>VLOOKUP(M390,'Dados ClubeFII'!$A:$Z,18,0)/100</f>
        <v>#N/A</v>
      </c>
      <c r="P390" s="186" t="str">
        <f t="shared" si="5"/>
        <v>#N/A</v>
      </c>
      <c r="Q390" s="187">
        <f>IF(ISERROR(1/VLOOKUP(M390,Capa!A:Z,6,0)),0,1/VLOOKUP(M390,Capa!A:Z,6,0))</f>
        <v>0</v>
      </c>
      <c r="R390" s="188">
        <f t="shared" si="6"/>
        <v>1.000001</v>
      </c>
      <c r="S390" s="189" t="str">
        <f t="shared" si="7"/>
        <v>#N/A</v>
      </c>
    </row>
    <row r="391">
      <c r="A391" s="190"/>
      <c r="B391" s="178" t="s">
        <v>3660</v>
      </c>
      <c r="C391" s="179" t="str">
        <f>VLOOKUP(B391,'Dados ClubeFII'!$A:$Z,26,0)</f>
        <v>#N/A</v>
      </c>
      <c r="D391" s="180" t="str">
        <f>VLOOKUP(B391,'Dados ClubeFII'!$A:$Z,20,0)/100</f>
        <v>#N/A</v>
      </c>
      <c r="E391" s="89" t="str">
        <f t="shared" si="1"/>
        <v>#N/A</v>
      </c>
      <c r="F391" s="181">
        <f>IF(ISERROR(1/VLOOKUP(B391,Capa!A:Z,13,0)),0,1/VLOOKUP(B391,Capa!A:Z,13,0))</f>
        <v>0</v>
      </c>
      <c r="G391" s="182">
        <f t="shared" si="2"/>
        <v>1.000001</v>
      </c>
      <c r="H391" s="183" t="str">
        <f t="shared" si="3"/>
        <v>#N/A</v>
      </c>
      <c r="M391" s="178" t="s">
        <v>3660</v>
      </c>
      <c r="N391" s="179" t="str">
        <f>VLOOKUP(M391,'Dados ClubeFII'!$A:$Z,26,0)</f>
        <v>#N/A</v>
      </c>
      <c r="O391" s="185" t="str">
        <f>VLOOKUP(M391,'Dados ClubeFII'!$A:$Z,18,0)/100</f>
        <v>#N/A</v>
      </c>
      <c r="P391" s="186" t="str">
        <f t="shared" si="5"/>
        <v>#N/A</v>
      </c>
      <c r="Q391" s="187">
        <f>IF(ISERROR(1/VLOOKUP(M391,Capa!A:Z,6,0)),0,1/VLOOKUP(M391,Capa!A:Z,6,0))</f>
        <v>0</v>
      </c>
      <c r="R391" s="188">
        <f t="shared" si="6"/>
        <v>1.000001</v>
      </c>
      <c r="S391" s="189" t="str">
        <f t="shared" si="7"/>
        <v>#N/A</v>
      </c>
    </row>
    <row r="392">
      <c r="A392" s="190"/>
      <c r="B392" s="178" t="s">
        <v>3661</v>
      </c>
      <c r="C392" s="179" t="str">
        <f>VLOOKUP(B392,'Dados ClubeFII'!$A:$Z,26,0)</f>
        <v>#N/A</v>
      </c>
      <c r="D392" s="180" t="str">
        <f>VLOOKUP(B392,'Dados ClubeFII'!$A:$Z,20,0)/100</f>
        <v>#N/A</v>
      </c>
      <c r="E392" s="89" t="str">
        <f t="shared" si="1"/>
        <v>#N/A</v>
      </c>
      <c r="F392" s="181">
        <f>IF(ISERROR(1/VLOOKUP(B392,Capa!A:Z,13,0)),0,1/VLOOKUP(B392,Capa!A:Z,13,0))</f>
        <v>0</v>
      </c>
      <c r="G392" s="182">
        <f t="shared" si="2"/>
        <v>1.000001</v>
      </c>
      <c r="H392" s="183" t="str">
        <f t="shared" si="3"/>
        <v>#N/A</v>
      </c>
      <c r="M392" s="178" t="s">
        <v>3661</v>
      </c>
      <c r="N392" s="179" t="str">
        <f>VLOOKUP(M392,'Dados ClubeFII'!$A:$Z,26,0)</f>
        <v>#N/A</v>
      </c>
      <c r="O392" s="185" t="str">
        <f>VLOOKUP(M392,'Dados ClubeFII'!$A:$Z,18,0)/100</f>
        <v>#N/A</v>
      </c>
      <c r="P392" s="186" t="str">
        <f t="shared" si="5"/>
        <v>#N/A</v>
      </c>
      <c r="Q392" s="187">
        <f>IF(ISERROR(1/VLOOKUP(M392,Capa!A:Z,6,0)),0,1/VLOOKUP(M392,Capa!A:Z,6,0))</f>
        <v>0</v>
      </c>
      <c r="R392" s="188">
        <f t="shared" si="6"/>
        <v>1.000001</v>
      </c>
      <c r="S392" s="189" t="str">
        <f t="shared" si="7"/>
        <v>#N/A</v>
      </c>
    </row>
    <row r="393">
      <c r="A393" s="190"/>
      <c r="B393" s="178" t="s">
        <v>3662</v>
      </c>
      <c r="C393" s="179" t="str">
        <f>VLOOKUP(B393,'Dados ClubeFII'!$A:$Z,26,0)</f>
        <v>#N/A</v>
      </c>
      <c r="D393" s="180" t="str">
        <f>VLOOKUP(B393,'Dados ClubeFII'!$A:$Z,20,0)/100</f>
        <v>#N/A</v>
      </c>
      <c r="E393" s="89" t="str">
        <f t="shared" si="1"/>
        <v>#N/A</v>
      </c>
      <c r="F393" s="181">
        <f>IF(ISERROR(1/VLOOKUP(B393,Capa!A:Z,13,0)),0,1/VLOOKUP(B393,Capa!A:Z,13,0))</f>
        <v>0</v>
      </c>
      <c r="G393" s="182">
        <f t="shared" si="2"/>
        <v>1.000001</v>
      </c>
      <c r="H393" s="183" t="str">
        <f t="shared" si="3"/>
        <v>#N/A</v>
      </c>
      <c r="M393" s="178" t="s">
        <v>3662</v>
      </c>
      <c r="N393" s="179" t="str">
        <f>VLOOKUP(M393,'Dados ClubeFII'!$A:$Z,26,0)</f>
        <v>#N/A</v>
      </c>
      <c r="O393" s="185" t="str">
        <f>VLOOKUP(M393,'Dados ClubeFII'!$A:$Z,18,0)/100</f>
        <v>#N/A</v>
      </c>
      <c r="P393" s="186" t="str">
        <f t="shared" si="5"/>
        <v>#N/A</v>
      </c>
      <c r="Q393" s="187">
        <f>IF(ISERROR(1/VLOOKUP(M393,Capa!A:Z,6,0)),0,1/VLOOKUP(M393,Capa!A:Z,6,0))</f>
        <v>0</v>
      </c>
      <c r="R393" s="188">
        <f t="shared" si="6"/>
        <v>1.000001</v>
      </c>
      <c r="S393" s="189" t="str">
        <f t="shared" si="7"/>
        <v>#N/A</v>
      </c>
    </row>
    <row r="394">
      <c r="A394" s="190"/>
      <c r="B394" s="178" t="s">
        <v>3663</v>
      </c>
      <c r="C394" s="179" t="str">
        <f>VLOOKUP(B394,'Dados ClubeFII'!$A:$Z,26,0)</f>
        <v>#N/A</v>
      </c>
      <c r="D394" s="180" t="str">
        <f>VLOOKUP(B394,'Dados ClubeFII'!$A:$Z,20,0)/100</f>
        <v>#N/A</v>
      </c>
      <c r="E394" s="89" t="str">
        <f t="shared" si="1"/>
        <v>#N/A</v>
      </c>
      <c r="F394" s="181">
        <f>IF(ISERROR(1/VLOOKUP(B394,Capa!A:Z,13,0)),0,1/VLOOKUP(B394,Capa!A:Z,13,0))</f>
        <v>0</v>
      </c>
      <c r="G394" s="182">
        <f t="shared" si="2"/>
        <v>1.000001</v>
      </c>
      <c r="H394" s="183" t="str">
        <f t="shared" si="3"/>
        <v>#N/A</v>
      </c>
      <c r="M394" s="178" t="s">
        <v>3663</v>
      </c>
      <c r="N394" s="179" t="str">
        <f>VLOOKUP(M394,'Dados ClubeFII'!$A:$Z,26,0)</f>
        <v>#N/A</v>
      </c>
      <c r="O394" s="185" t="str">
        <f>VLOOKUP(M394,'Dados ClubeFII'!$A:$Z,18,0)/100</f>
        <v>#N/A</v>
      </c>
      <c r="P394" s="186" t="str">
        <f t="shared" si="5"/>
        <v>#N/A</v>
      </c>
      <c r="Q394" s="187">
        <f>IF(ISERROR(1/VLOOKUP(M394,Capa!A:Z,6,0)),0,1/VLOOKUP(M394,Capa!A:Z,6,0))</f>
        <v>0</v>
      </c>
      <c r="R394" s="188">
        <f t="shared" si="6"/>
        <v>1.000001</v>
      </c>
      <c r="S394" s="189" t="str">
        <f t="shared" si="7"/>
        <v>#N/A</v>
      </c>
    </row>
    <row r="395">
      <c r="A395" s="190"/>
      <c r="B395" s="178" t="s">
        <v>3664</v>
      </c>
      <c r="C395" s="179" t="str">
        <f>VLOOKUP(B395,'Dados ClubeFII'!$A:$Z,26,0)</f>
        <v>#N/A</v>
      </c>
      <c r="D395" s="180" t="str">
        <f>VLOOKUP(B395,'Dados ClubeFII'!$A:$Z,20,0)/100</f>
        <v>#N/A</v>
      </c>
      <c r="E395" s="89" t="str">
        <f t="shared" si="1"/>
        <v>#N/A</v>
      </c>
      <c r="F395" s="181">
        <f>IF(ISERROR(1/VLOOKUP(B395,Capa!A:Z,13,0)),0,1/VLOOKUP(B395,Capa!A:Z,13,0))</f>
        <v>0</v>
      </c>
      <c r="G395" s="182">
        <f t="shared" si="2"/>
        <v>1.000001</v>
      </c>
      <c r="H395" s="183" t="str">
        <f t="shared" si="3"/>
        <v>#N/A</v>
      </c>
      <c r="M395" s="178" t="s">
        <v>3664</v>
      </c>
      <c r="N395" s="179" t="str">
        <f>VLOOKUP(M395,'Dados ClubeFII'!$A:$Z,26,0)</f>
        <v>#N/A</v>
      </c>
      <c r="O395" s="185" t="str">
        <f>VLOOKUP(M395,'Dados ClubeFII'!$A:$Z,18,0)/100</f>
        <v>#N/A</v>
      </c>
      <c r="P395" s="186" t="str">
        <f t="shared" si="5"/>
        <v>#N/A</v>
      </c>
      <c r="Q395" s="187">
        <f>IF(ISERROR(1/VLOOKUP(M395,Capa!A:Z,6,0)),0,1/VLOOKUP(M395,Capa!A:Z,6,0))</f>
        <v>0</v>
      </c>
      <c r="R395" s="188">
        <f t="shared" si="6"/>
        <v>1.000001</v>
      </c>
      <c r="S395" s="189" t="str">
        <f t="shared" si="7"/>
        <v>#N/A</v>
      </c>
    </row>
    <row r="396">
      <c r="A396" s="190"/>
      <c r="B396" s="178" t="s">
        <v>3665</v>
      </c>
      <c r="C396" s="179" t="str">
        <f>VLOOKUP(B396,'Dados ClubeFII'!$A:$Z,26,0)</f>
        <v>#N/A</v>
      </c>
      <c r="D396" s="180" t="str">
        <f>VLOOKUP(B396,'Dados ClubeFII'!$A:$Z,20,0)/100</f>
        <v>#N/A</v>
      </c>
      <c r="E396" s="89" t="str">
        <f t="shared" si="1"/>
        <v>#N/A</v>
      </c>
      <c r="F396" s="181">
        <f>IF(ISERROR(1/VLOOKUP(B396,Capa!A:Z,13,0)),0,1/VLOOKUP(B396,Capa!A:Z,13,0))</f>
        <v>0</v>
      </c>
      <c r="G396" s="182">
        <f t="shared" si="2"/>
        <v>1.000001</v>
      </c>
      <c r="H396" s="183" t="str">
        <f t="shared" si="3"/>
        <v>#N/A</v>
      </c>
      <c r="M396" s="178" t="s">
        <v>3665</v>
      </c>
      <c r="N396" s="179" t="str">
        <f>VLOOKUP(M396,'Dados ClubeFII'!$A:$Z,26,0)</f>
        <v>#N/A</v>
      </c>
      <c r="O396" s="185" t="str">
        <f>VLOOKUP(M396,'Dados ClubeFII'!$A:$Z,18,0)/100</f>
        <v>#N/A</v>
      </c>
      <c r="P396" s="186" t="str">
        <f t="shared" si="5"/>
        <v>#N/A</v>
      </c>
      <c r="Q396" s="187">
        <f>IF(ISERROR(1/VLOOKUP(M396,Capa!A:Z,6,0)),0,1/VLOOKUP(M396,Capa!A:Z,6,0))</f>
        <v>0</v>
      </c>
      <c r="R396" s="188">
        <f t="shared" si="6"/>
        <v>1.000001</v>
      </c>
      <c r="S396" s="189" t="str">
        <f t="shared" si="7"/>
        <v>#N/A</v>
      </c>
    </row>
    <row r="397">
      <c r="A397" s="190"/>
      <c r="B397" s="178" t="s">
        <v>3666</v>
      </c>
      <c r="C397" s="179" t="str">
        <f>VLOOKUP(B397,'Dados ClubeFII'!$A:$Z,26,0)</f>
        <v>#N/A</v>
      </c>
      <c r="D397" s="180" t="str">
        <f>VLOOKUP(B397,'Dados ClubeFII'!$A:$Z,20,0)/100</f>
        <v>#N/A</v>
      </c>
      <c r="E397" s="89" t="str">
        <f t="shared" si="1"/>
        <v>#N/A</v>
      </c>
      <c r="F397" s="181">
        <f>IF(ISERROR(1/VLOOKUP(B397,Capa!A:Z,13,0)),0,1/VLOOKUP(B397,Capa!A:Z,13,0))</f>
        <v>0</v>
      </c>
      <c r="G397" s="182">
        <f t="shared" si="2"/>
        <v>1.000001</v>
      </c>
      <c r="H397" s="183" t="str">
        <f t="shared" si="3"/>
        <v>#N/A</v>
      </c>
      <c r="M397" s="178" t="s">
        <v>3666</v>
      </c>
      <c r="N397" s="179" t="str">
        <f>VLOOKUP(M397,'Dados ClubeFII'!$A:$Z,26,0)</f>
        <v>#N/A</v>
      </c>
      <c r="O397" s="185" t="str">
        <f>VLOOKUP(M397,'Dados ClubeFII'!$A:$Z,18,0)/100</f>
        <v>#N/A</v>
      </c>
      <c r="P397" s="186" t="str">
        <f t="shared" si="5"/>
        <v>#N/A</v>
      </c>
      <c r="Q397" s="187">
        <f>IF(ISERROR(1/VLOOKUP(M397,Capa!A:Z,6,0)),0,1/VLOOKUP(M397,Capa!A:Z,6,0))</f>
        <v>0</v>
      </c>
      <c r="R397" s="188">
        <f t="shared" si="6"/>
        <v>1.000001</v>
      </c>
      <c r="S397" s="189" t="str">
        <f t="shared" si="7"/>
        <v>#N/A</v>
      </c>
    </row>
    <row r="398">
      <c r="A398" s="190"/>
      <c r="B398" s="178" t="s">
        <v>3667</v>
      </c>
      <c r="C398" s="179" t="str">
        <f>VLOOKUP(B398,'Dados ClubeFII'!$A:$Z,26,0)</f>
        <v>#N/A</v>
      </c>
      <c r="D398" s="180" t="str">
        <f>VLOOKUP(B398,'Dados ClubeFII'!$A:$Z,20,0)/100</f>
        <v>#N/A</v>
      </c>
      <c r="E398" s="89" t="str">
        <f t="shared" si="1"/>
        <v>#N/A</v>
      </c>
      <c r="F398" s="181">
        <f>IF(ISERROR(1/VLOOKUP(B398,Capa!A:Z,13,0)),0,1/VLOOKUP(B398,Capa!A:Z,13,0))</f>
        <v>0</v>
      </c>
      <c r="G398" s="182">
        <f t="shared" si="2"/>
        <v>1.000001</v>
      </c>
      <c r="H398" s="183" t="str">
        <f t="shared" si="3"/>
        <v>#N/A</v>
      </c>
      <c r="M398" s="178" t="s">
        <v>3667</v>
      </c>
      <c r="N398" s="179" t="str">
        <f>VLOOKUP(M398,'Dados ClubeFII'!$A:$Z,26,0)</f>
        <v>#N/A</v>
      </c>
      <c r="O398" s="185" t="str">
        <f>VLOOKUP(M398,'Dados ClubeFII'!$A:$Z,18,0)/100</f>
        <v>#N/A</v>
      </c>
      <c r="P398" s="186" t="str">
        <f t="shared" si="5"/>
        <v>#N/A</v>
      </c>
      <c r="Q398" s="187">
        <f>IF(ISERROR(1/VLOOKUP(M398,Capa!A:Z,6,0)),0,1/VLOOKUP(M398,Capa!A:Z,6,0))</f>
        <v>0</v>
      </c>
      <c r="R398" s="188">
        <f t="shared" si="6"/>
        <v>1.000001</v>
      </c>
      <c r="S398" s="189" t="str">
        <f t="shared" si="7"/>
        <v>#N/A</v>
      </c>
    </row>
    <row r="399">
      <c r="A399" s="190"/>
      <c r="B399" s="178" t="s">
        <v>3668</v>
      </c>
      <c r="C399" s="179" t="str">
        <f>VLOOKUP(B399,'Dados ClubeFII'!$A:$Z,26,0)</f>
        <v>#N/A</v>
      </c>
      <c r="D399" s="180" t="str">
        <f>VLOOKUP(B399,'Dados ClubeFII'!$A:$Z,20,0)/100</f>
        <v>#N/A</v>
      </c>
      <c r="E399" s="89" t="str">
        <f t="shared" si="1"/>
        <v>#N/A</v>
      </c>
      <c r="F399" s="181">
        <f>IF(ISERROR(1/VLOOKUP(B399,Capa!A:Z,13,0)),0,1/VLOOKUP(B399,Capa!A:Z,13,0))</f>
        <v>0</v>
      </c>
      <c r="G399" s="182">
        <f t="shared" si="2"/>
        <v>1.000001</v>
      </c>
      <c r="H399" s="183" t="str">
        <f t="shared" si="3"/>
        <v>#N/A</v>
      </c>
      <c r="M399" s="178" t="s">
        <v>3668</v>
      </c>
      <c r="N399" s="179" t="str">
        <f>VLOOKUP(M399,'Dados ClubeFII'!$A:$Z,26,0)</f>
        <v>#N/A</v>
      </c>
      <c r="O399" s="185" t="str">
        <f>VLOOKUP(M399,'Dados ClubeFII'!$A:$Z,18,0)/100</f>
        <v>#N/A</v>
      </c>
      <c r="P399" s="186" t="str">
        <f t="shared" si="5"/>
        <v>#N/A</v>
      </c>
      <c r="Q399" s="187">
        <f>IF(ISERROR(1/VLOOKUP(M399,Capa!A:Z,6,0)),0,1/VLOOKUP(M399,Capa!A:Z,6,0))</f>
        <v>0</v>
      </c>
      <c r="R399" s="188">
        <f t="shared" si="6"/>
        <v>1.000001</v>
      </c>
      <c r="S399" s="189" t="str">
        <f t="shared" si="7"/>
        <v>#N/A</v>
      </c>
    </row>
    <row r="400">
      <c r="A400" s="190"/>
      <c r="B400" s="178" t="s">
        <v>3669</v>
      </c>
      <c r="C400" s="179" t="str">
        <f>VLOOKUP(B400,'Dados ClubeFII'!$A:$Z,26,0)</f>
        <v>#N/A</v>
      </c>
      <c r="D400" s="180" t="str">
        <f>VLOOKUP(B400,'Dados ClubeFII'!$A:$Z,20,0)/100</f>
        <v>#N/A</v>
      </c>
      <c r="E400" s="89" t="str">
        <f t="shared" si="1"/>
        <v>#N/A</v>
      </c>
      <c r="F400" s="181">
        <f>IF(ISERROR(1/VLOOKUP(B400,Capa!A:Z,13,0)),0,1/VLOOKUP(B400,Capa!A:Z,13,0))</f>
        <v>0</v>
      </c>
      <c r="G400" s="182">
        <f t="shared" si="2"/>
        <v>1.000001</v>
      </c>
      <c r="H400" s="183" t="str">
        <f t="shared" si="3"/>
        <v>#N/A</v>
      </c>
      <c r="M400" s="178" t="s">
        <v>3669</v>
      </c>
      <c r="N400" s="179" t="str">
        <f>VLOOKUP(M400,'Dados ClubeFII'!$A:$Z,26,0)</f>
        <v>#N/A</v>
      </c>
      <c r="O400" s="185" t="str">
        <f>VLOOKUP(M400,'Dados ClubeFII'!$A:$Z,18,0)/100</f>
        <v>#N/A</v>
      </c>
      <c r="P400" s="186" t="str">
        <f t="shared" si="5"/>
        <v>#N/A</v>
      </c>
      <c r="Q400" s="187">
        <f>IF(ISERROR(1/VLOOKUP(M400,Capa!A:Z,6,0)),0,1/VLOOKUP(M400,Capa!A:Z,6,0))</f>
        <v>0</v>
      </c>
      <c r="R400" s="188">
        <f t="shared" si="6"/>
        <v>1.000001</v>
      </c>
      <c r="S400" s="189" t="str">
        <f t="shared" si="7"/>
        <v>#N/A</v>
      </c>
    </row>
    <row r="401">
      <c r="A401" s="190"/>
      <c r="B401" s="178" t="s">
        <v>3670</v>
      </c>
      <c r="C401" s="179" t="str">
        <f>VLOOKUP(B401,'Dados ClubeFII'!$A:$Z,26,0)</f>
        <v>#N/A</v>
      </c>
      <c r="D401" s="180" t="str">
        <f>VLOOKUP(B401,'Dados ClubeFII'!$A:$Z,20,0)/100</f>
        <v>#N/A</v>
      </c>
      <c r="E401" s="89" t="str">
        <f t="shared" si="1"/>
        <v>#N/A</v>
      </c>
      <c r="F401" s="181">
        <f>IF(ISERROR(1/VLOOKUP(B401,Capa!A:Z,13,0)),0,1/VLOOKUP(B401,Capa!A:Z,13,0))</f>
        <v>0</v>
      </c>
      <c r="G401" s="182">
        <f t="shared" si="2"/>
        <v>1.000001</v>
      </c>
      <c r="H401" s="183" t="str">
        <f t="shared" si="3"/>
        <v>#N/A</v>
      </c>
      <c r="M401" s="178" t="s">
        <v>3670</v>
      </c>
      <c r="N401" s="179" t="str">
        <f>VLOOKUP(M401,'Dados ClubeFII'!$A:$Z,26,0)</f>
        <v>#N/A</v>
      </c>
      <c r="O401" s="185" t="str">
        <f>VLOOKUP(M401,'Dados ClubeFII'!$A:$Z,18,0)/100</f>
        <v>#N/A</v>
      </c>
      <c r="P401" s="186" t="str">
        <f t="shared" si="5"/>
        <v>#N/A</v>
      </c>
      <c r="Q401" s="187">
        <f>IF(ISERROR(1/VLOOKUP(M401,Capa!A:Z,6,0)),0,1/VLOOKUP(M401,Capa!A:Z,6,0))</f>
        <v>0</v>
      </c>
      <c r="R401" s="188">
        <f t="shared" si="6"/>
        <v>1.000001</v>
      </c>
      <c r="S401" s="189" t="str">
        <f t="shared" si="7"/>
        <v>#N/A</v>
      </c>
    </row>
    <row r="402">
      <c r="A402" s="190"/>
      <c r="B402" s="178" t="s">
        <v>3671</v>
      </c>
      <c r="C402" s="179" t="str">
        <f>VLOOKUP(B402,'Dados ClubeFII'!$A:$Z,26,0)</f>
        <v>#N/A</v>
      </c>
      <c r="D402" s="180" t="str">
        <f>VLOOKUP(B402,'Dados ClubeFII'!$A:$Z,20,0)/100</f>
        <v>#N/A</v>
      </c>
      <c r="E402" s="89" t="str">
        <f t="shared" si="1"/>
        <v>#N/A</v>
      </c>
      <c r="F402" s="181">
        <f>IF(ISERROR(1/VLOOKUP(B402,Capa!A:Z,13,0)),0,1/VLOOKUP(B402,Capa!A:Z,13,0))</f>
        <v>0</v>
      </c>
      <c r="G402" s="182">
        <f t="shared" si="2"/>
        <v>1.000001</v>
      </c>
      <c r="H402" s="183" t="str">
        <f t="shared" si="3"/>
        <v>#N/A</v>
      </c>
      <c r="M402" s="178" t="s">
        <v>3671</v>
      </c>
      <c r="N402" s="179" t="str">
        <f>VLOOKUP(M402,'Dados ClubeFII'!$A:$Z,26,0)</f>
        <v>#N/A</v>
      </c>
      <c r="O402" s="185" t="str">
        <f>VLOOKUP(M402,'Dados ClubeFII'!$A:$Z,18,0)/100</f>
        <v>#N/A</v>
      </c>
      <c r="P402" s="186" t="str">
        <f t="shared" si="5"/>
        <v>#N/A</v>
      </c>
      <c r="Q402" s="187">
        <f>IF(ISERROR(1/VLOOKUP(M402,Capa!A:Z,6,0)),0,1/VLOOKUP(M402,Capa!A:Z,6,0))</f>
        <v>0</v>
      </c>
      <c r="R402" s="188">
        <f t="shared" si="6"/>
        <v>1.000001</v>
      </c>
      <c r="S402" s="189" t="str">
        <f t="shared" si="7"/>
        <v>#N/A</v>
      </c>
    </row>
    <row r="403">
      <c r="A403" s="190"/>
      <c r="B403" s="178" t="s">
        <v>3672</v>
      </c>
      <c r="C403" s="179" t="str">
        <f>VLOOKUP(B403,'Dados ClubeFII'!$A:$Z,26,0)</f>
        <v>#N/A</v>
      </c>
      <c r="D403" s="180" t="str">
        <f>VLOOKUP(B403,'Dados ClubeFII'!$A:$Z,20,0)/100</f>
        <v>#N/A</v>
      </c>
      <c r="E403" s="89" t="str">
        <f t="shared" si="1"/>
        <v>#N/A</v>
      </c>
      <c r="F403" s="181">
        <f>IF(ISERROR(1/VLOOKUP(B403,Capa!A:Z,13,0)),0,1/VLOOKUP(B403,Capa!A:Z,13,0))</f>
        <v>0</v>
      </c>
      <c r="G403" s="182">
        <f t="shared" si="2"/>
        <v>1.000001</v>
      </c>
      <c r="H403" s="183" t="str">
        <f t="shared" si="3"/>
        <v>#N/A</v>
      </c>
      <c r="M403" s="178" t="s">
        <v>3672</v>
      </c>
      <c r="N403" s="179" t="str">
        <f>VLOOKUP(M403,'Dados ClubeFII'!$A:$Z,26,0)</f>
        <v>#N/A</v>
      </c>
      <c r="O403" s="185" t="str">
        <f>VLOOKUP(M403,'Dados ClubeFII'!$A:$Z,18,0)/100</f>
        <v>#N/A</v>
      </c>
      <c r="P403" s="186" t="str">
        <f t="shared" si="5"/>
        <v>#N/A</v>
      </c>
      <c r="Q403" s="187">
        <f>IF(ISERROR(1/VLOOKUP(M403,Capa!A:Z,6,0)),0,1/VLOOKUP(M403,Capa!A:Z,6,0))</f>
        <v>0</v>
      </c>
      <c r="R403" s="188">
        <f t="shared" si="6"/>
        <v>1.000001</v>
      </c>
      <c r="S403" s="189" t="str">
        <f t="shared" si="7"/>
        <v>#N/A</v>
      </c>
    </row>
    <row r="404">
      <c r="A404" s="190"/>
      <c r="B404" s="178" t="s">
        <v>3673</v>
      </c>
      <c r="C404" s="179" t="str">
        <f>VLOOKUP(B404,'Dados ClubeFII'!$A:$Z,26,0)</f>
        <v>#N/A</v>
      </c>
      <c r="D404" s="180" t="str">
        <f>VLOOKUP(B404,'Dados ClubeFII'!$A:$Z,20,0)/100</f>
        <v>#N/A</v>
      </c>
      <c r="E404" s="89" t="str">
        <f t="shared" si="1"/>
        <v>#N/A</v>
      </c>
      <c r="F404" s="181">
        <f>IF(ISERROR(1/VLOOKUP(B404,Capa!A:Z,13,0)),0,1/VLOOKUP(B404,Capa!A:Z,13,0))</f>
        <v>0</v>
      </c>
      <c r="G404" s="182">
        <f t="shared" si="2"/>
        <v>1.000001</v>
      </c>
      <c r="H404" s="183" t="str">
        <f t="shared" si="3"/>
        <v>#N/A</v>
      </c>
      <c r="M404" s="178" t="s">
        <v>3673</v>
      </c>
      <c r="N404" s="179" t="str">
        <f>VLOOKUP(M404,'Dados ClubeFII'!$A:$Z,26,0)</f>
        <v>#N/A</v>
      </c>
      <c r="O404" s="185" t="str">
        <f>VLOOKUP(M404,'Dados ClubeFII'!$A:$Z,18,0)/100</f>
        <v>#N/A</v>
      </c>
      <c r="P404" s="186" t="str">
        <f t="shared" si="5"/>
        <v>#N/A</v>
      </c>
      <c r="Q404" s="187">
        <f>IF(ISERROR(1/VLOOKUP(M404,Capa!A:Z,6,0)),0,1/VLOOKUP(M404,Capa!A:Z,6,0))</f>
        <v>0</v>
      </c>
      <c r="R404" s="188">
        <f t="shared" si="6"/>
        <v>1.000001</v>
      </c>
      <c r="S404" s="189" t="str">
        <f t="shared" si="7"/>
        <v>#N/A</v>
      </c>
    </row>
    <row r="405">
      <c r="A405" s="190"/>
      <c r="B405" s="178" t="s">
        <v>3674</v>
      </c>
      <c r="C405" s="179" t="str">
        <f>VLOOKUP(B405,'Dados ClubeFII'!$A:$Z,26,0)</f>
        <v>#N/A</v>
      </c>
      <c r="D405" s="180" t="str">
        <f>VLOOKUP(B405,'Dados ClubeFII'!$A:$Z,20,0)/100</f>
        <v>#N/A</v>
      </c>
      <c r="E405" s="89" t="str">
        <f t="shared" si="1"/>
        <v>#N/A</v>
      </c>
      <c r="F405" s="181">
        <f>IF(ISERROR(1/VLOOKUP(B405,Capa!A:Z,13,0)),0,1/VLOOKUP(B405,Capa!A:Z,13,0))</f>
        <v>0</v>
      </c>
      <c r="G405" s="182">
        <f t="shared" si="2"/>
        <v>1.000001</v>
      </c>
      <c r="H405" s="183" t="str">
        <f t="shared" si="3"/>
        <v>#N/A</v>
      </c>
      <c r="M405" s="178" t="s">
        <v>3674</v>
      </c>
      <c r="N405" s="179" t="str">
        <f>VLOOKUP(M405,'Dados ClubeFII'!$A:$Z,26,0)</f>
        <v>#N/A</v>
      </c>
      <c r="O405" s="185" t="str">
        <f>VLOOKUP(M405,'Dados ClubeFII'!$A:$Z,18,0)/100</f>
        <v>#N/A</v>
      </c>
      <c r="P405" s="186" t="str">
        <f t="shared" si="5"/>
        <v>#N/A</v>
      </c>
      <c r="Q405" s="187">
        <f>IF(ISERROR(1/VLOOKUP(M405,Capa!A:Z,6,0)),0,1/VLOOKUP(M405,Capa!A:Z,6,0))</f>
        <v>0</v>
      </c>
      <c r="R405" s="188">
        <f t="shared" si="6"/>
        <v>1.000001</v>
      </c>
      <c r="S405" s="189" t="str">
        <f t="shared" si="7"/>
        <v>#N/A</v>
      </c>
    </row>
    <row r="406">
      <c r="A406" s="190"/>
      <c r="B406" s="178" t="s">
        <v>3675</v>
      </c>
      <c r="C406" s="179" t="str">
        <f>VLOOKUP(B406,'Dados ClubeFII'!$A:$Z,26,0)</f>
        <v>#N/A</v>
      </c>
      <c r="D406" s="180" t="str">
        <f>VLOOKUP(B406,'Dados ClubeFII'!$A:$Z,20,0)/100</f>
        <v>#N/A</v>
      </c>
      <c r="E406" s="89" t="str">
        <f t="shared" si="1"/>
        <v>#N/A</v>
      </c>
      <c r="F406" s="181">
        <f>IF(ISERROR(1/VLOOKUP(B406,Capa!A:Z,13,0)),0,1/VLOOKUP(B406,Capa!A:Z,13,0))</f>
        <v>0</v>
      </c>
      <c r="G406" s="182">
        <f t="shared" si="2"/>
        <v>1.000001</v>
      </c>
      <c r="H406" s="183" t="str">
        <f t="shared" si="3"/>
        <v>#N/A</v>
      </c>
      <c r="M406" s="178" t="s">
        <v>3675</v>
      </c>
      <c r="N406" s="179" t="str">
        <f>VLOOKUP(M406,'Dados ClubeFII'!$A:$Z,26,0)</f>
        <v>#N/A</v>
      </c>
      <c r="O406" s="185" t="str">
        <f>VLOOKUP(M406,'Dados ClubeFII'!$A:$Z,18,0)/100</f>
        <v>#N/A</v>
      </c>
      <c r="P406" s="186" t="str">
        <f t="shared" si="5"/>
        <v>#N/A</v>
      </c>
      <c r="Q406" s="187">
        <f>IF(ISERROR(1/VLOOKUP(M406,Capa!A:Z,6,0)),0,1/VLOOKUP(M406,Capa!A:Z,6,0))</f>
        <v>0</v>
      </c>
      <c r="R406" s="188">
        <f t="shared" si="6"/>
        <v>1.000001</v>
      </c>
      <c r="S406" s="189" t="str">
        <f t="shared" si="7"/>
        <v>#N/A</v>
      </c>
    </row>
    <row r="407">
      <c r="A407" s="190"/>
      <c r="B407" s="178" t="s">
        <v>3676</v>
      </c>
      <c r="C407" s="179" t="str">
        <f>VLOOKUP(B407,'Dados ClubeFII'!$A:$Z,26,0)</f>
        <v>#N/A</v>
      </c>
      <c r="D407" s="180" t="str">
        <f>VLOOKUP(B407,'Dados ClubeFII'!$A:$Z,20,0)/100</f>
        <v>#N/A</v>
      </c>
      <c r="E407" s="89" t="str">
        <f t="shared" si="1"/>
        <v>#N/A</v>
      </c>
      <c r="F407" s="181">
        <f>IF(ISERROR(1/VLOOKUP(B407,Capa!A:Z,13,0)),0,1/VLOOKUP(B407,Capa!A:Z,13,0))</f>
        <v>0</v>
      </c>
      <c r="G407" s="182">
        <f t="shared" si="2"/>
        <v>1.000001</v>
      </c>
      <c r="H407" s="183" t="str">
        <f t="shared" si="3"/>
        <v>#N/A</v>
      </c>
      <c r="M407" s="178" t="s">
        <v>3676</v>
      </c>
      <c r="N407" s="179" t="str">
        <f>VLOOKUP(M407,'Dados ClubeFII'!$A:$Z,26,0)</f>
        <v>#N/A</v>
      </c>
      <c r="O407" s="185" t="str">
        <f>VLOOKUP(M407,'Dados ClubeFII'!$A:$Z,18,0)/100</f>
        <v>#N/A</v>
      </c>
      <c r="P407" s="186" t="str">
        <f t="shared" si="5"/>
        <v>#N/A</v>
      </c>
      <c r="Q407" s="187">
        <f>IF(ISERROR(1/VLOOKUP(M407,Capa!A:Z,6,0)),0,1/VLOOKUP(M407,Capa!A:Z,6,0))</f>
        <v>0</v>
      </c>
      <c r="R407" s="188">
        <f t="shared" si="6"/>
        <v>1.000001</v>
      </c>
      <c r="S407" s="189" t="str">
        <f t="shared" si="7"/>
        <v>#N/A</v>
      </c>
    </row>
    <row r="408">
      <c r="A408" s="190"/>
      <c r="B408" s="178" t="s">
        <v>3677</v>
      </c>
      <c r="C408" s="179" t="str">
        <f>VLOOKUP(B408,'Dados ClubeFII'!$A:$Z,26,0)</f>
        <v>#N/A</v>
      </c>
      <c r="D408" s="180" t="str">
        <f>VLOOKUP(B408,'Dados ClubeFII'!$A:$Z,20,0)/100</f>
        <v>#N/A</v>
      </c>
      <c r="E408" s="89" t="str">
        <f t="shared" si="1"/>
        <v>#N/A</v>
      </c>
      <c r="F408" s="181">
        <f>IF(ISERROR(1/VLOOKUP(B408,Capa!A:Z,13,0)),0,1/VLOOKUP(B408,Capa!A:Z,13,0))</f>
        <v>0</v>
      </c>
      <c r="G408" s="182">
        <f t="shared" si="2"/>
        <v>1.000001</v>
      </c>
      <c r="H408" s="183" t="str">
        <f t="shared" si="3"/>
        <v>#N/A</v>
      </c>
      <c r="M408" s="178" t="s">
        <v>3677</v>
      </c>
      <c r="N408" s="179" t="str">
        <f>VLOOKUP(M408,'Dados ClubeFII'!$A:$Z,26,0)</f>
        <v>#N/A</v>
      </c>
      <c r="O408" s="185" t="str">
        <f>VLOOKUP(M408,'Dados ClubeFII'!$A:$Z,18,0)/100</f>
        <v>#N/A</v>
      </c>
      <c r="P408" s="186" t="str">
        <f t="shared" si="5"/>
        <v>#N/A</v>
      </c>
      <c r="Q408" s="187">
        <f>IF(ISERROR(1/VLOOKUP(M408,Capa!A:Z,6,0)),0,1/VLOOKUP(M408,Capa!A:Z,6,0))</f>
        <v>0</v>
      </c>
      <c r="R408" s="188">
        <f t="shared" si="6"/>
        <v>1.000001</v>
      </c>
      <c r="S408" s="189" t="str">
        <f t="shared" si="7"/>
        <v>#N/A</v>
      </c>
    </row>
    <row r="409">
      <c r="A409" s="190"/>
      <c r="B409" s="178" t="s">
        <v>3678</v>
      </c>
      <c r="C409" s="179" t="str">
        <f>VLOOKUP(B409,'Dados ClubeFII'!$A:$Z,26,0)</f>
        <v>#N/A</v>
      </c>
      <c r="D409" s="180" t="str">
        <f>VLOOKUP(B409,'Dados ClubeFII'!$A:$Z,20,0)/100</f>
        <v>#N/A</v>
      </c>
      <c r="E409" s="89" t="str">
        <f t="shared" si="1"/>
        <v>#N/A</v>
      </c>
      <c r="F409" s="181">
        <f>IF(ISERROR(1/VLOOKUP(B409,Capa!A:Z,13,0)),0,1/VLOOKUP(B409,Capa!A:Z,13,0))</f>
        <v>0</v>
      </c>
      <c r="G409" s="182">
        <f t="shared" si="2"/>
        <v>1.000001</v>
      </c>
      <c r="H409" s="183" t="str">
        <f t="shared" si="3"/>
        <v>#N/A</v>
      </c>
      <c r="M409" s="178" t="s">
        <v>3678</v>
      </c>
      <c r="N409" s="179" t="str">
        <f>VLOOKUP(M409,'Dados ClubeFII'!$A:$Z,26,0)</f>
        <v>#N/A</v>
      </c>
      <c r="O409" s="185" t="str">
        <f>VLOOKUP(M409,'Dados ClubeFII'!$A:$Z,18,0)/100</f>
        <v>#N/A</v>
      </c>
      <c r="P409" s="186" t="str">
        <f t="shared" si="5"/>
        <v>#N/A</v>
      </c>
      <c r="Q409" s="187">
        <f>IF(ISERROR(1/VLOOKUP(M409,Capa!A:Z,6,0)),0,1/VLOOKUP(M409,Capa!A:Z,6,0))</f>
        <v>0</v>
      </c>
      <c r="R409" s="188">
        <f t="shared" si="6"/>
        <v>1.000001</v>
      </c>
      <c r="S409" s="189" t="str">
        <f t="shared" si="7"/>
        <v>#N/A</v>
      </c>
    </row>
    <row r="410">
      <c r="A410" s="190"/>
      <c r="B410" s="178" t="s">
        <v>3679</v>
      </c>
      <c r="C410" s="179" t="str">
        <f>VLOOKUP(B410,'Dados ClubeFII'!$A:$Z,26,0)</f>
        <v>#N/A</v>
      </c>
      <c r="D410" s="180" t="str">
        <f>VLOOKUP(B410,'Dados ClubeFII'!$A:$Z,20,0)/100</f>
        <v>#N/A</v>
      </c>
      <c r="E410" s="89" t="str">
        <f t="shared" si="1"/>
        <v>#N/A</v>
      </c>
      <c r="F410" s="181">
        <f>IF(ISERROR(1/VLOOKUP(B410,Capa!A:Z,13,0)),0,1/VLOOKUP(B410,Capa!A:Z,13,0))</f>
        <v>0</v>
      </c>
      <c r="G410" s="182">
        <f t="shared" si="2"/>
        <v>1.000001</v>
      </c>
      <c r="H410" s="183" t="str">
        <f t="shared" si="3"/>
        <v>#N/A</v>
      </c>
      <c r="M410" s="178" t="s">
        <v>3679</v>
      </c>
      <c r="N410" s="179" t="str">
        <f>VLOOKUP(M410,'Dados ClubeFII'!$A:$Z,26,0)</f>
        <v>#N/A</v>
      </c>
      <c r="O410" s="185" t="str">
        <f>VLOOKUP(M410,'Dados ClubeFII'!$A:$Z,18,0)/100</f>
        <v>#N/A</v>
      </c>
      <c r="P410" s="186" t="str">
        <f t="shared" si="5"/>
        <v>#N/A</v>
      </c>
      <c r="Q410" s="187">
        <f>IF(ISERROR(1/VLOOKUP(M410,Capa!A:Z,6,0)),0,1/VLOOKUP(M410,Capa!A:Z,6,0))</f>
        <v>0</v>
      </c>
      <c r="R410" s="188">
        <f t="shared" si="6"/>
        <v>1.000001</v>
      </c>
      <c r="S410" s="189" t="str">
        <f t="shared" si="7"/>
        <v>#N/A</v>
      </c>
    </row>
    <row r="411">
      <c r="A411" s="190"/>
      <c r="B411" s="178" t="s">
        <v>3680</v>
      </c>
      <c r="C411" s="179" t="str">
        <f>VLOOKUP(B411,'Dados ClubeFII'!$A:$Z,26,0)</f>
        <v>#N/A</v>
      </c>
      <c r="D411" s="180" t="str">
        <f>VLOOKUP(B411,'Dados ClubeFII'!$A:$Z,20,0)/100</f>
        <v>#N/A</v>
      </c>
      <c r="E411" s="89" t="str">
        <f t="shared" si="1"/>
        <v>#N/A</v>
      </c>
      <c r="F411" s="181">
        <f>IF(ISERROR(1/VLOOKUP(B411,Capa!A:Z,13,0)),0,1/VLOOKUP(B411,Capa!A:Z,13,0))</f>
        <v>0</v>
      </c>
      <c r="G411" s="182">
        <f t="shared" si="2"/>
        <v>1.000001</v>
      </c>
      <c r="H411" s="183" t="str">
        <f t="shared" si="3"/>
        <v>#N/A</v>
      </c>
      <c r="M411" s="178" t="s">
        <v>3680</v>
      </c>
      <c r="N411" s="179" t="str">
        <f>VLOOKUP(M411,'Dados ClubeFII'!$A:$Z,26,0)</f>
        <v>#N/A</v>
      </c>
      <c r="O411" s="185" t="str">
        <f>VLOOKUP(M411,'Dados ClubeFII'!$A:$Z,18,0)/100</f>
        <v>#N/A</v>
      </c>
      <c r="P411" s="186" t="str">
        <f t="shared" si="5"/>
        <v>#N/A</v>
      </c>
      <c r="Q411" s="187">
        <f>IF(ISERROR(1/VLOOKUP(M411,Capa!A:Z,6,0)),0,1/VLOOKUP(M411,Capa!A:Z,6,0))</f>
        <v>0</v>
      </c>
      <c r="R411" s="188">
        <f t="shared" si="6"/>
        <v>1.000001</v>
      </c>
      <c r="S411" s="189" t="str">
        <f t="shared" si="7"/>
        <v>#N/A</v>
      </c>
    </row>
    <row r="412">
      <c r="A412" s="190"/>
      <c r="B412" s="178" t="s">
        <v>3681</v>
      </c>
      <c r="C412" s="179" t="str">
        <f>VLOOKUP(B412,'Dados ClubeFII'!$A:$Z,26,0)</f>
        <v>#N/A</v>
      </c>
      <c r="D412" s="180" t="str">
        <f>VLOOKUP(B412,'Dados ClubeFII'!$A:$Z,20,0)/100</f>
        <v>#N/A</v>
      </c>
      <c r="E412" s="89" t="str">
        <f t="shared" si="1"/>
        <v>#N/A</v>
      </c>
      <c r="F412" s="181">
        <f>IF(ISERROR(1/VLOOKUP(B412,Capa!A:Z,13,0)),0,1/VLOOKUP(B412,Capa!A:Z,13,0))</f>
        <v>0</v>
      </c>
      <c r="G412" s="182">
        <f t="shared" si="2"/>
        <v>1.000001</v>
      </c>
      <c r="H412" s="183" t="str">
        <f t="shared" si="3"/>
        <v>#N/A</v>
      </c>
      <c r="M412" s="178" t="s">
        <v>3681</v>
      </c>
      <c r="N412" s="179" t="str">
        <f>VLOOKUP(M412,'Dados ClubeFII'!$A:$Z,26,0)</f>
        <v>#N/A</v>
      </c>
      <c r="O412" s="185" t="str">
        <f>VLOOKUP(M412,'Dados ClubeFII'!$A:$Z,18,0)/100</f>
        <v>#N/A</v>
      </c>
      <c r="P412" s="186" t="str">
        <f t="shared" si="5"/>
        <v>#N/A</v>
      </c>
      <c r="Q412" s="187">
        <f>IF(ISERROR(1/VLOOKUP(M412,Capa!A:Z,6,0)),0,1/VLOOKUP(M412,Capa!A:Z,6,0))</f>
        <v>0</v>
      </c>
      <c r="R412" s="188">
        <f t="shared" si="6"/>
        <v>1.000001</v>
      </c>
      <c r="S412" s="189" t="str">
        <f t="shared" si="7"/>
        <v>#N/A</v>
      </c>
    </row>
    <row r="413">
      <c r="A413" s="190"/>
      <c r="B413" s="178" t="s">
        <v>3682</v>
      </c>
      <c r="C413" s="179" t="str">
        <f>VLOOKUP(B413,'Dados ClubeFII'!$A:$Z,26,0)</f>
        <v>#N/A</v>
      </c>
      <c r="D413" s="180" t="str">
        <f>VLOOKUP(B413,'Dados ClubeFII'!$A:$Z,20,0)/100</f>
        <v>#N/A</v>
      </c>
      <c r="E413" s="89" t="str">
        <f t="shared" si="1"/>
        <v>#N/A</v>
      </c>
      <c r="F413" s="181">
        <f>IF(ISERROR(1/VLOOKUP(B413,Capa!A:Z,13,0)),0,1/VLOOKUP(B413,Capa!A:Z,13,0))</f>
        <v>0</v>
      </c>
      <c r="G413" s="182">
        <f t="shared" si="2"/>
        <v>1.000001</v>
      </c>
      <c r="H413" s="183" t="str">
        <f t="shared" si="3"/>
        <v>#N/A</v>
      </c>
      <c r="M413" s="178" t="s">
        <v>3682</v>
      </c>
      <c r="N413" s="179" t="str">
        <f>VLOOKUP(M413,'Dados ClubeFII'!$A:$Z,26,0)</f>
        <v>#N/A</v>
      </c>
      <c r="O413" s="185" t="str">
        <f>VLOOKUP(M413,'Dados ClubeFII'!$A:$Z,18,0)/100</f>
        <v>#N/A</v>
      </c>
      <c r="P413" s="186" t="str">
        <f t="shared" si="5"/>
        <v>#N/A</v>
      </c>
      <c r="Q413" s="187">
        <f>IF(ISERROR(1/VLOOKUP(M413,Capa!A:Z,6,0)),0,1/VLOOKUP(M413,Capa!A:Z,6,0))</f>
        <v>0</v>
      </c>
      <c r="R413" s="188">
        <f t="shared" si="6"/>
        <v>1.000001</v>
      </c>
      <c r="S413" s="189" t="str">
        <f t="shared" si="7"/>
        <v>#N/A</v>
      </c>
    </row>
    <row r="414">
      <c r="A414" s="190"/>
      <c r="B414" s="178" t="s">
        <v>3683</v>
      </c>
      <c r="C414" s="179" t="str">
        <f>VLOOKUP(B414,'Dados ClubeFII'!$A:$Z,26,0)</f>
        <v>#N/A</v>
      </c>
      <c r="D414" s="180" t="str">
        <f>VLOOKUP(B414,'Dados ClubeFII'!$A:$Z,20,0)/100</f>
        <v>#N/A</v>
      </c>
      <c r="E414" s="89" t="str">
        <f t="shared" si="1"/>
        <v>#N/A</v>
      </c>
      <c r="F414" s="181">
        <f>IF(ISERROR(1/VLOOKUP(B414,Capa!A:Z,13,0)),0,1/VLOOKUP(B414,Capa!A:Z,13,0))</f>
        <v>0</v>
      </c>
      <c r="G414" s="182">
        <f t="shared" si="2"/>
        <v>1.000001</v>
      </c>
      <c r="H414" s="183" t="str">
        <f t="shared" si="3"/>
        <v>#N/A</v>
      </c>
      <c r="M414" s="178" t="s">
        <v>3683</v>
      </c>
      <c r="N414" s="179" t="str">
        <f>VLOOKUP(M414,'Dados ClubeFII'!$A:$Z,26,0)</f>
        <v>#N/A</v>
      </c>
      <c r="O414" s="185" t="str">
        <f>VLOOKUP(M414,'Dados ClubeFII'!$A:$Z,18,0)/100</f>
        <v>#N/A</v>
      </c>
      <c r="P414" s="186" t="str">
        <f t="shared" si="5"/>
        <v>#N/A</v>
      </c>
      <c r="Q414" s="187">
        <f>IF(ISERROR(1/VLOOKUP(M414,Capa!A:Z,6,0)),0,1/VLOOKUP(M414,Capa!A:Z,6,0))</f>
        <v>0</v>
      </c>
      <c r="R414" s="188">
        <f t="shared" si="6"/>
        <v>1.000001</v>
      </c>
      <c r="S414" s="189" t="str">
        <f t="shared" si="7"/>
        <v>#N/A</v>
      </c>
    </row>
    <row r="415">
      <c r="A415" s="190"/>
      <c r="B415" s="178" t="s">
        <v>3684</v>
      </c>
      <c r="C415" s="179" t="str">
        <f>VLOOKUP(B415,'Dados ClubeFII'!$A:$Z,26,0)</f>
        <v>#N/A</v>
      </c>
      <c r="D415" s="180" t="str">
        <f>VLOOKUP(B415,'Dados ClubeFII'!$A:$Z,20,0)/100</f>
        <v>#N/A</v>
      </c>
      <c r="E415" s="89" t="str">
        <f t="shared" si="1"/>
        <v>#N/A</v>
      </c>
      <c r="F415" s="181">
        <f>IF(ISERROR(1/VLOOKUP(B415,Capa!A:Z,13,0)),0,1/VLOOKUP(B415,Capa!A:Z,13,0))</f>
        <v>0</v>
      </c>
      <c r="G415" s="182">
        <f t="shared" si="2"/>
        <v>1.000001</v>
      </c>
      <c r="H415" s="183" t="str">
        <f t="shared" si="3"/>
        <v>#N/A</v>
      </c>
      <c r="M415" s="178" t="s">
        <v>3684</v>
      </c>
      <c r="N415" s="179" t="str">
        <f>VLOOKUP(M415,'Dados ClubeFII'!$A:$Z,26,0)</f>
        <v>#N/A</v>
      </c>
      <c r="O415" s="185" t="str">
        <f>VLOOKUP(M415,'Dados ClubeFII'!$A:$Z,18,0)/100</f>
        <v>#N/A</v>
      </c>
      <c r="P415" s="186" t="str">
        <f t="shared" si="5"/>
        <v>#N/A</v>
      </c>
      <c r="Q415" s="187">
        <f>IF(ISERROR(1/VLOOKUP(M415,Capa!A:Z,6,0)),0,1/VLOOKUP(M415,Capa!A:Z,6,0))</f>
        <v>0</v>
      </c>
      <c r="R415" s="188">
        <f t="shared" si="6"/>
        <v>1.000001</v>
      </c>
      <c r="S415" s="189" t="str">
        <f t="shared" si="7"/>
        <v>#N/A</v>
      </c>
    </row>
    <row r="416">
      <c r="A416" s="190"/>
      <c r="B416" s="178" t="s">
        <v>3685</v>
      </c>
      <c r="C416" s="179" t="str">
        <f>VLOOKUP(B416,'Dados ClubeFII'!$A:$Z,26,0)</f>
        <v>#N/A</v>
      </c>
      <c r="D416" s="180" t="str">
        <f>VLOOKUP(B416,'Dados ClubeFII'!$A:$Z,20,0)/100</f>
        <v>#N/A</v>
      </c>
      <c r="E416" s="89" t="str">
        <f t="shared" si="1"/>
        <v>#N/A</v>
      </c>
      <c r="F416" s="181">
        <f>IF(ISERROR(1/VLOOKUP(B416,Capa!A:Z,13,0)),0,1/VLOOKUP(B416,Capa!A:Z,13,0))</f>
        <v>0</v>
      </c>
      <c r="G416" s="182">
        <f t="shared" si="2"/>
        <v>1.000001</v>
      </c>
      <c r="H416" s="183" t="str">
        <f t="shared" si="3"/>
        <v>#N/A</v>
      </c>
      <c r="M416" s="178" t="s">
        <v>3685</v>
      </c>
      <c r="N416" s="179" t="str">
        <f>VLOOKUP(M416,'Dados ClubeFII'!$A:$Z,26,0)</f>
        <v>#N/A</v>
      </c>
      <c r="O416" s="185" t="str">
        <f>VLOOKUP(M416,'Dados ClubeFII'!$A:$Z,18,0)/100</f>
        <v>#N/A</v>
      </c>
      <c r="P416" s="186" t="str">
        <f t="shared" si="5"/>
        <v>#N/A</v>
      </c>
      <c r="Q416" s="187">
        <f>IF(ISERROR(1/VLOOKUP(M416,Capa!A:Z,6,0)),0,1/VLOOKUP(M416,Capa!A:Z,6,0))</f>
        <v>0</v>
      </c>
      <c r="R416" s="188">
        <f t="shared" si="6"/>
        <v>1.000001</v>
      </c>
      <c r="S416" s="189" t="str">
        <f t="shared" si="7"/>
        <v>#N/A</v>
      </c>
    </row>
    <row r="417">
      <c r="A417" s="190"/>
      <c r="B417" s="178" t="s">
        <v>3686</v>
      </c>
      <c r="C417" s="179" t="str">
        <f>VLOOKUP(B417,'Dados ClubeFII'!$A:$Z,26,0)</f>
        <v>#N/A</v>
      </c>
      <c r="D417" s="180" t="str">
        <f>VLOOKUP(B417,'Dados ClubeFII'!$A:$Z,20,0)/100</f>
        <v>#N/A</v>
      </c>
      <c r="E417" s="89" t="str">
        <f t="shared" si="1"/>
        <v>#N/A</v>
      </c>
      <c r="F417" s="181">
        <f>IF(ISERROR(1/VLOOKUP(B417,Capa!A:Z,13,0)),0,1/VLOOKUP(B417,Capa!A:Z,13,0))</f>
        <v>0</v>
      </c>
      <c r="G417" s="182">
        <f t="shared" si="2"/>
        <v>1.000001</v>
      </c>
      <c r="H417" s="183" t="str">
        <f t="shared" si="3"/>
        <v>#N/A</v>
      </c>
      <c r="M417" s="178" t="s">
        <v>3686</v>
      </c>
      <c r="N417" s="179" t="str">
        <f>VLOOKUP(M417,'Dados ClubeFII'!$A:$Z,26,0)</f>
        <v>#N/A</v>
      </c>
      <c r="O417" s="185" t="str">
        <f>VLOOKUP(M417,'Dados ClubeFII'!$A:$Z,18,0)/100</f>
        <v>#N/A</v>
      </c>
      <c r="P417" s="186" t="str">
        <f t="shared" si="5"/>
        <v>#N/A</v>
      </c>
      <c r="Q417" s="187">
        <f>IF(ISERROR(1/VLOOKUP(M417,Capa!A:Z,6,0)),0,1/VLOOKUP(M417,Capa!A:Z,6,0))</f>
        <v>0</v>
      </c>
      <c r="R417" s="188">
        <f t="shared" si="6"/>
        <v>1.000001</v>
      </c>
      <c r="S417" s="189" t="str">
        <f t="shared" si="7"/>
        <v>#N/A</v>
      </c>
    </row>
    <row r="418">
      <c r="A418" s="190"/>
      <c r="B418" s="178" t="s">
        <v>3687</v>
      </c>
      <c r="C418" s="179" t="str">
        <f>VLOOKUP(B418,'Dados ClubeFII'!$A:$Z,26,0)</f>
        <v>#N/A</v>
      </c>
      <c r="D418" s="180" t="str">
        <f>VLOOKUP(B418,'Dados ClubeFII'!$A:$Z,20,0)/100</f>
        <v>#N/A</v>
      </c>
      <c r="E418" s="89" t="str">
        <f t="shared" si="1"/>
        <v>#N/A</v>
      </c>
      <c r="F418" s="181">
        <f>IF(ISERROR(1/VLOOKUP(B418,Capa!A:Z,13,0)),0,1/VLOOKUP(B418,Capa!A:Z,13,0))</f>
        <v>0</v>
      </c>
      <c r="G418" s="182">
        <f t="shared" si="2"/>
        <v>1.000001</v>
      </c>
      <c r="H418" s="183" t="str">
        <f t="shared" si="3"/>
        <v>#N/A</v>
      </c>
      <c r="M418" s="178" t="s">
        <v>3687</v>
      </c>
      <c r="N418" s="179" t="str">
        <f>VLOOKUP(M418,'Dados ClubeFII'!$A:$Z,26,0)</f>
        <v>#N/A</v>
      </c>
      <c r="O418" s="185" t="str">
        <f>VLOOKUP(M418,'Dados ClubeFII'!$A:$Z,18,0)/100</f>
        <v>#N/A</v>
      </c>
      <c r="P418" s="186" t="str">
        <f t="shared" si="5"/>
        <v>#N/A</v>
      </c>
      <c r="Q418" s="187">
        <f>IF(ISERROR(1/VLOOKUP(M418,Capa!A:Z,6,0)),0,1/VLOOKUP(M418,Capa!A:Z,6,0))</f>
        <v>0</v>
      </c>
      <c r="R418" s="188">
        <f t="shared" si="6"/>
        <v>1.000001</v>
      </c>
      <c r="S418" s="189" t="str">
        <f t="shared" si="7"/>
        <v>#N/A</v>
      </c>
    </row>
    <row r="419">
      <c r="A419" s="190"/>
      <c r="B419" s="178" t="s">
        <v>3688</v>
      </c>
      <c r="C419" s="179" t="str">
        <f>VLOOKUP(B419,'Dados ClubeFII'!$A:$Z,26,0)</f>
        <v>#N/A</v>
      </c>
      <c r="D419" s="180" t="str">
        <f>VLOOKUP(B419,'Dados ClubeFII'!$A:$Z,20,0)/100</f>
        <v>#N/A</v>
      </c>
      <c r="E419" s="89" t="str">
        <f t="shared" si="1"/>
        <v>#N/A</v>
      </c>
      <c r="F419" s="181">
        <f>IF(ISERROR(1/VLOOKUP(B419,Capa!A:Z,13,0)),0,1/VLOOKUP(B419,Capa!A:Z,13,0))</f>
        <v>0</v>
      </c>
      <c r="G419" s="182">
        <f t="shared" si="2"/>
        <v>1.000001</v>
      </c>
      <c r="H419" s="183" t="str">
        <f t="shared" si="3"/>
        <v>#N/A</v>
      </c>
      <c r="M419" s="178" t="s">
        <v>3688</v>
      </c>
      <c r="N419" s="179" t="str">
        <f>VLOOKUP(M419,'Dados ClubeFII'!$A:$Z,26,0)</f>
        <v>#N/A</v>
      </c>
      <c r="O419" s="185" t="str">
        <f>VLOOKUP(M419,'Dados ClubeFII'!$A:$Z,18,0)/100</f>
        <v>#N/A</v>
      </c>
      <c r="P419" s="186" t="str">
        <f t="shared" si="5"/>
        <v>#N/A</v>
      </c>
      <c r="Q419" s="187">
        <f>IF(ISERROR(1/VLOOKUP(M419,Capa!A:Z,6,0)),0,1/VLOOKUP(M419,Capa!A:Z,6,0))</f>
        <v>0</v>
      </c>
      <c r="R419" s="188">
        <f t="shared" si="6"/>
        <v>1.000001</v>
      </c>
      <c r="S419" s="189" t="str">
        <f t="shared" si="7"/>
        <v>#N/A</v>
      </c>
    </row>
    <row r="420">
      <c r="A420" s="190"/>
      <c r="B420" s="178" t="s">
        <v>3689</v>
      </c>
      <c r="C420" s="191" t="str">
        <f>VLOOKUP(B420,'Dados ClubeFII'!$A:$Z,26,0)</f>
        <v>#N/A</v>
      </c>
      <c r="D420" s="180" t="str">
        <f>VLOOKUP(B420,'Dados ClubeFII'!$A:$Z,20,0)/100</f>
        <v>#N/A</v>
      </c>
      <c r="E420" s="89" t="str">
        <f t="shared" si="1"/>
        <v>#N/A</v>
      </c>
      <c r="F420" s="181">
        <f>IF(ISERROR(1/VLOOKUP(B420,Capa!A:Z,13,0)),0,1/VLOOKUP(B420,Capa!A:Z,13,0))</f>
        <v>0</v>
      </c>
      <c r="G420" s="182">
        <f t="shared" si="2"/>
        <v>1.000001</v>
      </c>
      <c r="H420" s="183" t="str">
        <f t="shared" si="3"/>
        <v>#N/A</v>
      </c>
      <c r="M420" s="178" t="s">
        <v>3689</v>
      </c>
      <c r="N420" s="179" t="str">
        <f>VLOOKUP(M420,'Dados ClubeFII'!$A:$Z,26,0)</f>
        <v>#N/A</v>
      </c>
      <c r="O420" s="185" t="str">
        <f>VLOOKUP(M420,'Dados ClubeFII'!$A:$Z,18,0)/100</f>
        <v>#N/A</v>
      </c>
      <c r="P420" s="186" t="str">
        <f t="shared" si="5"/>
        <v>#N/A</v>
      </c>
      <c r="Q420" s="187">
        <f>IF(ISERROR(1/VLOOKUP(M420,Capa!A:Z,6,0)),0,1/VLOOKUP(M420,Capa!A:Z,6,0))</f>
        <v>0</v>
      </c>
      <c r="R420" s="188">
        <f t="shared" si="6"/>
        <v>1.000001</v>
      </c>
      <c r="S420" s="189" t="str">
        <f t="shared" si="7"/>
        <v>#N/A</v>
      </c>
    </row>
    <row r="421">
      <c r="A421" s="190"/>
      <c r="B421" s="178" t="s">
        <v>3690</v>
      </c>
      <c r="C421" s="191" t="str">
        <f>VLOOKUP(B421,'Dados ClubeFII'!$A:$Z,26,0)</f>
        <v>#N/A</v>
      </c>
      <c r="D421" s="180" t="str">
        <f>VLOOKUP(B421,'Dados ClubeFII'!$A:$Z,20,0)/100</f>
        <v>#N/A</v>
      </c>
      <c r="E421" s="89" t="str">
        <f t="shared" si="1"/>
        <v>#N/A</v>
      </c>
      <c r="F421" s="181">
        <f>IF(ISERROR(1/VLOOKUP(B421,Capa!A:Z,13,0)),0,1/VLOOKUP(B421,Capa!A:Z,13,0))</f>
        <v>0</v>
      </c>
      <c r="G421" s="182">
        <f t="shared" si="2"/>
        <v>1.000001</v>
      </c>
      <c r="H421" s="183" t="str">
        <f t="shared" si="3"/>
        <v>#N/A</v>
      </c>
      <c r="M421" s="178" t="s">
        <v>3690</v>
      </c>
      <c r="N421" s="179" t="str">
        <f>VLOOKUP(M421,'Dados ClubeFII'!$A:$Z,26,0)</f>
        <v>#N/A</v>
      </c>
      <c r="O421" s="185" t="str">
        <f>VLOOKUP(M421,'Dados ClubeFII'!$A:$Z,18,0)/100</f>
        <v>#N/A</v>
      </c>
      <c r="P421" s="186" t="str">
        <f t="shared" si="5"/>
        <v>#N/A</v>
      </c>
      <c r="Q421" s="187">
        <f>IF(ISERROR(1/VLOOKUP(M421,Capa!A:Z,6,0)),0,1/VLOOKUP(M421,Capa!A:Z,6,0))</f>
        <v>0</v>
      </c>
      <c r="R421" s="188">
        <f t="shared" si="6"/>
        <v>1.000001</v>
      </c>
      <c r="S421" s="189" t="str">
        <f t="shared" si="7"/>
        <v>#N/A</v>
      </c>
    </row>
    <row r="422">
      <c r="A422" s="190"/>
      <c r="B422" s="178" t="s">
        <v>3691</v>
      </c>
      <c r="C422" s="191" t="str">
        <f>VLOOKUP(B422,'Dados ClubeFII'!$A:$Z,26,0)</f>
        <v>#N/A</v>
      </c>
      <c r="D422" s="180" t="str">
        <f>VLOOKUP(B422,'Dados ClubeFII'!$A:$Z,20,0)/100</f>
        <v>#N/A</v>
      </c>
      <c r="E422" s="89" t="str">
        <f t="shared" si="1"/>
        <v>#N/A</v>
      </c>
      <c r="F422" s="181">
        <f>IF(ISERROR(1/VLOOKUP(B422,Capa!A:Z,13,0)),0,1/VLOOKUP(B422,Capa!A:Z,13,0))</f>
        <v>0</v>
      </c>
      <c r="G422" s="182">
        <f t="shared" si="2"/>
        <v>1.000001</v>
      </c>
      <c r="H422" s="183" t="str">
        <f t="shared" si="3"/>
        <v>#N/A</v>
      </c>
      <c r="M422" s="178" t="s">
        <v>3691</v>
      </c>
      <c r="N422" s="179" t="str">
        <f>VLOOKUP(M422,'Dados ClubeFII'!$A:$Z,26,0)</f>
        <v>#N/A</v>
      </c>
      <c r="O422" s="185" t="str">
        <f>VLOOKUP(M422,'Dados ClubeFII'!$A:$Z,18,0)/100</f>
        <v>#N/A</v>
      </c>
      <c r="P422" s="186" t="str">
        <f t="shared" si="5"/>
        <v>#N/A</v>
      </c>
      <c r="Q422" s="187">
        <f>IF(ISERROR(1/VLOOKUP(M422,Capa!A:Z,6,0)),0,1/VLOOKUP(M422,Capa!A:Z,6,0))</f>
        <v>0</v>
      </c>
      <c r="R422" s="188">
        <f t="shared" si="6"/>
        <v>1.000001</v>
      </c>
      <c r="S422" s="189" t="str">
        <f t="shared" si="7"/>
        <v>#N/A</v>
      </c>
    </row>
    <row r="423">
      <c r="A423" s="155"/>
      <c r="B423" s="178" t="s">
        <v>3692</v>
      </c>
      <c r="C423" s="191" t="str">
        <f>VLOOKUP(B423,'Dados ClubeFII'!$A:$Z,26,0)</f>
        <v>#N/A</v>
      </c>
      <c r="D423" s="180" t="str">
        <f>VLOOKUP(B423,'Dados ClubeFII'!$A:$Z,20,0)/100</f>
        <v>#N/A</v>
      </c>
      <c r="E423" s="89" t="str">
        <f t="shared" si="1"/>
        <v>#N/A</v>
      </c>
      <c r="F423" s="181">
        <f>IF(ISERROR(1/VLOOKUP(B423,Capa!A:Z,13,0)),0,1/VLOOKUP(B423,Capa!A:Z,13,0))</f>
        <v>0</v>
      </c>
      <c r="G423" s="182">
        <f t="shared" si="2"/>
        <v>1.000001</v>
      </c>
      <c r="H423" s="183" t="str">
        <f t="shared" si="3"/>
        <v>#N/A</v>
      </c>
      <c r="M423" s="178" t="s">
        <v>3692</v>
      </c>
      <c r="N423" s="179" t="str">
        <f>VLOOKUP(M423,'Dados ClubeFII'!$A:$Z,26,0)</f>
        <v>#N/A</v>
      </c>
      <c r="O423" s="185" t="str">
        <f>VLOOKUP(M423,'Dados ClubeFII'!$A:$Z,18,0)/100</f>
        <v>#N/A</v>
      </c>
      <c r="P423" s="186" t="str">
        <f t="shared" si="5"/>
        <v>#N/A</v>
      </c>
      <c r="Q423" s="187">
        <f>IF(ISERROR(1/VLOOKUP(M423,Capa!A:Z,6,0)),0,1/VLOOKUP(M423,Capa!A:Z,6,0))</f>
        <v>0</v>
      </c>
      <c r="R423" s="188">
        <f t="shared" si="6"/>
        <v>1.000001</v>
      </c>
      <c r="S423" s="189" t="str">
        <f t="shared" si="7"/>
        <v>#N/A</v>
      </c>
    </row>
    <row r="424">
      <c r="A424" s="155"/>
      <c r="B424" s="178" t="s">
        <v>3693</v>
      </c>
      <c r="C424" s="191" t="str">
        <f>VLOOKUP(B424,'Dados ClubeFII'!$A:$Z,26,0)</f>
        <v>#N/A</v>
      </c>
      <c r="D424" s="180" t="str">
        <f>VLOOKUP(B424,'Dados ClubeFII'!$A:$Z,20,0)/100</f>
        <v>#N/A</v>
      </c>
      <c r="E424" s="89" t="str">
        <f t="shared" si="1"/>
        <v>#N/A</v>
      </c>
      <c r="F424" s="181">
        <f>IF(ISERROR(1/VLOOKUP(B424,Capa!A:Z,13,0)),0,1/VLOOKUP(B424,Capa!A:Z,13,0))</f>
        <v>0</v>
      </c>
      <c r="G424" s="182">
        <f t="shared" si="2"/>
        <v>1.000001</v>
      </c>
      <c r="H424" s="183" t="str">
        <f t="shared" si="3"/>
        <v>#N/A</v>
      </c>
      <c r="M424" s="178" t="s">
        <v>3693</v>
      </c>
      <c r="N424" s="179" t="str">
        <f>VLOOKUP(M424,'Dados ClubeFII'!$A:$Z,26,0)</f>
        <v>#N/A</v>
      </c>
      <c r="O424" s="185" t="str">
        <f>VLOOKUP(M424,'Dados ClubeFII'!$A:$Z,18,0)/100</f>
        <v>#N/A</v>
      </c>
      <c r="P424" s="186" t="str">
        <f t="shared" si="5"/>
        <v>#N/A</v>
      </c>
      <c r="Q424" s="187">
        <f>IF(ISERROR(1/VLOOKUP(M424,Capa!A:Z,6,0)),0,1/VLOOKUP(M424,Capa!A:Z,6,0))</f>
        <v>0</v>
      </c>
      <c r="R424" s="188">
        <f t="shared" si="6"/>
        <v>1.000001</v>
      </c>
      <c r="S424" s="189" t="str">
        <f t="shared" si="7"/>
        <v>#N/A</v>
      </c>
    </row>
    <row r="425">
      <c r="A425" s="155"/>
      <c r="B425" s="178" t="s">
        <v>3694</v>
      </c>
      <c r="C425" s="191" t="str">
        <f>VLOOKUP(B425,'Dados ClubeFII'!$A:$Z,26,0)</f>
        <v>#N/A</v>
      </c>
      <c r="D425" s="180" t="str">
        <f>VLOOKUP(B425,'Dados ClubeFII'!$A:$Z,20,0)/100</f>
        <v>#N/A</v>
      </c>
      <c r="E425" s="89" t="str">
        <f t="shared" si="1"/>
        <v>#N/A</v>
      </c>
      <c r="F425" s="181">
        <f>IF(ISERROR(1/VLOOKUP(B425,Capa!A:Z,13,0)),0,1/VLOOKUP(B425,Capa!A:Z,13,0))</f>
        <v>0</v>
      </c>
      <c r="G425" s="182">
        <f t="shared" si="2"/>
        <v>1.000001</v>
      </c>
      <c r="H425" s="183" t="str">
        <f t="shared" si="3"/>
        <v>#N/A</v>
      </c>
      <c r="M425" s="178" t="s">
        <v>3694</v>
      </c>
      <c r="N425" s="179" t="str">
        <f>VLOOKUP(M425,'Dados ClubeFII'!$A:$Z,26,0)</f>
        <v>#N/A</v>
      </c>
      <c r="O425" s="185" t="str">
        <f>VLOOKUP(M425,'Dados ClubeFII'!$A:$Z,18,0)/100</f>
        <v>#N/A</v>
      </c>
      <c r="P425" s="186" t="str">
        <f t="shared" si="5"/>
        <v>#N/A</v>
      </c>
      <c r="Q425" s="187">
        <f>IF(ISERROR(1/VLOOKUP(M425,Capa!A:Z,6,0)),0,1/VLOOKUP(M425,Capa!A:Z,6,0))</f>
        <v>0</v>
      </c>
      <c r="R425" s="188">
        <f t="shared" si="6"/>
        <v>1.000001</v>
      </c>
      <c r="S425" s="189" t="str">
        <f t="shared" si="7"/>
        <v>#N/A</v>
      </c>
    </row>
    <row r="426">
      <c r="A426" s="155"/>
      <c r="B426" s="178" t="s">
        <v>3695</v>
      </c>
      <c r="C426" s="191" t="str">
        <f>VLOOKUP(B426,'Dados ClubeFII'!$A:$Z,26,0)</f>
        <v>#N/A</v>
      </c>
      <c r="D426" s="180" t="str">
        <f>VLOOKUP(B426,'Dados ClubeFII'!$A:$Z,20,0)/100</f>
        <v>#N/A</v>
      </c>
      <c r="E426" s="89" t="str">
        <f t="shared" si="1"/>
        <v>#N/A</v>
      </c>
      <c r="F426" s="181">
        <f>IF(ISERROR(1/VLOOKUP(B426,Capa!A:Z,13,0)),0,1/VLOOKUP(B426,Capa!A:Z,13,0))</f>
        <v>0</v>
      </c>
      <c r="G426" s="182">
        <f t="shared" si="2"/>
        <v>1.000001</v>
      </c>
      <c r="H426" s="183" t="str">
        <f t="shared" si="3"/>
        <v>#N/A</v>
      </c>
      <c r="M426" s="178" t="s">
        <v>3695</v>
      </c>
      <c r="N426" s="179" t="str">
        <f>VLOOKUP(M426,'Dados ClubeFII'!$A:$Z,26,0)</f>
        <v>#N/A</v>
      </c>
      <c r="O426" s="185" t="str">
        <f>VLOOKUP(M426,'Dados ClubeFII'!$A:$Z,18,0)/100</f>
        <v>#N/A</v>
      </c>
      <c r="P426" s="186" t="str">
        <f t="shared" si="5"/>
        <v>#N/A</v>
      </c>
      <c r="Q426" s="187">
        <f>IF(ISERROR(1/VLOOKUP(M426,Capa!A:Z,6,0)),0,1/VLOOKUP(M426,Capa!A:Z,6,0))</f>
        <v>0</v>
      </c>
      <c r="R426" s="188">
        <f t="shared" si="6"/>
        <v>1.000001</v>
      </c>
      <c r="S426" s="189" t="str">
        <f t="shared" si="7"/>
        <v>#N/A</v>
      </c>
    </row>
    <row r="427">
      <c r="A427" s="155"/>
      <c r="B427" s="178" t="s">
        <v>3696</v>
      </c>
      <c r="C427" s="191" t="str">
        <f>VLOOKUP(B427,'Dados ClubeFII'!$A:$Z,26,0)</f>
        <v>#N/A</v>
      </c>
      <c r="D427" s="180" t="str">
        <f>VLOOKUP(B427,'Dados ClubeFII'!$A:$Z,20,0)/100</f>
        <v>#N/A</v>
      </c>
      <c r="E427" s="89" t="str">
        <f t="shared" si="1"/>
        <v>#N/A</v>
      </c>
      <c r="F427" s="181">
        <f>IF(ISERROR(1/VLOOKUP(B427,Capa!A:Z,13,0)),0,1/VLOOKUP(B427,Capa!A:Z,13,0))</f>
        <v>0</v>
      </c>
      <c r="G427" s="182">
        <f t="shared" si="2"/>
        <v>1.000001</v>
      </c>
      <c r="H427" s="183" t="str">
        <f t="shared" si="3"/>
        <v>#N/A</v>
      </c>
      <c r="M427" s="178" t="s">
        <v>3696</v>
      </c>
      <c r="N427" s="179" t="str">
        <f>VLOOKUP(M427,'Dados ClubeFII'!$A:$Z,26,0)</f>
        <v>#N/A</v>
      </c>
      <c r="O427" s="185" t="str">
        <f>VLOOKUP(M427,'Dados ClubeFII'!$A:$Z,18,0)/100</f>
        <v>#N/A</v>
      </c>
      <c r="P427" s="186" t="str">
        <f t="shared" si="5"/>
        <v>#N/A</v>
      </c>
      <c r="Q427" s="187">
        <f>IF(ISERROR(1/VLOOKUP(M427,Capa!A:Z,6,0)),0,1/VLOOKUP(M427,Capa!A:Z,6,0))</f>
        <v>0</v>
      </c>
      <c r="R427" s="188">
        <f t="shared" si="6"/>
        <v>1.000001</v>
      </c>
      <c r="S427" s="189" t="str">
        <f t="shared" si="7"/>
        <v>#N/A</v>
      </c>
    </row>
    <row r="428">
      <c r="A428" s="155"/>
      <c r="B428" s="178" t="s">
        <v>3697</v>
      </c>
      <c r="C428" s="191" t="str">
        <f>VLOOKUP(B428,'Dados ClubeFII'!$A:$Z,26,0)</f>
        <v>#N/A</v>
      </c>
      <c r="D428" s="180" t="str">
        <f>VLOOKUP(B428,'Dados ClubeFII'!$A:$Z,20,0)/100</f>
        <v>#N/A</v>
      </c>
      <c r="E428" s="89" t="str">
        <f t="shared" si="1"/>
        <v>#N/A</v>
      </c>
      <c r="F428" s="181">
        <f>IF(ISERROR(1/VLOOKUP(B428,Capa!A:Z,13,0)),0,1/VLOOKUP(B428,Capa!A:Z,13,0))</f>
        <v>0</v>
      </c>
      <c r="G428" s="182">
        <f t="shared" si="2"/>
        <v>1.000001</v>
      </c>
      <c r="H428" s="183" t="str">
        <f t="shared" si="3"/>
        <v>#N/A</v>
      </c>
      <c r="M428" s="178" t="s">
        <v>3697</v>
      </c>
      <c r="N428" s="179" t="str">
        <f>VLOOKUP(M428,'Dados ClubeFII'!$A:$Z,26,0)</f>
        <v>#N/A</v>
      </c>
      <c r="O428" s="185" t="str">
        <f>VLOOKUP(M428,'Dados ClubeFII'!$A:$Z,18,0)/100</f>
        <v>#N/A</v>
      </c>
      <c r="P428" s="186" t="str">
        <f t="shared" si="5"/>
        <v>#N/A</v>
      </c>
      <c r="Q428" s="187">
        <f>IF(ISERROR(1/VLOOKUP(M428,Capa!A:Z,6,0)),0,1/VLOOKUP(M428,Capa!A:Z,6,0))</f>
        <v>0</v>
      </c>
      <c r="R428" s="188">
        <f t="shared" si="6"/>
        <v>1.000001</v>
      </c>
      <c r="S428" s="189" t="str">
        <f t="shared" si="7"/>
        <v>#N/A</v>
      </c>
    </row>
    <row r="429">
      <c r="A429" s="155"/>
      <c r="B429" s="178" t="s">
        <v>3698</v>
      </c>
      <c r="C429" s="191" t="str">
        <f>VLOOKUP(B429,'Dados ClubeFII'!$A:$Z,26,0)</f>
        <v>#N/A</v>
      </c>
      <c r="D429" s="180" t="str">
        <f>VLOOKUP(B429,'Dados ClubeFII'!$A:$Z,20,0)/100</f>
        <v>#N/A</v>
      </c>
      <c r="E429" s="89" t="str">
        <f t="shared" si="1"/>
        <v>#N/A</v>
      </c>
      <c r="F429" s="181">
        <f>IF(ISERROR(1/VLOOKUP(B429,Capa!A:Z,13,0)),0,1/VLOOKUP(B429,Capa!A:Z,13,0))</f>
        <v>0</v>
      </c>
      <c r="G429" s="182">
        <f t="shared" si="2"/>
        <v>1.000001</v>
      </c>
      <c r="H429" s="183" t="str">
        <f t="shared" si="3"/>
        <v>#N/A</v>
      </c>
      <c r="M429" s="178" t="s">
        <v>3698</v>
      </c>
      <c r="N429" s="179" t="str">
        <f>VLOOKUP(M429,'Dados ClubeFII'!$A:$Z,26,0)</f>
        <v>#N/A</v>
      </c>
      <c r="O429" s="185" t="str">
        <f>VLOOKUP(M429,'Dados ClubeFII'!$A:$Z,18,0)/100</f>
        <v>#N/A</v>
      </c>
      <c r="P429" s="186" t="str">
        <f t="shared" si="5"/>
        <v>#N/A</v>
      </c>
      <c r="Q429" s="187">
        <f>IF(ISERROR(1/VLOOKUP(M429,Capa!A:Z,6,0)),0,1/VLOOKUP(M429,Capa!A:Z,6,0))</f>
        <v>0</v>
      </c>
      <c r="R429" s="188">
        <f t="shared" si="6"/>
        <v>1.000001</v>
      </c>
      <c r="S429" s="189" t="str">
        <f t="shared" si="7"/>
        <v>#N/A</v>
      </c>
    </row>
    <row r="430">
      <c r="A430" s="155"/>
      <c r="B430" s="178" t="s">
        <v>3699</v>
      </c>
      <c r="C430" s="191" t="str">
        <f>VLOOKUP(B430,'Dados ClubeFII'!$A:$Z,26,0)</f>
        <v>#N/A</v>
      </c>
      <c r="D430" s="180" t="str">
        <f>VLOOKUP(B430,'Dados ClubeFII'!$A:$Z,20,0)/100</f>
        <v>#N/A</v>
      </c>
      <c r="E430" s="89" t="str">
        <f t="shared" si="1"/>
        <v>#N/A</v>
      </c>
      <c r="F430" s="181">
        <f>IF(ISERROR(1/VLOOKUP(B430,Capa!A:Z,13,0)),0,1/VLOOKUP(B430,Capa!A:Z,13,0))</f>
        <v>0</v>
      </c>
      <c r="G430" s="182">
        <f t="shared" si="2"/>
        <v>1.000001</v>
      </c>
      <c r="H430" s="183" t="str">
        <f t="shared" si="3"/>
        <v>#N/A</v>
      </c>
      <c r="M430" s="178" t="s">
        <v>3699</v>
      </c>
      <c r="N430" s="179" t="str">
        <f>VLOOKUP(M430,'Dados ClubeFII'!$A:$Z,26,0)</f>
        <v>#N/A</v>
      </c>
      <c r="O430" s="185" t="str">
        <f>VLOOKUP(M430,'Dados ClubeFII'!$A:$Z,18,0)/100</f>
        <v>#N/A</v>
      </c>
      <c r="P430" s="186" t="str">
        <f t="shared" si="5"/>
        <v>#N/A</v>
      </c>
      <c r="Q430" s="187">
        <f>IF(ISERROR(1/VLOOKUP(M430,Capa!A:Z,6,0)),0,1/VLOOKUP(M430,Capa!A:Z,6,0))</f>
        <v>0</v>
      </c>
      <c r="R430" s="188">
        <f t="shared" si="6"/>
        <v>1.000001</v>
      </c>
      <c r="S430" s="189" t="str">
        <f t="shared" si="7"/>
        <v>#N/A</v>
      </c>
    </row>
    <row r="431">
      <c r="A431" s="155"/>
      <c r="B431" s="178" t="s">
        <v>3700</v>
      </c>
      <c r="C431" s="191" t="str">
        <f>VLOOKUP(B431,'Dados ClubeFII'!$A:$Z,26,0)</f>
        <v>#N/A</v>
      </c>
      <c r="D431" s="180" t="str">
        <f>VLOOKUP(B431,'Dados ClubeFII'!$A:$Z,20,0)/100</f>
        <v>#N/A</v>
      </c>
      <c r="E431" s="89" t="str">
        <f t="shared" si="1"/>
        <v>#N/A</v>
      </c>
      <c r="F431" s="181">
        <f>IF(ISERROR(1/VLOOKUP(B431,Capa!A:Z,13,0)),0,1/VLOOKUP(B431,Capa!A:Z,13,0))</f>
        <v>0</v>
      </c>
      <c r="G431" s="182">
        <f t="shared" si="2"/>
        <v>1.000001</v>
      </c>
      <c r="H431" s="183" t="str">
        <f t="shared" si="3"/>
        <v>#N/A</v>
      </c>
      <c r="M431" s="178" t="s">
        <v>3700</v>
      </c>
      <c r="N431" s="179" t="str">
        <f>VLOOKUP(M431,'Dados ClubeFII'!$A:$Z,26,0)</f>
        <v>#N/A</v>
      </c>
      <c r="O431" s="185" t="str">
        <f>VLOOKUP(M431,'Dados ClubeFII'!$A:$Z,18,0)/100</f>
        <v>#N/A</v>
      </c>
      <c r="P431" s="186" t="str">
        <f t="shared" si="5"/>
        <v>#N/A</v>
      </c>
      <c r="Q431" s="187">
        <f>IF(ISERROR(1/VLOOKUP(M431,Capa!A:Z,6,0)),0,1/VLOOKUP(M431,Capa!A:Z,6,0))</f>
        <v>0</v>
      </c>
      <c r="R431" s="188">
        <f t="shared" si="6"/>
        <v>1.000001</v>
      </c>
      <c r="S431" s="189" t="str">
        <f t="shared" si="7"/>
        <v>#N/A</v>
      </c>
    </row>
    <row r="432">
      <c r="A432" s="155"/>
      <c r="B432" s="178" t="s">
        <v>3701</v>
      </c>
      <c r="C432" s="191" t="str">
        <f>VLOOKUP(B432,'Dados ClubeFII'!$A:$Z,26,0)</f>
        <v>#N/A</v>
      </c>
      <c r="D432" s="180" t="str">
        <f>VLOOKUP(B432,'Dados ClubeFII'!$A:$Z,20,0)/100</f>
        <v>#N/A</v>
      </c>
      <c r="E432" s="89" t="str">
        <f t="shared" si="1"/>
        <v>#N/A</v>
      </c>
      <c r="F432" s="181">
        <f>IF(ISERROR(1/VLOOKUP(B432,Capa!A:Z,13,0)),0,1/VLOOKUP(B432,Capa!A:Z,13,0))</f>
        <v>0</v>
      </c>
      <c r="G432" s="182">
        <f t="shared" si="2"/>
        <v>1.000001</v>
      </c>
      <c r="H432" s="183" t="str">
        <f t="shared" si="3"/>
        <v>#N/A</v>
      </c>
      <c r="M432" s="178" t="s">
        <v>3701</v>
      </c>
      <c r="N432" s="179" t="str">
        <f>VLOOKUP(M432,'Dados ClubeFII'!$A:$Z,26,0)</f>
        <v>#N/A</v>
      </c>
      <c r="O432" s="185" t="str">
        <f>VLOOKUP(M432,'Dados ClubeFII'!$A:$Z,18,0)/100</f>
        <v>#N/A</v>
      </c>
      <c r="P432" s="186" t="str">
        <f t="shared" si="5"/>
        <v>#N/A</v>
      </c>
      <c r="Q432" s="187">
        <f>IF(ISERROR(1/VLOOKUP(M432,Capa!A:Z,6,0)),0,1/VLOOKUP(M432,Capa!A:Z,6,0))</f>
        <v>0</v>
      </c>
      <c r="R432" s="188">
        <f t="shared" si="6"/>
        <v>1.000001</v>
      </c>
      <c r="S432" s="189" t="str">
        <f t="shared" si="7"/>
        <v>#N/A</v>
      </c>
    </row>
    <row r="433">
      <c r="A433" s="155"/>
      <c r="B433" s="178" t="s">
        <v>3702</v>
      </c>
      <c r="C433" s="191" t="str">
        <f>VLOOKUP(B433,'Dados ClubeFII'!$A:$Z,26,0)</f>
        <v>#N/A</v>
      </c>
      <c r="D433" s="180" t="str">
        <f>VLOOKUP(B433,'Dados ClubeFII'!$A:$Z,20,0)/100</f>
        <v>#N/A</v>
      </c>
      <c r="E433" s="89" t="str">
        <f t="shared" si="1"/>
        <v>#N/A</v>
      </c>
      <c r="F433" s="181">
        <f>IF(ISERROR(1/VLOOKUP(B433,Capa!A:Z,13,0)),0,1/VLOOKUP(B433,Capa!A:Z,13,0))</f>
        <v>0</v>
      </c>
      <c r="G433" s="182">
        <f t="shared" si="2"/>
        <v>1.000001</v>
      </c>
      <c r="H433" s="183" t="str">
        <f t="shared" si="3"/>
        <v>#N/A</v>
      </c>
      <c r="M433" s="178" t="s">
        <v>3702</v>
      </c>
      <c r="N433" s="179" t="str">
        <f>VLOOKUP(M433,'Dados ClubeFII'!$A:$Z,26,0)</f>
        <v>#N/A</v>
      </c>
      <c r="O433" s="185" t="str">
        <f>VLOOKUP(M433,'Dados ClubeFII'!$A:$Z,18,0)/100</f>
        <v>#N/A</v>
      </c>
      <c r="P433" s="186" t="str">
        <f t="shared" si="5"/>
        <v>#N/A</v>
      </c>
      <c r="Q433" s="187">
        <f>IF(ISERROR(1/VLOOKUP(M433,Capa!A:Z,6,0)),0,1/VLOOKUP(M433,Capa!A:Z,6,0))</f>
        <v>0</v>
      </c>
      <c r="R433" s="188">
        <f t="shared" si="6"/>
        <v>1.000001</v>
      </c>
      <c r="S433" s="189" t="str">
        <f t="shared" si="7"/>
        <v>#N/A</v>
      </c>
    </row>
    <row r="434">
      <c r="A434" s="155"/>
      <c r="B434" s="178" t="s">
        <v>3703</v>
      </c>
      <c r="C434" s="191" t="str">
        <f>VLOOKUP(B434,'Dados ClubeFII'!$A:$Z,26,0)</f>
        <v>#N/A</v>
      </c>
      <c r="D434" s="180" t="str">
        <f>VLOOKUP(B434,'Dados ClubeFII'!$A:$Z,20,0)/100</f>
        <v>#N/A</v>
      </c>
      <c r="E434" s="89" t="str">
        <f t="shared" si="1"/>
        <v>#N/A</v>
      </c>
      <c r="F434" s="181">
        <f>IF(ISERROR(1/VLOOKUP(B434,Capa!A:Z,13,0)),0,1/VLOOKUP(B434,Capa!A:Z,13,0))</f>
        <v>0</v>
      </c>
      <c r="G434" s="182">
        <f t="shared" si="2"/>
        <v>1.000001</v>
      </c>
      <c r="H434" s="183" t="str">
        <f t="shared" si="3"/>
        <v>#N/A</v>
      </c>
      <c r="M434" s="178" t="s">
        <v>3703</v>
      </c>
      <c r="N434" s="179" t="str">
        <f>VLOOKUP(M434,'Dados ClubeFII'!$A:$Z,26,0)</f>
        <v>#N/A</v>
      </c>
      <c r="O434" s="185" t="str">
        <f>VLOOKUP(M434,'Dados ClubeFII'!$A:$Z,18,0)/100</f>
        <v>#N/A</v>
      </c>
      <c r="P434" s="186" t="str">
        <f t="shared" si="5"/>
        <v>#N/A</v>
      </c>
      <c r="Q434" s="187">
        <f>IF(ISERROR(1/VLOOKUP(M434,Capa!A:Z,6,0)),0,1/VLOOKUP(M434,Capa!A:Z,6,0))</f>
        <v>0</v>
      </c>
      <c r="R434" s="188">
        <f t="shared" si="6"/>
        <v>1.000001</v>
      </c>
      <c r="S434" s="189" t="str">
        <f t="shared" si="7"/>
        <v>#N/A</v>
      </c>
    </row>
    <row r="435">
      <c r="A435" s="155"/>
      <c r="B435" s="178" t="s">
        <v>3704</v>
      </c>
      <c r="C435" s="191" t="str">
        <f>VLOOKUP(B435,'Dados ClubeFII'!$A:$Z,26,0)</f>
        <v>#N/A</v>
      </c>
      <c r="D435" s="180" t="str">
        <f>VLOOKUP(B435,'Dados ClubeFII'!$A:$Z,20,0)/100</f>
        <v>#N/A</v>
      </c>
      <c r="E435" s="89" t="str">
        <f t="shared" si="1"/>
        <v>#N/A</v>
      </c>
      <c r="F435" s="181">
        <f>IF(ISERROR(1/VLOOKUP(B435,Capa!A:Z,13,0)),0,1/VLOOKUP(B435,Capa!A:Z,13,0))</f>
        <v>0</v>
      </c>
      <c r="G435" s="182">
        <f t="shared" si="2"/>
        <v>1.000001</v>
      </c>
      <c r="H435" s="183" t="str">
        <f t="shared" si="3"/>
        <v>#N/A</v>
      </c>
      <c r="M435" s="178" t="s">
        <v>3704</v>
      </c>
      <c r="N435" s="179" t="str">
        <f>VLOOKUP(M435,'Dados ClubeFII'!$A:$Z,26,0)</f>
        <v>#N/A</v>
      </c>
      <c r="O435" s="185" t="str">
        <f>VLOOKUP(M435,'Dados ClubeFII'!$A:$Z,18,0)/100</f>
        <v>#N/A</v>
      </c>
      <c r="P435" s="186" t="str">
        <f t="shared" si="5"/>
        <v>#N/A</v>
      </c>
      <c r="Q435" s="187">
        <f>IF(ISERROR(1/VLOOKUP(M435,Capa!A:Z,6,0)),0,1/VLOOKUP(M435,Capa!A:Z,6,0))</f>
        <v>0</v>
      </c>
      <c r="R435" s="188">
        <f t="shared" si="6"/>
        <v>1.000001</v>
      </c>
      <c r="S435" s="189" t="str">
        <f t="shared" si="7"/>
        <v>#N/A</v>
      </c>
    </row>
    <row r="436">
      <c r="A436" s="155"/>
      <c r="B436" s="178" t="s">
        <v>3705</v>
      </c>
      <c r="C436" s="191" t="str">
        <f>VLOOKUP(B436,'Dados ClubeFII'!$A:$Z,26,0)</f>
        <v>#N/A</v>
      </c>
      <c r="D436" s="180" t="str">
        <f>VLOOKUP(B436,'Dados ClubeFII'!$A:$Z,20,0)/100</f>
        <v>#N/A</v>
      </c>
      <c r="E436" s="89" t="str">
        <f t="shared" si="1"/>
        <v>#N/A</v>
      </c>
      <c r="F436" s="181">
        <f>IF(ISERROR(1/VLOOKUP(B436,Capa!A:Z,13,0)),0,1/VLOOKUP(B436,Capa!A:Z,13,0))</f>
        <v>0</v>
      </c>
      <c r="G436" s="182">
        <f t="shared" si="2"/>
        <v>1.000001</v>
      </c>
      <c r="H436" s="183" t="str">
        <f t="shared" si="3"/>
        <v>#N/A</v>
      </c>
      <c r="M436" s="178" t="s">
        <v>3705</v>
      </c>
      <c r="N436" s="179" t="str">
        <f>VLOOKUP(M436,'Dados ClubeFII'!$A:$Z,26,0)</f>
        <v>#N/A</v>
      </c>
      <c r="O436" s="185" t="str">
        <f>VLOOKUP(M436,'Dados ClubeFII'!$A:$Z,18,0)/100</f>
        <v>#N/A</v>
      </c>
      <c r="P436" s="186" t="str">
        <f t="shared" si="5"/>
        <v>#N/A</v>
      </c>
      <c r="Q436" s="187">
        <f>IF(ISERROR(1/VLOOKUP(M436,Capa!A:Z,6,0)),0,1/VLOOKUP(M436,Capa!A:Z,6,0))</f>
        <v>0</v>
      </c>
      <c r="R436" s="188">
        <f t="shared" si="6"/>
        <v>1.000001</v>
      </c>
      <c r="S436" s="189" t="str">
        <f t="shared" si="7"/>
        <v>#N/A</v>
      </c>
    </row>
    <row r="437">
      <c r="A437" s="155"/>
      <c r="B437" s="178" t="s">
        <v>3706</v>
      </c>
      <c r="C437" s="191" t="str">
        <f>VLOOKUP(B437,'Dados ClubeFII'!$A:$Z,26,0)</f>
        <v>#N/A</v>
      </c>
      <c r="D437" s="180" t="str">
        <f>VLOOKUP(B437,'Dados ClubeFII'!$A:$Z,20,0)/100</f>
        <v>#N/A</v>
      </c>
      <c r="E437" s="89" t="str">
        <f t="shared" si="1"/>
        <v>#N/A</v>
      </c>
      <c r="F437" s="181">
        <f>IF(ISERROR(1/VLOOKUP(B437,Capa!A:Z,13,0)),0,1/VLOOKUP(B437,Capa!A:Z,13,0))</f>
        <v>0</v>
      </c>
      <c r="G437" s="182">
        <f t="shared" si="2"/>
        <v>1.000001</v>
      </c>
      <c r="H437" s="183" t="str">
        <f t="shared" si="3"/>
        <v>#N/A</v>
      </c>
      <c r="M437" s="178" t="s">
        <v>3706</v>
      </c>
      <c r="N437" s="179" t="str">
        <f>VLOOKUP(M437,'Dados ClubeFII'!$A:$Z,26,0)</f>
        <v>#N/A</v>
      </c>
      <c r="O437" s="185" t="str">
        <f>VLOOKUP(M437,'Dados ClubeFII'!$A:$Z,18,0)/100</f>
        <v>#N/A</v>
      </c>
      <c r="P437" s="186" t="str">
        <f t="shared" si="5"/>
        <v>#N/A</v>
      </c>
      <c r="Q437" s="187">
        <f>IF(ISERROR(1/VLOOKUP(M437,Capa!A:Z,6,0)),0,1/VLOOKUP(M437,Capa!A:Z,6,0))</f>
        <v>0</v>
      </c>
      <c r="R437" s="188">
        <f t="shared" si="6"/>
        <v>1.000001</v>
      </c>
      <c r="S437" s="189" t="str">
        <f t="shared" si="7"/>
        <v>#N/A</v>
      </c>
    </row>
    <row r="438">
      <c r="A438" s="155"/>
      <c r="B438" s="178" t="s">
        <v>3707</v>
      </c>
      <c r="C438" s="191" t="str">
        <f>VLOOKUP(B438,'Dados ClubeFII'!$A:$Z,26,0)</f>
        <v>#N/A</v>
      </c>
      <c r="D438" s="180" t="str">
        <f>VLOOKUP(B438,'Dados ClubeFII'!$A:$Z,20,0)/100</f>
        <v>#N/A</v>
      </c>
      <c r="E438" s="89" t="str">
        <f t="shared" si="1"/>
        <v>#N/A</v>
      </c>
      <c r="F438" s="181">
        <f>IF(ISERROR(1/VLOOKUP(B438,Capa!A:Z,13,0)),0,1/VLOOKUP(B438,Capa!A:Z,13,0))</f>
        <v>0</v>
      </c>
      <c r="G438" s="182">
        <f t="shared" si="2"/>
        <v>1.000001</v>
      </c>
      <c r="H438" s="183" t="str">
        <f t="shared" si="3"/>
        <v>#N/A</v>
      </c>
      <c r="M438" s="178" t="s">
        <v>3707</v>
      </c>
      <c r="N438" s="179" t="str">
        <f>VLOOKUP(M438,'Dados ClubeFII'!$A:$Z,26,0)</f>
        <v>#N/A</v>
      </c>
      <c r="O438" s="185" t="str">
        <f>VLOOKUP(M438,'Dados ClubeFII'!$A:$Z,18,0)/100</f>
        <v>#N/A</v>
      </c>
      <c r="P438" s="186" t="str">
        <f t="shared" si="5"/>
        <v>#N/A</v>
      </c>
      <c r="Q438" s="187">
        <f>IF(ISERROR(1/VLOOKUP(M438,Capa!A:Z,6,0)),0,1/VLOOKUP(M438,Capa!A:Z,6,0))</f>
        <v>0</v>
      </c>
      <c r="R438" s="188">
        <f t="shared" si="6"/>
        <v>1.000001</v>
      </c>
      <c r="S438" s="189" t="str">
        <f t="shared" si="7"/>
        <v>#N/A</v>
      </c>
    </row>
    <row r="439">
      <c r="A439" s="155"/>
      <c r="B439" s="178" t="s">
        <v>3708</v>
      </c>
      <c r="C439" s="191" t="str">
        <f>VLOOKUP(B439,'Dados ClubeFII'!$A:$Z,26,0)</f>
        <v>#N/A</v>
      </c>
      <c r="D439" s="180" t="str">
        <f>VLOOKUP(B439,'Dados ClubeFII'!$A:$Z,20,0)/100</f>
        <v>#N/A</v>
      </c>
      <c r="E439" s="89" t="str">
        <f t="shared" si="1"/>
        <v>#N/A</v>
      </c>
      <c r="F439" s="181">
        <f>IF(ISERROR(1/VLOOKUP(B439,Capa!A:Z,13,0)),0,1/VLOOKUP(B439,Capa!A:Z,13,0))</f>
        <v>0</v>
      </c>
      <c r="G439" s="182">
        <f t="shared" si="2"/>
        <v>1.000001</v>
      </c>
      <c r="H439" s="183" t="str">
        <f t="shared" si="3"/>
        <v>#N/A</v>
      </c>
      <c r="M439" s="178" t="s">
        <v>3708</v>
      </c>
      <c r="N439" s="179" t="str">
        <f>VLOOKUP(M439,'Dados ClubeFII'!$A:$Z,26,0)</f>
        <v>#N/A</v>
      </c>
      <c r="O439" s="185" t="str">
        <f>VLOOKUP(M439,'Dados ClubeFII'!$A:$Z,18,0)/100</f>
        <v>#N/A</v>
      </c>
      <c r="P439" s="186" t="str">
        <f t="shared" si="5"/>
        <v>#N/A</v>
      </c>
      <c r="Q439" s="187">
        <f>IF(ISERROR(1/VLOOKUP(M439,Capa!A:Z,6,0)),0,1/VLOOKUP(M439,Capa!A:Z,6,0))</f>
        <v>0</v>
      </c>
      <c r="R439" s="188">
        <f t="shared" si="6"/>
        <v>1.000001</v>
      </c>
      <c r="S439" s="189" t="str">
        <f t="shared" si="7"/>
        <v>#N/A</v>
      </c>
    </row>
    <row r="440">
      <c r="A440" s="155"/>
      <c r="B440" s="178" t="s">
        <v>3709</v>
      </c>
      <c r="C440" s="191" t="str">
        <f>VLOOKUP(B440,'Dados ClubeFII'!$A:$Z,26,0)</f>
        <v>#N/A</v>
      </c>
      <c r="D440" s="180" t="str">
        <f>VLOOKUP(B440,'Dados ClubeFII'!$A:$Z,20,0)/100</f>
        <v>#N/A</v>
      </c>
      <c r="E440" s="89" t="str">
        <f t="shared" si="1"/>
        <v>#N/A</v>
      </c>
      <c r="F440" s="181">
        <f>IF(ISERROR(1/VLOOKUP(B440,Capa!A:Z,13,0)),0,1/VLOOKUP(B440,Capa!A:Z,13,0))</f>
        <v>0</v>
      </c>
      <c r="G440" s="182">
        <f t="shared" si="2"/>
        <v>1.000001</v>
      </c>
      <c r="H440" s="183" t="str">
        <f t="shared" si="3"/>
        <v>#N/A</v>
      </c>
      <c r="M440" s="178" t="s">
        <v>3709</v>
      </c>
      <c r="N440" s="179" t="str">
        <f>VLOOKUP(M440,'Dados ClubeFII'!$A:$Z,26,0)</f>
        <v>#N/A</v>
      </c>
      <c r="O440" s="185" t="str">
        <f>VLOOKUP(M440,'Dados ClubeFII'!$A:$Z,18,0)/100</f>
        <v>#N/A</v>
      </c>
      <c r="P440" s="186" t="str">
        <f t="shared" si="5"/>
        <v>#N/A</v>
      </c>
      <c r="Q440" s="187">
        <f>IF(ISERROR(1/VLOOKUP(M440,Capa!A:Z,6,0)),0,1/VLOOKUP(M440,Capa!A:Z,6,0))</f>
        <v>0</v>
      </c>
      <c r="R440" s="188">
        <f t="shared" si="6"/>
        <v>1.000001</v>
      </c>
      <c r="S440" s="189" t="str">
        <f t="shared" si="7"/>
        <v>#N/A</v>
      </c>
    </row>
    <row r="441">
      <c r="A441" s="155"/>
      <c r="B441" s="178" t="s">
        <v>3710</v>
      </c>
      <c r="C441" s="191" t="str">
        <f>VLOOKUP(B441,'Dados ClubeFII'!$A:$Z,26,0)</f>
        <v>#N/A</v>
      </c>
      <c r="D441" s="180" t="str">
        <f>VLOOKUP(B441,'Dados ClubeFII'!$A:$Z,20,0)/100</f>
        <v>#N/A</v>
      </c>
      <c r="E441" s="89" t="str">
        <f t="shared" si="1"/>
        <v>#N/A</v>
      </c>
      <c r="F441" s="181">
        <f>IF(ISERROR(1/VLOOKUP(B441,Capa!A:Z,13,0)),0,1/VLOOKUP(B441,Capa!A:Z,13,0))</f>
        <v>0</v>
      </c>
      <c r="G441" s="182">
        <f t="shared" si="2"/>
        <v>1.000001</v>
      </c>
      <c r="H441" s="183" t="str">
        <f t="shared" si="3"/>
        <v>#N/A</v>
      </c>
      <c r="M441" s="178" t="s">
        <v>3710</v>
      </c>
      <c r="N441" s="179" t="str">
        <f>VLOOKUP(M441,'Dados ClubeFII'!$A:$Z,26,0)</f>
        <v>#N/A</v>
      </c>
      <c r="O441" s="185" t="str">
        <f>VLOOKUP(M441,'Dados ClubeFII'!$A:$Z,18,0)/100</f>
        <v>#N/A</v>
      </c>
      <c r="P441" s="186" t="str">
        <f t="shared" si="5"/>
        <v>#N/A</v>
      </c>
      <c r="Q441" s="187">
        <f>IF(ISERROR(1/VLOOKUP(M441,Capa!A:Z,6,0)),0,1/VLOOKUP(M441,Capa!A:Z,6,0))</f>
        <v>0</v>
      </c>
      <c r="R441" s="188">
        <f t="shared" si="6"/>
        <v>1.000001</v>
      </c>
      <c r="S441" s="189" t="str">
        <f t="shared" si="7"/>
        <v>#N/A</v>
      </c>
    </row>
    <row r="442">
      <c r="A442" s="155"/>
      <c r="B442" s="178" t="s">
        <v>3711</v>
      </c>
      <c r="C442" s="191" t="str">
        <f>VLOOKUP(B442,'Dados ClubeFII'!$A:$Z,26,0)</f>
        <v>#N/A</v>
      </c>
      <c r="D442" s="180" t="str">
        <f>VLOOKUP(B442,'Dados ClubeFII'!$A:$Z,20,0)/100</f>
        <v>#N/A</v>
      </c>
      <c r="E442" s="89" t="str">
        <f t="shared" si="1"/>
        <v>#N/A</v>
      </c>
      <c r="F442" s="181">
        <f>IF(ISERROR(1/VLOOKUP(B442,Capa!A:Z,13,0)),0,1/VLOOKUP(B442,Capa!A:Z,13,0))</f>
        <v>0</v>
      </c>
      <c r="G442" s="182">
        <f t="shared" si="2"/>
        <v>1.000001</v>
      </c>
      <c r="H442" s="183" t="str">
        <f t="shared" si="3"/>
        <v>#N/A</v>
      </c>
      <c r="M442" s="178" t="s">
        <v>3711</v>
      </c>
      <c r="N442" s="179" t="str">
        <f>VLOOKUP(M442,'Dados ClubeFII'!$A:$Z,26,0)</f>
        <v>#N/A</v>
      </c>
      <c r="O442" s="185" t="str">
        <f>VLOOKUP(M442,'Dados ClubeFII'!$A:$Z,18,0)/100</f>
        <v>#N/A</v>
      </c>
      <c r="P442" s="186" t="str">
        <f t="shared" si="5"/>
        <v>#N/A</v>
      </c>
      <c r="Q442" s="187">
        <f>IF(ISERROR(1/VLOOKUP(M442,Capa!A:Z,6,0)),0,1/VLOOKUP(M442,Capa!A:Z,6,0))</f>
        <v>0</v>
      </c>
      <c r="R442" s="188">
        <f t="shared" si="6"/>
        <v>1.000001</v>
      </c>
      <c r="S442" s="189" t="str">
        <f t="shared" si="7"/>
        <v>#N/A</v>
      </c>
    </row>
    <row r="443">
      <c r="A443" s="155"/>
      <c r="B443" s="178" t="s">
        <v>3712</v>
      </c>
      <c r="C443" s="191" t="str">
        <f>VLOOKUP(B443,'Dados ClubeFII'!$A:$Z,26,0)</f>
        <v>#N/A</v>
      </c>
      <c r="D443" s="180" t="str">
        <f>VLOOKUP(B443,'Dados ClubeFII'!$A:$Z,20,0)/100</f>
        <v>#N/A</v>
      </c>
      <c r="E443" s="89" t="str">
        <f t="shared" si="1"/>
        <v>#N/A</v>
      </c>
      <c r="F443" s="181">
        <f>IF(ISERROR(1/VLOOKUP(B443,Capa!A:Z,13,0)),0,1/VLOOKUP(B443,Capa!A:Z,13,0))</f>
        <v>0</v>
      </c>
      <c r="G443" s="182">
        <f t="shared" si="2"/>
        <v>1.000001</v>
      </c>
      <c r="H443" s="183" t="str">
        <f t="shared" si="3"/>
        <v>#N/A</v>
      </c>
      <c r="M443" s="178" t="s">
        <v>3712</v>
      </c>
      <c r="N443" s="179" t="str">
        <f>VLOOKUP(M443,'Dados ClubeFII'!$A:$Z,26,0)</f>
        <v>#N/A</v>
      </c>
      <c r="O443" s="185" t="str">
        <f>VLOOKUP(M443,'Dados ClubeFII'!$A:$Z,18,0)/100</f>
        <v>#N/A</v>
      </c>
      <c r="P443" s="186" t="str">
        <f t="shared" si="5"/>
        <v>#N/A</v>
      </c>
      <c r="Q443" s="187">
        <f>IF(ISERROR(1/VLOOKUP(M443,Capa!A:Z,6,0)),0,1/VLOOKUP(M443,Capa!A:Z,6,0))</f>
        <v>0</v>
      </c>
      <c r="R443" s="188">
        <f t="shared" si="6"/>
        <v>1.000001</v>
      </c>
      <c r="S443" s="189" t="str">
        <f t="shared" si="7"/>
        <v>#N/A</v>
      </c>
    </row>
    <row r="444">
      <c r="A444" s="155"/>
      <c r="B444" s="155"/>
      <c r="C444" s="192"/>
      <c r="D444" s="159"/>
      <c r="E444" s="159"/>
      <c r="F444" s="193"/>
      <c r="G444" s="182"/>
      <c r="H444" s="182"/>
      <c r="M444" s="155"/>
      <c r="N444" s="159"/>
      <c r="O444" s="159"/>
      <c r="P444" s="159"/>
      <c r="Q444" s="159"/>
      <c r="R444" s="160"/>
      <c r="S444" s="160"/>
    </row>
    <row r="445">
      <c r="A445" s="155"/>
      <c r="B445" s="155"/>
      <c r="C445" s="192"/>
      <c r="D445" s="159"/>
      <c r="E445" s="159"/>
      <c r="F445" s="193"/>
      <c r="G445" s="182"/>
      <c r="H445" s="182"/>
      <c r="M445" s="155"/>
      <c r="N445" s="159"/>
      <c r="O445" s="159"/>
      <c r="P445" s="159"/>
      <c r="Q445" s="159"/>
      <c r="R445" s="160"/>
      <c r="S445" s="160"/>
    </row>
    <row r="446">
      <c r="A446" s="155"/>
      <c r="B446" s="155"/>
      <c r="C446" s="192"/>
      <c r="D446" s="159"/>
      <c r="E446" s="159"/>
      <c r="F446" s="193"/>
      <c r="G446" s="182"/>
      <c r="H446" s="182"/>
      <c r="M446" s="155"/>
      <c r="N446" s="159"/>
      <c r="O446" s="159"/>
      <c r="P446" s="159"/>
      <c r="Q446" s="159"/>
      <c r="R446" s="160"/>
      <c r="S446" s="160"/>
    </row>
    <row r="447">
      <c r="A447" s="155"/>
      <c r="B447" s="155"/>
      <c r="C447" s="192"/>
      <c r="D447" s="159"/>
      <c r="E447" s="159"/>
      <c r="F447" s="193"/>
      <c r="G447" s="182"/>
      <c r="H447" s="182"/>
      <c r="M447" s="155"/>
      <c r="N447" s="159"/>
      <c r="O447" s="159"/>
      <c r="P447" s="159"/>
      <c r="Q447" s="159"/>
      <c r="R447" s="160"/>
      <c r="S447" s="160"/>
    </row>
    <row r="448">
      <c r="A448" s="155"/>
      <c r="B448" s="155"/>
      <c r="C448" s="192"/>
      <c r="D448" s="159"/>
      <c r="E448" s="159"/>
      <c r="F448" s="193"/>
      <c r="G448" s="182"/>
      <c r="H448" s="182"/>
      <c r="M448" s="155"/>
      <c r="N448" s="159"/>
      <c r="O448" s="159"/>
      <c r="P448" s="159"/>
      <c r="Q448" s="159"/>
      <c r="R448" s="160"/>
      <c r="S448" s="160"/>
    </row>
    <row r="449">
      <c r="A449" s="155"/>
      <c r="B449" s="155"/>
      <c r="C449" s="192"/>
      <c r="D449" s="159"/>
      <c r="E449" s="159"/>
      <c r="F449" s="193"/>
      <c r="G449" s="182"/>
      <c r="H449" s="182"/>
      <c r="M449" s="155"/>
      <c r="N449" s="159"/>
      <c r="O449" s="159"/>
      <c r="P449" s="159"/>
      <c r="Q449" s="159"/>
      <c r="R449" s="160"/>
      <c r="S449" s="160"/>
    </row>
    <row r="450">
      <c r="A450" s="155"/>
      <c r="B450" s="155"/>
      <c r="C450" s="192"/>
      <c r="D450" s="159"/>
      <c r="E450" s="159"/>
      <c r="F450" s="193"/>
      <c r="G450" s="182"/>
      <c r="H450" s="182"/>
      <c r="M450" s="155"/>
      <c r="N450" s="159"/>
      <c r="O450" s="159"/>
      <c r="P450" s="159"/>
      <c r="Q450" s="159"/>
      <c r="R450" s="160"/>
      <c r="S450" s="160"/>
    </row>
    <row r="451">
      <c r="A451" s="155"/>
      <c r="B451" s="155"/>
      <c r="C451" s="192"/>
      <c r="D451" s="159"/>
      <c r="E451" s="159"/>
      <c r="F451" s="193"/>
      <c r="G451" s="182"/>
      <c r="H451" s="182"/>
      <c r="M451" s="155"/>
      <c r="N451" s="159"/>
      <c r="O451" s="159"/>
      <c r="P451" s="159"/>
      <c r="Q451" s="159"/>
      <c r="R451" s="160"/>
      <c r="S451" s="160"/>
    </row>
    <row r="452">
      <c r="A452" s="155"/>
      <c r="B452" s="155"/>
      <c r="C452" s="192"/>
      <c r="D452" s="159"/>
      <c r="E452" s="159"/>
      <c r="F452" s="193"/>
      <c r="G452" s="182"/>
      <c r="H452" s="182"/>
      <c r="M452" s="155"/>
      <c r="N452" s="159"/>
      <c r="O452" s="159"/>
      <c r="P452" s="159"/>
      <c r="Q452" s="159"/>
      <c r="R452" s="160"/>
      <c r="S452" s="160"/>
    </row>
    <row r="453">
      <c r="A453" s="155"/>
      <c r="B453" s="155"/>
      <c r="C453" s="192"/>
      <c r="D453" s="159"/>
      <c r="E453" s="159"/>
      <c r="F453" s="193"/>
      <c r="G453" s="182"/>
      <c r="H453" s="182"/>
      <c r="M453" s="155"/>
      <c r="N453" s="159"/>
      <c r="O453" s="159"/>
      <c r="P453" s="159"/>
      <c r="Q453" s="159"/>
      <c r="R453" s="160"/>
      <c r="S453" s="160"/>
    </row>
    <row r="454">
      <c r="A454" s="155"/>
      <c r="B454" s="155"/>
      <c r="C454" s="192"/>
      <c r="D454" s="159"/>
      <c r="E454" s="159"/>
      <c r="F454" s="193"/>
      <c r="G454" s="182"/>
      <c r="H454" s="182"/>
      <c r="M454" s="155"/>
      <c r="N454" s="159"/>
      <c r="O454" s="159"/>
      <c r="P454" s="159"/>
      <c r="Q454" s="159"/>
      <c r="R454" s="160"/>
      <c r="S454" s="160"/>
    </row>
    <row r="455">
      <c r="A455" s="155"/>
      <c r="B455" s="155"/>
      <c r="C455" s="192"/>
      <c r="D455" s="159"/>
      <c r="E455" s="159"/>
      <c r="F455" s="193"/>
      <c r="G455" s="182"/>
      <c r="H455" s="182"/>
      <c r="M455" s="155"/>
      <c r="N455" s="159"/>
      <c r="O455" s="159"/>
      <c r="P455" s="159"/>
      <c r="Q455" s="159"/>
      <c r="R455" s="160"/>
      <c r="S455" s="160"/>
    </row>
    <row r="456">
      <c r="A456" s="155"/>
      <c r="B456" s="155"/>
      <c r="C456" s="192"/>
      <c r="D456" s="159"/>
      <c r="E456" s="159"/>
      <c r="F456" s="193"/>
      <c r="G456" s="182"/>
      <c r="H456" s="182"/>
      <c r="M456" s="155"/>
      <c r="N456" s="159"/>
      <c r="O456" s="159"/>
      <c r="P456" s="159"/>
      <c r="Q456" s="159"/>
      <c r="R456" s="160"/>
      <c r="S456" s="160"/>
    </row>
    <row r="457">
      <c r="A457" s="155"/>
      <c r="B457" s="155"/>
      <c r="C457" s="192"/>
      <c r="D457" s="159"/>
      <c r="E457" s="159"/>
      <c r="F457" s="193"/>
      <c r="G457" s="182"/>
      <c r="H457" s="182"/>
      <c r="M457" s="155"/>
      <c r="N457" s="159"/>
      <c r="O457" s="159"/>
      <c r="P457" s="159"/>
      <c r="Q457" s="159"/>
      <c r="R457" s="160"/>
      <c r="S457" s="160"/>
    </row>
    <row r="458">
      <c r="A458" s="155"/>
      <c r="B458" s="155"/>
      <c r="C458" s="192"/>
      <c r="D458" s="159"/>
      <c r="E458" s="159"/>
      <c r="F458" s="193"/>
      <c r="G458" s="182"/>
      <c r="H458" s="182"/>
      <c r="M458" s="155"/>
      <c r="N458" s="159"/>
      <c r="O458" s="159"/>
      <c r="P458" s="159"/>
      <c r="Q458" s="159"/>
      <c r="R458" s="160"/>
      <c r="S458" s="160"/>
    </row>
    <row r="459">
      <c r="A459" s="155"/>
      <c r="B459" s="155"/>
      <c r="C459" s="192"/>
      <c r="D459" s="159"/>
      <c r="E459" s="159"/>
      <c r="F459" s="193"/>
      <c r="G459" s="182"/>
      <c r="H459" s="182"/>
      <c r="M459" s="155"/>
      <c r="N459" s="159"/>
      <c r="O459" s="159"/>
      <c r="P459" s="159"/>
      <c r="Q459" s="159"/>
      <c r="R459" s="160"/>
      <c r="S459" s="160"/>
    </row>
    <row r="460">
      <c r="A460" s="155"/>
      <c r="B460" s="155"/>
      <c r="C460" s="192"/>
      <c r="D460" s="159"/>
      <c r="E460" s="159"/>
      <c r="F460" s="193"/>
      <c r="G460" s="182"/>
      <c r="H460" s="182"/>
      <c r="M460" s="155"/>
      <c r="N460" s="159"/>
      <c r="O460" s="159"/>
      <c r="P460" s="159"/>
      <c r="Q460" s="159"/>
      <c r="R460" s="160"/>
      <c r="S460" s="160"/>
    </row>
    <row r="461">
      <c r="A461" s="155"/>
      <c r="B461" s="155"/>
      <c r="C461" s="192"/>
      <c r="D461" s="159"/>
      <c r="E461" s="159"/>
      <c r="F461" s="193"/>
      <c r="G461" s="182"/>
      <c r="H461" s="182"/>
      <c r="M461" s="155"/>
      <c r="N461" s="159"/>
      <c r="O461" s="159"/>
      <c r="P461" s="159"/>
      <c r="Q461" s="159"/>
      <c r="R461" s="160"/>
      <c r="S461" s="160"/>
    </row>
    <row r="462">
      <c r="A462" s="155"/>
      <c r="B462" s="155"/>
      <c r="C462" s="192"/>
      <c r="D462" s="159"/>
      <c r="E462" s="159"/>
      <c r="F462" s="193"/>
      <c r="G462" s="182"/>
      <c r="H462" s="182"/>
      <c r="M462" s="155"/>
      <c r="N462" s="159"/>
      <c r="O462" s="159"/>
      <c r="P462" s="159"/>
      <c r="Q462" s="159"/>
      <c r="R462" s="160"/>
      <c r="S462" s="160"/>
    </row>
    <row r="463">
      <c r="A463" s="155"/>
      <c r="B463" s="155"/>
      <c r="C463" s="192"/>
      <c r="D463" s="159"/>
      <c r="E463" s="159"/>
      <c r="F463" s="193"/>
      <c r="G463" s="182"/>
      <c r="H463" s="182"/>
      <c r="M463" s="155"/>
      <c r="N463" s="159"/>
      <c r="O463" s="159"/>
      <c r="P463" s="159"/>
      <c r="Q463" s="159"/>
      <c r="R463" s="160"/>
      <c r="S463" s="160"/>
    </row>
    <row r="464">
      <c r="A464" s="155"/>
      <c r="B464" s="155"/>
      <c r="C464" s="192"/>
      <c r="D464" s="159"/>
      <c r="E464" s="159"/>
      <c r="F464" s="193"/>
      <c r="G464" s="182"/>
      <c r="H464" s="182"/>
      <c r="M464" s="155"/>
      <c r="N464" s="159"/>
      <c r="O464" s="159"/>
      <c r="P464" s="159"/>
      <c r="Q464" s="159"/>
      <c r="R464" s="160"/>
      <c r="S464" s="160"/>
    </row>
    <row r="465">
      <c r="A465" s="155"/>
      <c r="B465" s="155"/>
      <c r="C465" s="192"/>
      <c r="D465" s="159"/>
      <c r="E465" s="159"/>
      <c r="F465" s="193"/>
      <c r="G465" s="182"/>
      <c r="H465" s="182"/>
      <c r="M465" s="155"/>
      <c r="N465" s="159"/>
      <c r="O465" s="159"/>
      <c r="P465" s="159"/>
      <c r="Q465" s="159"/>
      <c r="R465" s="160"/>
      <c r="S465" s="160"/>
    </row>
    <row r="466">
      <c r="A466" s="155"/>
      <c r="B466" s="155"/>
      <c r="C466" s="192"/>
      <c r="D466" s="159"/>
      <c r="E466" s="159"/>
      <c r="F466" s="193"/>
      <c r="G466" s="182"/>
      <c r="H466" s="182"/>
      <c r="M466" s="155"/>
      <c r="N466" s="159"/>
      <c r="O466" s="159"/>
      <c r="P466" s="159"/>
      <c r="Q466" s="159"/>
      <c r="R466" s="160"/>
      <c r="S466" s="160"/>
    </row>
    <row r="467">
      <c r="A467" s="155"/>
      <c r="B467" s="155"/>
      <c r="C467" s="192"/>
      <c r="D467" s="159"/>
      <c r="E467" s="159"/>
      <c r="F467" s="193"/>
      <c r="G467" s="182"/>
      <c r="H467" s="182"/>
      <c r="M467" s="155"/>
      <c r="N467" s="159"/>
      <c r="O467" s="159"/>
      <c r="P467" s="159"/>
      <c r="Q467" s="159"/>
      <c r="R467" s="160"/>
      <c r="S467" s="160"/>
    </row>
    <row r="468">
      <c r="A468" s="155"/>
      <c r="B468" s="155"/>
      <c r="C468" s="192"/>
      <c r="D468" s="159"/>
      <c r="E468" s="159"/>
      <c r="F468" s="193"/>
      <c r="G468" s="182"/>
      <c r="H468" s="182"/>
      <c r="M468" s="155"/>
      <c r="N468" s="159"/>
      <c r="O468" s="159"/>
      <c r="P468" s="159"/>
      <c r="Q468" s="159"/>
      <c r="R468" s="160"/>
      <c r="S468" s="160"/>
    </row>
    <row r="469">
      <c r="A469" s="155"/>
      <c r="B469" s="155"/>
      <c r="C469" s="192"/>
      <c r="D469" s="159"/>
      <c r="E469" s="159"/>
      <c r="F469" s="193"/>
      <c r="G469" s="182"/>
      <c r="H469" s="182"/>
      <c r="M469" s="155"/>
      <c r="N469" s="159"/>
      <c r="O469" s="159"/>
      <c r="P469" s="159"/>
      <c r="Q469" s="159"/>
      <c r="R469" s="160"/>
      <c r="S469" s="160"/>
    </row>
    <row r="470">
      <c r="A470" s="155"/>
      <c r="B470" s="155"/>
      <c r="C470" s="192"/>
      <c r="D470" s="159"/>
      <c r="E470" s="159"/>
      <c r="F470" s="193"/>
      <c r="G470" s="182"/>
      <c r="H470" s="182"/>
      <c r="M470" s="155"/>
      <c r="N470" s="159"/>
      <c r="O470" s="159"/>
      <c r="P470" s="159"/>
      <c r="Q470" s="159"/>
      <c r="R470" s="160"/>
      <c r="S470" s="160"/>
    </row>
    <row r="471">
      <c r="A471" s="155"/>
      <c r="B471" s="155"/>
      <c r="C471" s="192"/>
      <c r="D471" s="159"/>
      <c r="E471" s="159"/>
      <c r="F471" s="193"/>
      <c r="G471" s="182"/>
      <c r="H471" s="182"/>
      <c r="M471" s="155"/>
      <c r="N471" s="159"/>
      <c r="O471" s="159"/>
      <c r="P471" s="159"/>
      <c r="Q471" s="159"/>
      <c r="R471" s="160"/>
      <c r="S471" s="160"/>
    </row>
    <row r="472">
      <c r="A472" s="155"/>
      <c r="B472" s="155"/>
      <c r="C472" s="192"/>
      <c r="D472" s="159"/>
      <c r="E472" s="159"/>
      <c r="F472" s="193"/>
      <c r="G472" s="182"/>
      <c r="H472" s="182"/>
      <c r="M472" s="155"/>
      <c r="N472" s="159"/>
      <c r="O472" s="159"/>
      <c r="P472" s="159"/>
      <c r="Q472" s="159"/>
      <c r="R472" s="160"/>
      <c r="S472" s="160"/>
    </row>
    <row r="473">
      <c r="A473" s="155"/>
      <c r="B473" s="155"/>
      <c r="C473" s="192"/>
      <c r="D473" s="159"/>
      <c r="E473" s="159"/>
      <c r="F473" s="193"/>
      <c r="G473" s="182"/>
      <c r="H473" s="182"/>
      <c r="M473" s="155"/>
      <c r="N473" s="159"/>
      <c r="O473" s="159"/>
      <c r="P473" s="159"/>
      <c r="Q473" s="159"/>
      <c r="R473" s="160"/>
      <c r="S473" s="160"/>
    </row>
    <row r="474">
      <c r="A474" s="155"/>
      <c r="B474" s="155"/>
      <c r="C474" s="192"/>
      <c r="D474" s="159"/>
      <c r="E474" s="159"/>
      <c r="F474" s="193"/>
      <c r="G474" s="182"/>
      <c r="H474" s="182"/>
      <c r="M474" s="155"/>
      <c r="N474" s="159"/>
      <c r="O474" s="159"/>
      <c r="P474" s="159"/>
      <c r="Q474" s="159"/>
      <c r="R474" s="160"/>
      <c r="S474" s="160"/>
    </row>
    <row r="475">
      <c r="A475" s="155"/>
      <c r="B475" s="155"/>
      <c r="C475" s="192"/>
      <c r="D475" s="159"/>
      <c r="E475" s="159"/>
      <c r="F475" s="193"/>
      <c r="G475" s="182"/>
      <c r="H475" s="182"/>
      <c r="M475" s="155"/>
      <c r="N475" s="159"/>
      <c r="O475" s="159"/>
      <c r="P475" s="159"/>
      <c r="Q475" s="159"/>
      <c r="R475" s="160"/>
      <c r="S475" s="160"/>
    </row>
    <row r="476">
      <c r="A476" s="155"/>
      <c r="B476" s="155"/>
      <c r="C476" s="192"/>
      <c r="D476" s="159"/>
      <c r="E476" s="159"/>
      <c r="F476" s="193"/>
      <c r="G476" s="182"/>
      <c r="H476" s="182"/>
      <c r="M476" s="155"/>
      <c r="N476" s="159"/>
      <c r="O476" s="159"/>
      <c r="P476" s="159"/>
      <c r="Q476" s="159"/>
      <c r="R476" s="160"/>
      <c r="S476" s="160"/>
    </row>
    <row r="477">
      <c r="A477" s="155"/>
      <c r="B477" s="155"/>
      <c r="C477" s="192"/>
      <c r="D477" s="159"/>
      <c r="E477" s="159"/>
      <c r="F477" s="193"/>
      <c r="G477" s="182"/>
      <c r="H477" s="182"/>
      <c r="M477" s="155"/>
      <c r="N477" s="159"/>
      <c r="O477" s="159"/>
      <c r="P477" s="159"/>
      <c r="Q477" s="159"/>
      <c r="R477" s="160"/>
      <c r="S477" s="160"/>
    </row>
    <row r="478">
      <c r="A478" s="155"/>
      <c r="B478" s="155"/>
      <c r="C478" s="192"/>
      <c r="D478" s="159"/>
      <c r="E478" s="159"/>
      <c r="F478" s="193"/>
      <c r="G478" s="182"/>
      <c r="H478" s="182"/>
      <c r="M478" s="155"/>
      <c r="N478" s="159"/>
      <c r="O478" s="159"/>
      <c r="P478" s="159"/>
      <c r="Q478" s="159"/>
      <c r="R478" s="160"/>
      <c r="S478" s="160"/>
    </row>
    <row r="479">
      <c r="A479" s="155"/>
      <c r="B479" s="155"/>
      <c r="C479" s="192"/>
      <c r="D479" s="159"/>
      <c r="E479" s="159"/>
      <c r="F479" s="193"/>
      <c r="G479" s="182"/>
      <c r="H479" s="182"/>
      <c r="M479" s="155"/>
      <c r="N479" s="159"/>
      <c r="O479" s="159"/>
      <c r="P479" s="159"/>
      <c r="Q479" s="159"/>
      <c r="R479" s="160"/>
      <c r="S479" s="160"/>
    </row>
    <row r="480">
      <c r="A480" s="155"/>
      <c r="B480" s="155"/>
      <c r="C480" s="192"/>
      <c r="D480" s="159"/>
      <c r="E480" s="159"/>
      <c r="F480" s="193"/>
      <c r="G480" s="182"/>
      <c r="H480" s="182"/>
      <c r="M480" s="155"/>
      <c r="N480" s="159"/>
      <c r="O480" s="159"/>
      <c r="P480" s="159"/>
      <c r="Q480" s="159"/>
      <c r="R480" s="160"/>
      <c r="S480" s="160"/>
    </row>
    <row r="481">
      <c r="A481" s="155"/>
      <c r="B481" s="155"/>
      <c r="C481" s="192"/>
      <c r="D481" s="159"/>
      <c r="E481" s="159"/>
      <c r="F481" s="193"/>
      <c r="G481" s="182"/>
      <c r="H481" s="182"/>
      <c r="M481" s="155"/>
      <c r="N481" s="159"/>
      <c r="O481" s="159"/>
      <c r="P481" s="159"/>
      <c r="Q481" s="159"/>
      <c r="R481" s="160"/>
      <c r="S481" s="160"/>
    </row>
    <row r="482">
      <c r="A482" s="155"/>
      <c r="B482" s="155"/>
      <c r="C482" s="192"/>
      <c r="D482" s="159"/>
      <c r="E482" s="159"/>
      <c r="F482" s="193"/>
      <c r="G482" s="182"/>
      <c r="H482" s="182"/>
      <c r="M482" s="155"/>
      <c r="N482" s="159"/>
      <c r="O482" s="159"/>
      <c r="P482" s="159"/>
      <c r="Q482" s="159"/>
      <c r="R482" s="160"/>
      <c r="S482" s="160"/>
    </row>
    <row r="483">
      <c r="A483" s="155"/>
      <c r="B483" s="155"/>
      <c r="C483" s="192"/>
      <c r="D483" s="159"/>
      <c r="E483" s="159"/>
      <c r="F483" s="193"/>
      <c r="G483" s="182"/>
      <c r="H483" s="182"/>
      <c r="M483" s="155"/>
      <c r="N483" s="159"/>
      <c r="O483" s="159"/>
      <c r="P483" s="159"/>
      <c r="Q483" s="159"/>
      <c r="R483" s="160"/>
      <c r="S483" s="160"/>
    </row>
    <row r="484">
      <c r="A484" s="155"/>
      <c r="B484" s="155"/>
      <c r="C484" s="192"/>
      <c r="D484" s="159"/>
      <c r="E484" s="159"/>
      <c r="F484" s="193"/>
      <c r="G484" s="182"/>
      <c r="H484" s="182"/>
      <c r="M484" s="155"/>
      <c r="N484" s="159"/>
      <c r="O484" s="159"/>
      <c r="P484" s="159"/>
      <c r="Q484" s="159"/>
      <c r="R484" s="160"/>
      <c r="S484" s="160"/>
    </row>
    <row r="485">
      <c r="A485" s="155"/>
      <c r="B485" s="155"/>
      <c r="C485" s="192"/>
      <c r="D485" s="159"/>
      <c r="E485" s="159"/>
      <c r="F485" s="193"/>
      <c r="G485" s="182"/>
      <c r="H485" s="182"/>
      <c r="M485" s="155"/>
      <c r="N485" s="159"/>
      <c r="O485" s="159"/>
      <c r="P485" s="159"/>
      <c r="Q485" s="159"/>
      <c r="R485" s="160"/>
      <c r="S485" s="160"/>
    </row>
    <row r="486">
      <c r="A486" s="155"/>
      <c r="B486" s="155"/>
      <c r="C486" s="192"/>
      <c r="D486" s="159"/>
      <c r="E486" s="159"/>
      <c r="F486" s="193"/>
      <c r="G486" s="182"/>
      <c r="H486" s="182"/>
      <c r="M486" s="155"/>
      <c r="N486" s="159"/>
      <c r="O486" s="159"/>
      <c r="P486" s="159"/>
      <c r="Q486" s="159"/>
      <c r="R486" s="160"/>
      <c r="S486" s="160"/>
    </row>
    <row r="487">
      <c r="A487" s="155"/>
      <c r="B487" s="155"/>
      <c r="C487" s="192"/>
      <c r="D487" s="159"/>
      <c r="E487" s="159"/>
      <c r="F487" s="193"/>
      <c r="G487" s="182"/>
      <c r="H487" s="182"/>
      <c r="M487" s="155"/>
      <c r="N487" s="159"/>
      <c r="O487" s="159"/>
      <c r="P487" s="159"/>
      <c r="Q487" s="159"/>
      <c r="R487" s="160"/>
      <c r="S487" s="160"/>
    </row>
    <row r="488">
      <c r="A488" s="155"/>
      <c r="B488" s="155"/>
      <c r="C488" s="192"/>
      <c r="D488" s="159"/>
      <c r="E488" s="159"/>
      <c r="F488" s="193"/>
      <c r="G488" s="182"/>
      <c r="H488" s="182"/>
      <c r="M488" s="155"/>
      <c r="N488" s="159"/>
      <c r="O488" s="159"/>
      <c r="P488" s="159"/>
      <c r="Q488" s="159"/>
      <c r="R488" s="160"/>
      <c r="S488" s="160"/>
    </row>
    <row r="489">
      <c r="A489" s="155"/>
      <c r="B489" s="155"/>
      <c r="C489" s="192"/>
      <c r="D489" s="159"/>
      <c r="E489" s="159"/>
      <c r="F489" s="193"/>
      <c r="G489" s="182"/>
      <c r="H489" s="182"/>
      <c r="M489" s="155"/>
      <c r="N489" s="159"/>
      <c r="O489" s="159"/>
      <c r="P489" s="159"/>
      <c r="Q489" s="159"/>
      <c r="R489" s="160"/>
      <c r="S489" s="160"/>
    </row>
    <row r="490">
      <c r="A490" s="155"/>
      <c r="B490" s="155"/>
      <c r="C490" s="192"/>
      <c r="D490" s="159"/>
      <c r="E490" s="159"/>
      <c r="F490" s="193"/>
      <c r="G490" s="182"/>
      <c r="H490" s="182"/>
      <c r="M490" s="155"/>
      <c r="N490" s="159"/>
      <c r="O490" s="159"/>
      <c r="P490" s="159"/>
      <c r="Q490" s="159"/>
      <c r="R490" s="160"/>
      <c r="S490" s="160"/>
    </row>
    <row r="491">
      <c r="A491" s="155"/>
      <c r="B491" s="155"/>
      <c r="C491" s="192"/>
      <c r="D491" s="159"/>
      <c r="E491" s="159"/>
      <c r="F491" s="193"/>
      <c r="G491" s="182"/>
      <c r="H491" s="182"/>
      <c r="M491" s="155"/>
      <c r="N491" s="159"/>
      <c r="O491" s="159"/>
      <c r="P491" s="159"/>
      <c r="Q491" s="159"/>
      <c r="R491" s="160"/>
      <c r="S491" s="160"/>
    </row>
    <row r="492">
      <c r="A492" s="155"/>
      <c r="B492" s="155"/>
      <c r="C492" s="192"/>
      <c r="D492" s="159"/>
      <c r="E492" s="159"/>
      <c r="F492" s="193"/>
      <c r="G492" s="182"/>
      <c r="H492" s="182"/>
      <c r="M492" s="155"/>
      <c r="N492" s="159"/>
      <c r="O492" s="159"/>
      <c r="P492" s="159"/>
      <c r="Q492" s="159"/>
      <c r="R492" s="160"/>
      <c r="S492" s="160"/>
    </row>
    <row r="493">
      <c r="A493" s="155"/>
      <c r="B493" s="155"/>
      <c r="C493" s="192"/>
      <c r="D493" s="159"/>
      <c r="E493" s="159"/>
      <c r="F493" s="193"/>
      <c r="G493" s="182"/>
      <c r="H493" s="182"/>
      <c r="M493" s="155"/>
      <c r="N493" s="159"/>
      <c r="O493" s="159"/>
      <c r="P493" s="159"/>
      <c r="Q493" s="159"/>
      <c r="R493" s="160"/>
      <c r="S493" s="160"/>
    </row>
    <row r="494">
      <c r="A494" s="155"/>
      <c r="B494" s="155"/>
      <c r="C494" s="192"/>
      <c r="D494" s="159"/>
      <c r="E494" s="159"/>
      <c r="F494" s="193"/>
      <c r="G494" s="182"/>
      <c r="H494" s="182"/>
      <c r="M494" s="155"/>
      <c r="N494" s="159"/>
      <c r="O494" s="159"/>
      <c r="P494" s="159"/>
      <c r="Q494" s="159"/>
      <c r="R494" s="160"/>
      <c r="S494" s="160"/>
    </row>
    <row r="495">
      <c r="A495" s="155"/>
      <c r="B495" s="155"/>
      <c r="C495" s="192"/>
      <c r="D495" s="159"/>
      <c r="E495" s="159"/>
      <c r="F495" s="193"/>
      <c r="G495" s="182"/>
      <c r="H495" s="182"/>
      <c r="M495" s="155"/>
      <c r="N495" s="159"/>
      <c r="O495" s="159"/>
      <c r="P495" s="159"/>
      <c r="Q495" s="159"/>
      <c r="R495" s="160"/>
      <c r="S495" s="160"/>
    </row>
    <row r="496">
      <c r="A496" s="155"/>
      <c r="B496" s="155"/>
      <c r="C496" s="192"/>
      <c r="D496" s="159"/>
      <c r="E496" s="159"/>
      <c r="F496" s="193"/>
      <c r="G496" s="182"/>
      <c r="H496" s="182"/>
      <c r="M496" s="155"/>
      <c r="N496" s="159"/>
      <c r="O496" s="159"/>
      <c r="P496" s="159"/>
      <c r="Q496" s="159"/>
      <c r="R496" s="160"/>
      <c r="S496" s="160"/>
    </row>
    <row r="497">
      <c r="A497" s="155"/>
      <c r="B497" s="155"/>
      <c r="C497" s="192"/>
      <c r="D497" s="159"/>
      <c r="E497" s="159"/>
      <c r="F497" s="193"/>
      <c r="G497" s="182"/>
      <c r="H497" s="182"/>
      <c r="M497" s="155"/>
      <c r="N497" s="159"/>
      <c r="O497" s="159"/>
      <c r="P497" s="159"/>
      <c r="Q497" s="159"/>
      <c r="R497" s="160"/>
      <c r="S497" s="160"/>
    </row>
    <row r="498">
      <c r="A498" s="155"/>
      <c r="B498" s="155"/>
      <c r="C498" s="192"/>
      <c r="D498" s="159"/>
      <c r="E498" s="159"/>
      <c r="F498" s="193"/>
      <c r="G498" s="182"/>
      <c r="H498" s="182"/>
      <c r="M498" s="155"/>
      <c r="N498" s="159"/>
      <c r="O498" s="159"/>
      <c r="P498" s="159"/>
      <c r="Q498" s="159"/>
      <c r="R498" s="160"/>
      <c r="S498" s="160"/>
    </row>
    <row r="499">
      <c r="A499" s="155"/>
      <c r="B499" s="155"/>
      <c r="C499" s="192"/>
      <c r="D499" s="159"/>
      <c r="E499" s="159"/>
      <c r="F499" s="193"/>
      <c r="G499" s="182"/>
      <c r="H499" s="182"/>
      <c r="M499" s="155"/>
      <c r="N499" s="159"/>
      <c r="O499" s="159"/>
      <c r="P499" s="159"/>
      <c r="Q499" s="159"/>
      <c r="R499" s="160"/>
      <c r="S499" s="160"/>
    </row>
    <row r="500">
      <c r="A500" s="155"/>
      <c r="B500" s="155"/>
      <c r="C500" s="192"/>
      <c r="D500" s="159"/>
      <c r="E500" s="159"/>
      <c r="F500" s="193"/>
      <c r="G500" s="182"/>
      <c r="H500" s="182"/>
      <c r="M500" s="155"/>
      <c r="N500" s="159"/>
      <c r="O500" s="159"/>
      <c r="P500" s="159"/>
      <c r="Q500" s="159"/>
      <c r="R500" s="160"/>
      <c r="S500" s="160"/>
    </row>
    <row r="501">
      <c r="A501" s="155"/>
      <c r="B501" s="155"/>
      <c r="C501" s="192"/>
      <c r="D501" s="159"/>
      <c r="E501" s="159"/>
      <c r="F501" s="193"/>
      <c r="G501" s="182"/>
      <c r="H501" s="182"/>
      <c r="M501" s="155"/>
      <c r="N501" s="159"/>
      <c r="O501" s="159"/>
      <c r="P501" s="159"/>
      <c r="Q501" s="159"/>
      <c r="R501" s="160"/>
      <c r="S501" s="160"/>
    </row>
    <row r="502">
      <c r="A502" s="155"/>
      <c r="B502" s="155"/>
      <c r="C502" s="192"/>
      <c r="D502" s="159"/>
      <c r="E502" s="159"/>
      <c r="F502" s="193"/>
      <c r="G502" s="182"/>
      <c r="H502" s="182"/>
      <c r="M502" s="155"/>
      <c r="N502" s="159"/>
      <c r="O502" s="159"/>
      <c r="P502" s="159"/>
      <c r="Q502" s="159"/>
      <c r="R502" s="160"/>
      <c r="S502" s="160"/>
    </row>
    <row r="503">
      <c r="A503" s="155"/>
      <c r="B503" s="155"/>
      <c r="C503" s="192"/>
      <c r="D503" s="159"/>
      <c r="E503" s="159"/>
      <c r="F503" s="193"/>
      <c r="G503" s="182"/>
      <c r="H503" s="182"/>
      <c r="M503" s="155"/>
      <c r="N503" s="159"/>
      <c r="O503" s="159"/>
      <c r="P503" s="159"/>
      <c r="Q503" s="159"/>
      <c r="R503" s="160"/>
      <c r="S503" s="160"/>
    </row>
    <row r="504">
      <c r="A504" s="155"/>
      <c r="B504" s="155"/>
      <c r="C504" s="192"/>
      <c r="D504" s="159"/>
      <c r="E504" s="159"/>
      <c r="F504" s="193"/>
      <c r="G504" s="182"/>
      <c r="H504" s="182"/>
      <c r="M504" s="155"/>
      <c r="N504" s="159"/>
      <c r="O504" s="159"/>
      <c r="P504" s="159"/>
      <c r="Q504" s="159"/>
      <c r="R504" s="160"/>
      <c r="S504" s="160"/>
    </row>
    <row r="505">
      <c r="A505" s="155"/>
      <c r="B505" s="155"/>
      <c r="C505" s="192"/>
      <c r="D505" s="159"/>
      <c r="E505" s="159"/>
      <c r="F505" s="193"/>
      <c r="G505" s="182"/>
      <c r="H505" s="182"/>
      <c r="M505" s="155"/>
      <c r="N505" s="159"/>
      <c r="O505" s="159"/>
      <c r="P505" s="159"/>
      <c r="Q505" s="159"/>
      <c r="R505" s="160"/>
      <c r="S505" s="160"/>
    </row>
    <row r="506">
      <c r="A506" s="155"/>
      <c r="B506" s="155"/>
      <c r="C506" s="192"/>
      <c r="D506" s="159"/>
      <c r="E506" s="159"/>
      <c r="F506" s="193"/>
      <c r="G506" s="182"/>
      <c r="H506" s="182"/>
      <c r="M506" s="155"/>
      <c r="N506" s="159"/>
      <c r="O506" s="159"/>
      <c r="P506" s="159"/>
      <c r="Q506" s="159"/>
      <c r="R506" s="160"/>
      <c r="S506" s="160"/>
    </row>
    <row r="507">
      <c r="A507" s="155"/>
      <c r="B507" s="155"/>
      <c r="C507" s="192"/>
      <c r="D507" s="159"/>
      <c r="E507" s="159"/>
      <c r="F507" s="193"/>
      <c r="G507" s="182"/>
      <c r="H507" s="182"/>
      <c r="M507" s="155"/>
      <c r="N507" s="159"/>
      <c r="O507" s="159"/>
      <c r="P507" s="159"/>
      <c r="Q507" s="159"/>
      <c r="R507" s="160"/>
      <c r="S507" s="160"/>
    </row>
    <row r="508">
      <c r="A508" s="155"/>
      <c r="B508" s="155"/>
      <c r="C508" s="192"/>
      <c r="D508" s="159"/>
      <c r="E508" s="159"/>
      <c r="F508" s="193"/>
      <c r="G508" s="182"/>
      <c r="H508" s="182"/>
      <c r="M508" s="155"/>
      <c r="N508" s="159"/>
      <c r="O508" s="159"/>
      <c r="P508" s="159"/>
      <c r="Q508" s="159"/>
      <c r="R508" s="160"/>
      <c r="S508" s="160"/>
    </row>
    <row r="509">
      <c r="A509" s="155"/>
      <c r="B509" s="155"/>
      <c r="C509" s="192"/>
      <c r="D509" s="159"/>
      <c r="E509" s="159"/>
      <c r="F509" s="193"/>
      <c r="G509" s="182"/>
      <c r="H509" s="182"/>
      <c r="M509" s="155"/>
      <c r="N509" s="159"/>
      <c r="O509" s="159"/>
      <c r="P509" s="159"/>
      <c r="Q509" s="159"/>
      <c r="R509" s="160"/>
      <c r="S509" s="160"/>
    </row>
    <row r="510">
      <c r="A510" s="155"/>
      <c r="B510" s="155"/>
      <c r="C510" s="192"/>
      <c r="D510" s="159"/>
      <c r="E510" s="159"/>
      <c r="F510" s="193"/>
      <c r="G510" s="182"/>
      <c r="H510" s="182"/>
      <c r="M510" s="155"/>
      <c r="N510" s="159"/>
      <c r="O510" s="159"/>
      <c r="P510" s="159"/>
      <c r="Q510" s="159"/>
      <c r="R510" s="160"/>
      <c r="S510" s="160"/>
    </row>
    <row r="511">
      <c r="A511" s="155"/>
      <c r="B511" s="155"/>
      <c r="C511" s="192"/>
      <c r="D511" s="159"/>
      <c r="E511" s="159"/>
      <c r="F511" s="193"/>
      <c r="G511" s="182"/>
      <c r="H511" s="182"/>
      <c r="M511" s="155"/>
      <c r="N511" s="159"/>
      <c r="O511" s="159"/>
      <c r="P511" s="159"/>
      <c r="Q511" s="159"/>
      <c r="R511" s="160"/>
      <c r="S511" s="160"/>
    </row>
    <row r="512">
      <c r="A512" s="155"/>
      <c r="B512" s="155"/>
      <c r="C512" s="192"/>
      <c r="D512" s="159"/>
      <c r="E512" s="159"/>
      <c r="F512" s="193"/>
      <c r="G512" s="182"/>
      <c r="H512" s="182"/>
      <c r="M512" s="155"/>
      <c r="N512" s="159"/>
      <c r="O512" s="159"/>
      <c r="P512" s="159"/>
      <c r="Q512" s="159"/>
      <c r="R512" s="160"/>
      <c r="S512" s="160"/>
    </row>
    <row r="513">
      <c r="A513" s="155"/>
      <c r="B513" s="155"/>
      <c r="C513" s="192"/>
      <c r="D513" s="159"/>
      <c r="E513" s="159"/>
      <c r="F513" s="193"/>
      <c r="G513" s="182"/>
      <c r="H513" s="182"/>
      <c r="M513" s="155"/>
      <c r="N513" s="159"/>
      <c r="O513" s="159"/>
      <c r="P513" s="159"/>
      <c r="Q513" s="159"/>
      <c r="R513" s="160"/>
      <c r="S513" s="160"/>
    </row>
    <row r="514">
      <c r="A514" s="155"/>
      <c r="B514" s="155"/>
      <c r="C514" s="192"/>
      <c r="D514" s="159"/>
      <c r="E514" s="159"/>
      <c r="F514" s="193"/>
      <c r="G514" s="182"/>
      <c r="H514" s="182"/>
      <c r="M514" s="155"/>
      <c r="N514" s="159"/>
      <c r="O514" s="159"/>
      <c r="P514" s="159"/>
      <c r="Q514" s="159"/>
      <c r="R514" s="160"/>
      <c r="S514" s="160"/>
    </row>
    <row r="515">
      <c r="A515" s="155"/>
      <c r="B515" s="155"/>
      <c r="C515" s="192"/>
      <c r="D515" s="159"/>
      <c r="E515" s="159"/>
      <c r="F515" s="193"/>
      <c r="G515" s="182"/>
      <c r="H515" s="182"/>
      <c r="M515" s="155"/>
      <c r="N515" s="159"/>
      <c r="O515" s="159"/>
      <c r="P515" s="159"/>
      <c r="Q515" s="159"/>
      <c r="R515" s="160"/>
      <c r="S515" s="160"/>
    </row>
    <row r="516">
      <c r="A516" s="155"/>
      <c r="B516" s="155"/>
      <c r="C516" s="192"/>
      <c r="D516" s="159"/>
      <c r="E516" s="159"/>
      <c r="F516" s="193"/>
      <c r="G516" s="182"/>
      <c r="H516" s="182"/>
      <c r="M516" s="155"/>
      <c r="N516" s="159"/>
      <c r="O516" s="159"/>
      <c r="P516" s="159"/>
      <c r="Q516" s="159"/>
      <c r="R516" s="160"/>
      <c r="S516" s="160"/>
    </row>
    <row r="517">
      <c r="A517" s="155"/>
      <c r="B517" s="155"/>
      <c r="C517" s="192"/>
      <c r="D517" s="159"/>
      <c r="E517" s="159"/>
      <c r="F517" s="193"/>
      <c r="G517" s="182"/>
      <c r="H517" s="182"/>
      <c r="M517" s="155"/>
      <c r="N517" s="159"/>
      <c r="O517" s="159"/>
      <c r="P517" s="159"/>
      <c r="Q517" s="159"/>
      <c r="R517" s="160"/>
      <c r="S517" s="160"/>
    </row>
    <row r="518">
      <c r="A518" s="155"/>
      <c r="B518" s="155"/>
      <c r="C518" s="192"/>
      <c r="D518" s="159"/>
      <c r="E518" s="159"/>
      <c r="F518" s="193"/>
      <c r="G518" s="182"/>
      <c r="H518" s="182"/>
      <c r="M518" s="155"/>
      <c r="N518" s="159"/>
      <c r="O518" s="159"/>
      <c r="P518" s="159"/>
      <c r="Q518" s="159"/>
      <c r="R518" s="160"/>
      <c r="S518" s="160"/>
    </row>
    <row r="519">
      <c r="A519" s="155"/>
      <c r="B519" s="155"/>
      <c r="C519" s="192"/>
      <c r="D519" s="159"/>
      <c r="E519" s="159"/>
      <c r="F519" s="193"/>
      <c r="G519" s="182"/>
      <c r="H519" s="182"/>
      <c r="M519" s="155"/>
      <c r="N519" s="159"/>
      <c r="O519" s="159"/>
      <c r="P519" s="159"/>
      <c r="Q519" s="159"/>
      <c r="R519" s="160"/>
      <c r="S519" s="160"/>
    </row>
    <row r="520">
      <c r="A520" s="155"/>
      <c r="B520" s="155"/>
      <c r="C520" s="192"/>
      <c r="D520" s="159"/>
      <c r="E520" s="159"/>
      <c r="F520" s="193"/>
      <c r="G520" s="182"/>
      <c r="H520" s="182"/>
      <c r="M520" s="155"/>
      <c r="N520" s="159"/>
      <c r="O520" s="159"/>
      <c r="P520" s="159"/>
      <c r="Q520" s="159"/>
      <c r="R520" s="160"/>
      <c r="S520" s="160"/>
    </row>
    <row r="521">
      <c r="A521" s="155"/>
      <c r="B521" s="155"/>
      <c r="C521" s="192"/>
      <c r="D521" s="159"/>
      <c r="E521" s="159"/>
      <c r="F521" s="193"/>
      <c r="G521" s="182"/>
      <c r="H521" s="182"/>
      <c r="M521" s="155"/>
      <c r="N521" s="159"/>
      <c r="O521" s="159"/>
      <c r="P521" s="159"/>
      <c r="Q521" s="159"/>
      <c r="R521" s="160"/>
      <c r="S521" s="160"/>
    </row>
    <row r="522">
      <c r="A522" s="155"/>
      <c r="B522" s="155"/>
      <c r="C522" s="192"/>
      <c r="D522" s="159"/>
      <c r="E522" s="159"/>
      <c r="F522" s="193"/>
      <c r="G522" s="182"/>
      <c r="H522" s="182"/>
      <c r="M522" s="155"/>
      <c r="N522" s="159"/>
      <c r="O522" s="159"/>
      <c r="P522" s="159"/>
      <c r="Q522" s="159"/>
      <c r="R522" s="160"/>
      <c r="S522" s="160"/>
    </row>
    <row r="523">
      <c r="A523" s="155"/>
      <c r="B523" s="155"/>
      <c r="C523" s="192"/>
      <c r="D523" s="159"/>
      <c r="E523" s="159"/>
      <c r="F523" s="193"/>
      <c r="G523" s="182"/>
      <c r="H523" s="182"/>
      <c r="M523" s="155"/>
      <c r="N523" s="159"/>
      <c r="O523" s="159"/>
      <c r="P523" s="159"/>
      <c r="Q523" s="159"/>
      <c r="R523" s="160"/>
      <c r="S523" s="160"/>
    </row>
    <row r="524">
      <c r="A524" s="155"/>
      <c r="B524" s="155"/>
      <c r="C524" s="192"/>
      <c r="D524" s="159"/>
      <c r="E524" s="159"/>
      <c r="F524" s="193"/>
      <c r="G524" s="182"/>
      <c r="H524" s="182"/>
      <c r="M524" s="155"/>
      <c r="N524" s="159"/>
      <c r="O524" s="159"/>
      <c r="P524" s="159"/>
      <c r="Q524" s="159"/>
      <c r="R524" s="160"/>
      <c r="S524" s="160"/>
    </row>
    <row r="525">
      <c r="A525" s="155"/>
      <c r="B525" s="155"/>
      <c r="C525" s="192"/>
      <c r="D525" s="159"/>
      <c r="E525" s="159"/>
      <c r="F525" s="193"/>
      <c r="G525" s="182"/>
      <c r="H525" s="182"/>
      <c r="M525" s="155"/>
      <c r="N525" s="159"/>
      <c r="O525" s="159"/>
      <c r="P525" s="159"/>
      <c r="Q525" s="159"/>
      <c r="R525" s="160"/>
      <c r="S525" s="160"/>
    </row>
    <row r="526">
      <c r="A526" s="155"/>
      <c r="B526" s="155"/>
      <c r="C526" s="192"/>
      <c r="D526" s="159"/>
      <c r="E526" s="159"/>
      <c r="F526" s="193"/>
      <c r="G526" s="182"/>
      <c r="H526" s="182"/>
      <c r="M526" s="155"/>
      <c r="N526" s="159"/>
      <c r="O526" s="159"/>
      <c r="P526" s="159"/>
      <c r="Q526" s="159"/>
      <c r="R526" s="160"/>
      <c r="S526" s="160"/>
    </row>
    <row r="527">
      <c r="A527" s="155"/>
      <c r="B527" s="155"/>
      <c r="C527" s="192"/>
      <c r="D527" s="159"/>
      <c r="E527" s="159"/>
      <c r="F527" s="193"/>
      <c r="G527" s="182"/>
      <c r="H527" s="182"/>
      <c r="M527" s="155"/>
      <c r="N527" s="159"/>
      <c r="O527" s="159"/>
      <c r="P527" s="159"/>
      <c r="Q527" s="159"/>
      <c r="R527" s="160"/>
      <c r="S527" s="160"/>
    </row>
    <row r="528">
      <c r="A528" s="155"/>
      <c r="B528" s="155"/>
      <c r="C528" s="192"/>
      <c r="D528" s="159"/>
      <c r="E528" s="159"/>
      <c r="F528" s="193"/>
      <c r="G528" s="182"/>
      <c r="H528" s="182"/>
      <c r="M528" s="155"/>
      <c r="N528" s="159"/>
      <c r="O528" s="159"/>
      <c r="P528" s="159"/>
      <c r="Q528" s="159"/>
      <c r="R528" s="160"/>
      <c r="S528" s="160"/>
    </row>
    <row r="529">
      <c r="A529" s="155"/>
      <c r="B529" s="155"/>
      <c r="C529" s="192"/>
      <c r="D529" s="159"/>
      <c r="E529" s="159"/>
      <c r="F529" s="193"/>
      <c r="G529" s="182"/>
      <c r="H529" s="182"/>
      <c r="M529" s="155"/>
      <c r="N529" s="159"/>
      <c r="O529" s="159"/>
      <c r="P529" s="159"/>
      <c r="Q529" s="159"/>
      <c r="R529" s="160"/>
      <c r="S529" s="160"/>
    </row>
    <row r="530">
      <c r="A530" s="155"/>
      <c r="B530" s="155"/>
      <c r="C530" s="192"/>
      <c r="D530" s="159"/>
      <c r="E530" s="159"/>
      <c r="F530" s="193"/>
      <c r="G530" s="182"/>
      <c r="H530" s="182"/>
      <c r="M530" s="155"/>
      <c r="N530" s="159"/>
      <c r="O530" s="159"/>
      <c r="P530" s="159"/>
      <c r="Q530" s="159"/>
      <c r="R530" s="160"/>
      <c r="S530" s="160"/>
    </row>
    <row r="531">
      <c r="A531" s="155"/>
      <c r="B531" s="155"/>
      <c r="C531" s="192"/>
      <c r="D531" s="159"/>
      <c r="E531" s="159"/>
      <c r="F531" s="193"/>
      <c r="G531" s="182"/>
      <c r="H531" s="182"/>
      <c r="M531" s="155"/>
      <c r="N531" s="159"/>
      <c r="O531" s="159"/>
      <c r="P531" s="159"/>
      <c r="Q531" s="159"/>
      <c r="R531" s="160"/>
      <c r="S531" s="160"/>
    </row>
    <row r="532">
      <c r="A532" s="155"/>
      <c r="B532" s="155"/>
      <c r="C532" s="192"/>
      <c r="D532" s="159"/>
      <c r="E532" s="159"/>
      <c r="F532" s="193"/>
      <c r="G532" s="182"/>
      <c r="H532" s="182"/>
      <c r="M532" s="155"/>
      <c r="N532" s="159"/>
      <c r="O532" s="159"/>
      <c r="P532" s="159"/>
      <c r="Q532" s="159"/>
      <c r="R532" s="160"/>
      <c r="S532" s="160"/>
    </row>
    <row r="533">
      <c r="A533" s="155"/>
      <c r="B533" s="155"/>
      <c r="C533" s="192"/>
      <c r="D533" s="159"/>
      <c r="E533" s="159"/>
      <c r="F533" s="193"/>
      <c r="G533" s="182"/>
      <c r="H533" s="182"/>
      <c r="M533" s="155"/>
      <c r="N533" s="159"/>
      <c r="O533" s="159"/>
      <c r="P533" s="159"/>
      <c r="Q533" s="159"/>
      <c r="R533" s="160"/>
      <c r="S533" s="160"/>
    </row>
    <row r="534">
      <c r="A534" s="155"/>
      <c r="B534" s="155"/>
      <c r="C534" s="192"/>
      <c r="D534" s="159"/>
      <c r="E534" s="159"/>
      <c r="F534" s="193"/>
      <c r="G534" s="182"/>
      <c r="H534" s="182"/>
      <c r="M534" s="155"/>
      <c r="N534" s="159"/>
      <c r="O534" s="159"/>
      <c r="P534" s="159"/>
      <c r="Q534" s="159"/>
      <c r="R534" s="160"/>
      <c r="S534" s="160"/>
    </row>
    <row r="535">
      <c r="A535" s="155"/>
      <c r="B535" s="155"/>
      <c r="C535" s="192"/>
      <c r="D535" s="159"/>
      <c r="E535" s="159"/>
      <c r="F535" s="193"/>
      <c r="G535" s="182"/>
      <c r="H535" s="182"/>
      <c r="M535" s="155"/>
      <c r="N535" s="159"/>
      <c r="O535" s="159"/>
      <c r="P535" s="159"/>
      <c r="Q535" s="159"/>
      <c r="R535" s="160"/>
      <c r="S535" s="160"/>
    </row>
    <row r="536">
      <c r="A536" s="155"/>
      <c r="B536" s="155"/>
      <c r="C536" s="192"/>
      <c r="D536" s="159"/>
      <c r="E536" s="159"/>
      <c r="F536" s="193"/>
      <c r="G536" s="182"/>
      <c r="H536" s="182"/>
      <c r="M536" s="155"/>
      <c r="N536" s="159"/>
      <c r="O536" s="159"/>
      <c r="P536" s="159"/>
      <c r="Q536" s="159"/>
      <c r="R536" s="160"/>
      <c r="S536" s="160"/>
    </row>
    <row r="537">
      <c r="A537" s="155"/>
      <c r="B537" s="155"/>
      <c r="C537" s="192"/>
      <c r="D537" s="159"/>
      <c r="E537" s="159"/>
      <c r="F537" s="193"/>
      <c r="G537" s="182"/>
      <c r="H537" s="182"/>
      <c r="M537" s="155"/>
      <c r="N537" s="159"/>
      <c r="O537" s="159"/>
      <c r="P537" s="159"/>
      <c r="Q537" s="159"/>
      <c r="R537" s="160"/>
      <c r="S537" s="160"/>
    </row>
    <row r="538">
      <c r="A538" s="155"/>
      <c r="B538" s="155"/>
      <c r="C538" s="192"/>
      <c r="D538" s="159"/>
      <c r="E538" s="159"/>
      <c r="F538" s="193"/>
      <c r="G538" s="182"/>
      <c r="H538" s="182"/>
      <c r="M538" s="155"/>
      <c r="N538" s="159"/>
      <c r="O538" s="159"/>
      <c r="P538" s="159"/>
      <c r="Q538" s="159"/>
      <c r="R538" s="160"/>
      <c r="S538" s="160"/>
    </row>
    <row r="539">
      <c r="A539" s="155"/>
      <c r="B539" s="155"/>
      <c r="C539" s="192"/>
      <c r="D539" s="159"/>
      <c r="E539" s="159"/>
      <c r="F539" s="193"/>
      <c r="G539" s="182"/>
      <c r="H539" s="182"/>
      <c r="M539" s="155"/>
      <c r="N539" s="159"/>
      <c r="O539" s="159"/>
      <c r="P539" s="159"/>
      <c r="Q539" s="159"/>
      <c r="R539" s="160"/>
      <c r="S539" s="160"/>
    </row>
    <row r="540">
      <c r="A540" s="155"/>
      <c r="B540" s="155"/>
      <c r="C540" s="192"/>
      <c r="D540" s="159"/>
      <c r="E540" s="159"/>
      <c r="F540" s="193"/>
      <c r="G540" s="182"/>
      <c r="H540" s="182"/>
      <c r="M540" s="155"/>
      <c r="N540" s="159"/>
      <c r="O540" s="159"/>
      <c r="P540" s="159"/>
      <c r="Q540" s="159"/>
      <c r="R540" s="160"/>
      <c r="S540" s="160"/>
    </row>
    <row r="541">
      <c r="A541" s="155"/>
      <c r="B541" s="155"/>
      <c r="C541" s="192"/>
      <c r="D541" s="159"/>
      <c r="E541" s="159"/>
      <c r="F541" s="193"/>
      <c r="G541" s="182"/>
      <c r="H541" s="182"/>
      <c r="M541" s="155"/>
      <c r="N541" s="159"/>
      <c r="O541" s="159"/>
      <c r="P541" s="159"/>
      <c r="Q541" s="159"/>
      <c r="R541" s="160"/>
      <c r="S541" s="160"/>
    </row>
    <row r="542">
      <c r="A542" s="155"/>
      <c r="B542" s="155"/>
      <c r="C542" s="192"/>
      <c r="D542" s="159"/>
      <c r="E542" s="159"/>
      <c r="F542" s="193"/>
      <c r="G542" s="182"/>
      <c r="H542" s="182"/>
      <c r="M542" s="155"/>
      <c r="N542" s="159"/>
      <c r="O542" s="159"/>
      <c r="P542" s="159"/>
      <c r="Q542" s="159"/>
      <c r="R542" s="160"/>
      <c r="S542" s="160"/>
    </row>
    <row r="543">
      <c r="A543" s="155"/>
      <c r="B543" s="155"/>
      <c r="C543" s="192"/>
      <c r="D543" s="159"/>
      <c r="E543" s="159"/>
      <c r="F543" s="193"/>
      <c r="G543" s="182"/>
      <c r="H543" s="182"/>
      <c r="M543" s="155"/>
      <c r="N543" s="159"/>
      <c r="O543" s="159"/>
      <c r="P543" s="159"/>
      <c r="Q543" s="159"/>
      <c r="R543" s="160"/>
      <c r="S543" s="160"/>
    </row>
    <row r="544">
      <c r="A544" s="155"/>
      <c r="B544" s="155"/>
      <c r="C544" s="192"/>
      <c r="D544" s="159"/>
      <c r="E544" s="159"/>
      <c r="F544" s="193"/>
      <c r="G544" s="182"/>
      <c r="H544" s="182"/>
      <c r="M544" s="155"/>
      <c r="N544" s="159"/>
      <c r="O544" s="159"/>
      <c r="P544" s="159"/>
      <c r="Q544" s="159"/>
      <c r="R544" s="160"/>
      <c r="S544" s="160"/>
    </row>
    <row r="545">
      <c r="A545" s="155"/>
      <c r="B545" s="155"/>
      <c r="C545" s="192"/>
      <c r="D545" s="159"/>
      <c r="E545" s="159"/>
      <c r="F545" s="193"/>
      <c r="G545" s="182"/>
      <c r="H545" s="182"/>
      <c r="M545" s="155"/>
      <c r="N545" s="159"/>
      <c r="O545" s="159"/>
      <c r="P545" s="159"/>
      <c r="Q545" s="159"/>
      <c r="R545" s="160"/>
      <c r="S545" s="160"/>
    </row>
    <row r="546">
      <c r="A546" s="155"/>
      <c r="B546" s="155"/>
      <c r="C546" s="192"/>
      <c r="D546" s="159"/>
      <c r="E546" s="159"/>
      <c r="F546" s="193"/>
      <c r="G546" s="182"/>
      <c r="H546" s="182"/>
      <c r="M546" s="155"/>
      <c r="N546" s="159"/>
      <c r="O546" s="159"/>
      <c r="P546" s="159"/>
      <c r="Q546" s="159"/>
      <c r="R546" s="160"/>
      <c r="S546" s="160"/>
    </row>
    <row r="547">
      <c r="A547" s="155"/>
      <c r="B547" s="155"/>
      <c r="C547" s="192"/>
      <c r="D547" s="159"/>
      <c r="E547" s="159"/>
      <c r="F547" s="193"/>
      <c r="G547" s="182"/>
      <c r="H547" s="182"/>
      <c r="M547" s="155"/>
      <c r="N547" s="159"/>
      <c r="O547" s="159"/>
      <c r="P547" s="159"/>
      <c r="Q547" s="159"/>
      <c r="R547" s="160"/>
      <c r="S547" s="160"/>
    </row>
    <row r="548">
      <c r="A548" s="155"/>
      <c r="B548" s="155"/>
      <c r="C548" s="192"/>
      <c r="D548" s="159"/>
      <c r="E548" s="159"/>
      <c r="F548" s="193"/>
      <c r="G548" s="182"/>
      <c r="H548" s="182"/>
      <c r="M548" s="155"/>
      <c r="N548" s="159"/>
      <c r="O548" s="159"/>
      <c r="P548" s="159"/>
      <c r="Q548" s="159"/>
      <c r="R548" s="160"/>
      <c r="S548" s="160"/>
    </row>
    <row r="549">
      <c r="A549" s="155"/>
      <c r="B549" s="155"/>
      <c r="C549" s="192"/>
      <c r="D549" s="159"/>
      <c r="E549" s="159"/>
      <c r="F549" s="193"/>
      <c r="G549" s="182"/>
      <c r="H549" s="182"/>
      <c r="M549" s="155"/>
      <c r="N549" s="159"/>
      <c r="O549" s="159"/>
      <c r="P549" s="159"/>
      <c r="Q549" s="159"/>
      <c r="R549" s="160"/>
      <c r="S549" s="160"/>
    </row>
    <row r="550">
      <c r="A550" s="155"/>
      <c r="B550" s="155"/>
      <c r="C550" s="192"/>
      <c r="D550" s="159"/>
      <c r="E550" s="159"/>
      <c r="F550" s="193"/>
      <c r="G550" s="182"/>
      <c r="H550" s="182"/>
      <c r="M550" s="155"/>
      <c r="N550" s="159"/>
      <c r="O550" s="159"/>
      <c r="P550" s="159"/>
      <c r="Q550" s="159"/>
      <c r="R550" s="160"/>
      <c r="S550" s="160"/>
    </row>
    <row r="551">
      <c r="A551" s="155"/>
      <c r="B551" s="155"/>
      <c r="C551" s="192"/>
      <c r="D551" s="159"/>
      <c r="E551" s="159"/>
      <c r="F551" s="193"/>
      <c r="G551" s="182"/>
      <c r="H551" s="182"/>
      <c r="M551" s="155"/>
      <c r="N551" s="159"/>
      <c r="O551" s="159"/>
      <c r="P551" s="159"/>
      <c r="Q551" s="159"/>
      <c r="R551" s="160"/>
      <c r="S551" s="160"/>
    </row>
    <row r="552">
      <c r="A552" s="155"/>
      <c r="B552" s="155"/>
      <c r="C552" s="192"/>
      <c r="D552" s="159"/>
      <c r="E552" s="159"/>
      <c r="F552" s="193"/>
      <c r="G552" s="182"/>
      <c r="H552" s="182"/>
      <c r="M552" s="155"/>
      <c r="N552" s="159"/>
      <c r="O552" s="159"/>
      <c r="P552" s="159"/>
      <c r="Q552" s="159"/>
      <c r="R552" s="160"/>
      <c r="S552" s="160"/>
    </row>
    <row r="553">
      <c r="A553" s="155"/>
      <c r="B553" s="155"/>
      <c r="C553" s="192"/>
      <c r="D553" s="159"/>
      <c r="E553" s="159"/>
      <c r="F553" s="193"/>
      <c r="G553" s="182"/>
      <c r="H553" s="182"/>
      <c r="M553" s="155"/>
      <c r="N553" s="159"/>
      <c r="O553" s="159"/>
      <c r="P553" s="159"/>
      <c r="Q553" s="159"/>
      <c r="R553" s="160"/>
      <c r="S553" s="160"/>
    </row>
    <row r="554">
      <c r="A554" s="155"/>
      <c r="B554" s="155"/>
      <c r="C554" s="192"/>
      <c r="D554" s="159"/>
      <c r="E554" s="159"/>
      <c r="F554" s="193"/>
      <c r="G554" s="182"/>
      <c r="H554" s="182"/>
      <c r="M554" s="155"/>
      <c r="N554" s="159"/>
      <c r="O554" s="159"/>
      <c r="P554" s="159"/>
      <c r="Q554" s="159"/>
      <c r="R554" s="160"/>
      <c r="S554" s="160"/>
    </row>
    <row r="555">
      <c r="A555" s="155"/>
      <c r="B555" s="155"/>
      <c r="C555" s="192"/>
      <c r="D555" s="159"/>
      <c r="E555" s="159"/>
      <c r="F555" s="193"/>
      <c r="G555" s="182"/>
      <c r="H555" s="182"/>
      <c r="M555" s="155"/>
      <c r="N555" s="159"/>
      <c r="O555" s="159"/>
      <c r="P555" s="159"/>
      <c r="Q555" s="159"/>
      <c r="R555" s="160"/>
      <c r="S555" s="160"/>
    </row>
    <row r="556">
      <c r="A556" s="155"/>
      <c r="B556" s="155"/>
      <c r="C556" s="192"/>
      <c r="D556" s="159"/>
      <c r="E556" s="159"/>
      <c r="F556" s="193"/>
      <c r="G556" s="182"/>
      <c r="H556" s="182"/>
      <c r="M556" s="155"/>
      <c r="N556" s="159"/>
      <c r="O556" s="159"/>
      <c r="P556" s="159"/>
      <c r="Q556" s="159"/>
      <c r="R556" s="160"/>
      <c r="S556" s="160"/>
    </row>
    <row r="557">
      <c r="A557" s="155"/>
      <c r="B557" s="155"/>
      <c r="C557" s="192"/>
      <c r="D557" s="159"/>
      <c r="E557" s="159"/>
      <c r="F557" s="193"/>
      <c r="G557" s="182"/>
      <c r="H557" s="182"/>
      <c r="M557" s="155"/>
      <c r="N557" s="159"/>
      <c r="O557" s="159"/>
      <c r="P557" s="159"/>
      <c r="Q557" s="159"/>
      <c r="R557" s="160"/>
      <c r="S557" s="160"/>
    </row>
    <row r="558">
      <c r="A558" s="155"/>
      <c r="B558" s="155"/>
      <c r="C558" s="192"/>
      <c r="D558" s="159"/>
      <c r="E558" s="159"/>
      <c r="F558" s="193"/>
      <c r="G558" s="182"/>
      <c r="H558" s="182"/>
      <c r="M558" s="155"/>
      <c r="N558" s="159"/>
      <c r="O558" s="159"/>
      <c r="P558" s="159"/>
      <c r="Q558" s="159"/>
      <c r="R558" s="160"/>
      <c r="S558" s="160"/>
    </row>
    <row r="559">
      <c r="A559" s="155"/>
      <c r="B559" s="155"/>
      <c r="C559" s="192"/>
      <c r="D559" s="159"/>
      <c r="E559" s="159"/>
      <c r="F559" s="193"/>
      <c r="G559" s="182"/>
      <c r="H559" s="182"/>
      <c r="M559" s="155"/>
      <c r="N559" s="159"/>
      <c r="O559" s="159"/>
      <c r="P559" s="159"/>
      <c r="Q559" s="159"/>
      <c r="R559" s="160"/>
      <c r="S559" s="160"/>
    </row>
    <row r="560">
      <c r="A560" s="155"/>
      <c r="B560" s="155"/>
      <c r="C560" s="192"/>
      <c r="D560" s="159"/>
      <c r="E560" s="159"/>
      <c r="F560" s="193"/>
      <c r="G560" s="182"/>
      <c r="H560" s="182"/>
      <c r="M560" s="155"/>
      <c r="N560" s="159"/>
      <c r="O560" s="159"/>
      <c r="P560" s="159"/>
      <c r="Q560" s="159"/>
      <c r="R560" s="160"/>
      <c r="S560" s="160"/>
    </row>
    <row r="561">
      <c r="A561" s="155"/>
      <c r="B561" s="155"/>
      <c r="C561" s="192"/>
      <c r="D561" s="159"/>
      <c r="E561" s="159"/>
      <c r="F561" s="193"/>
      <c r="G561" s="182"/>
      <c r="H561" s="182"/>
      <c r="M561" s="155"/>
      <c r="N561" s="159"/>
      <c r="O561" s="159"/>
      <c r="P561" s="159"/>
      <c r="Q561" s="159"/>
      <c r="R561" s="160"/>
      <c r="S561" s="160"/>
    </row>
    <row r="562">
      <c r="A562" s="155"/>
      <c r="B562" s="155"/>
      <c r="C562" s="192"/>
      <c r="D562" s="159"/>
      <c r="E562" s="159"/>
      <c r="F562" s="193"/>
      <c r="G562" s="182"/>
      <c r="H562" s="182"/>
      <c r="M562" s="155"/>
      <c r="N562" s="159"/>
      <c r="O562" s="159"/>
      <c r="P562" s="159"/>
      <c r="Q562" s="159"/>
      <c r="R562" s="160"/>
      <c r="S562" s="160"/>
    </row>
    <row r="563">
      <c r="A563" s="155"/>
      <c r="B563" s="155"/>
      <c r="C563" s="192"/>
      <c r="D563" s="159"/>
      <c r="E563" s="159"/>
      <c r="F563" s="193"/>
      <c r="G563" s="182"/>
      <c r="H563" s="182"/>
      <c r="M563" s="155"/>
      <c r="N563" s="159"/>
      <c r="O563" s="159"/>
      <c r="P563" s="159"/>
      <c r="Q563" s="159"/>
      <c r="R563" s="160"/>
      <c r="S563" s="160"/>
    </row>
    <row r="564">
      <c r="A564" s="155"/>
      <c r="B564" s="155"/>
      <c r="C564" s="192"/>
      <c r="D564" s="159"/>
      <c r="E564" s="159"/>
      <c r="F564" s="193"/>
      <c r="G564" s="182"/>
      <c r="H564" s="182"/>
      <c r="M564" s="155"/>
      <c r="N564" s="159"/>
      <c r="O564" s="159"/>
      <c r="P564" s="159"/>
      <c r="Q564" s="159"/>
      <c r="R564" s="160"/>
      <c r="S564" s="160"/>
    </row>
    <row r="565">
      <c r="A565" s="155"/>
      <c r="B565" s="155"/>
      <c r="C565" s="192"/>
      <c r="D565" s="159"/>
      <c r="E565" s="159"/>
      <c r="F565" s="193"/>
      <c r="G565" s="182"/>
      <c r="H565" s="182"/>
      <c r="M565" s="155"/>
      <c r="N565" s="159"/>
      <c r="O565" s="159"/>
      <c r="P565" s="159"/>
      <c r="Q565" s="159"/>
      <c r="R565" s="160"/>
      <c r="S565" s="160"/>
    </row>
    <row r="566">
      <c r="A566" s="155"/>
      <c r="B566" s="155"/>
      <c r="C566" s="192"/>
      <c r="D566" s="159"/>
      <c r="E566" s="159"/>
      <c r="F566" s="193"/>
      <c r="G566" s="182"/>
      <c r="H566" s="182"/>
      <c r="M566" s="155"/>
      <c r="N566" s="159"/>
      <c r="O566" s="159"/>
      <c r="P566" s="159"/>
      <c r="Q566" s="159"/>
      <c r="R566" s="160"/>
      <c r="S566" s="160"/>
    </row>
    <row r="567">
      <c r="A567" s="155"/>
      <c r="B567" s="155"/>
      <c r="C567" s="192"/>
      <c r="D567" s="159"/>
      <c r="E567" s="159"/>
      <c r="F567" s="193"/>
      <c r="G567" s="182"/>
      <c r="H567" s="182"/>
      <c r="M567" s="155"/>
      <c r="N567" s="159"/>
      <c r="O567" s="159"/>
      <c r="P567" s="159"/>
      <c r="Q567" s="159"/>
      <c r="R567" s="160"/>
      <c r="S567" s="160"/>
    </row>
    <row r="568">
      <c r="A568" s="155"/>
      <c r="B568" s="155"/>
      <c r="C568" s="192"/>
      <c r="D568" s="159"/>
      <c r="E568" s="159"/>
      <c r="F568" s="193"/>
      <c r="G568" s="182"/>
      <c r="H568" s="182"/>
      <c r="M568" s="155"/>
      <c r="N568" s="159"/>
      <c r="O568" s="159"/>
      <c r="P568" s="159"/>
      <c r="Q568" s="159"/>
      <c r="R568" s="160"/>
      <c r="S568" s="160"/>
    </row>
    <row r="569">
      <c r="A569" s="155"/>
      <c r="B569" s="155"/>
      <c r="C569" s="192"/>
      <c r="D569" s="159"/>
      <c r="E569" s="159"/>
      <c r="F569" s="193"/>
      <c r="G569" s="182"/>
      <c r="H569" s="182"/>
      <c r="M569" s="155"/>
      <c r="N569" s="159"/>
      <c r="O569" s="159"/>
      <c r="P569" s="159"/>
      <c r="Q569" s="159"/>
      <c r="R569" s="160"/>
      <c r="S569" s="160"/>
    </row>
    <row r="570">
      <c r="A570" s="155"/>
      <c r="B570" s="155"/>
      <c r="C570" s="192"/>
      <c r="D570" s="159"/>
      <c r="E570" s="159"/>
      <c r="F570" s="193"/>
      <c r="G570" s="182"/>
      <c r="H570" s="182"/>
      <c r="M570" s="155"/>
      <c r="N570" s="159"/>
      <c r="O570" s="159"/>
      <c r="P570" s="159"/>
      <c r="Q570" s="159"/>
      <c r="R570" s="160"/>
      <c r="S570" s="160"/>
    </row>
    <row r="571">
      <c r="A571" s="155"/>
      <c r="B571" s="155"/>
      <c r="C571" s="192"/>
      <c r="D571" s="159"/>
      <c r="E571" s="159"/>
      <c r="F571" s="193"/>
      <c r="G571" s="182"/>
      <c r="H571" s="182"/>
      <c r="M571" s="155"/>
      <c r="N571" s="159"/>
      <c r="O571" s="159"/>
      <c r="P571" s="159"/>
      <c r="Q571" s="159"/>
      <c r="R571" s="160"/>
      <c r="S571" s="160"/>
    </row>
    <row r="572">
      <c r="A572" s="155"/>
      <c r="B572" s="155"/>
      <c r="C572" s="192"/>
      <c r="D572" s="159"/>
      <c r="E572" s="159"/>
      <c r="F572" s="193"/>
      <c r="G572" s="182"/>
      <c r="H572" s="182"/>
      <c r="M572" s="155"/>
      <c r="N572" s="159"/>
      <c r="O572" s="159"/>
      <c r="P572" s="159"/>
      <c r="Q572" s="159"/>
      <c r="R572" s="160"/>
      <c r="S572" s="160"/>
    </row>
    <row r="573">
      <c r="A573" s="155"/>
      <c r="B573" s="155"/>
      <c r="C573" s="192"/>
      <c r="D573" s="159"/>
      <c r="E573" s="159"/>
      <c r="F573" s="193"/>
      <c r="G573" s="182"/>
      <c r="H573" s="182"/>
      <c r="M573" s="155"/>
      <c r="N573" s="159"/>
      <c r="O573" s="159"/>
      <c r="P573" s="159"/>
      <c r="Q573" s="159"/>
      <c r="R573" s="160"/>
      <c r="S573" s="160"/>
    </row>
    <row r="574">
      <c r="A574" s="155"/>
      <c r="B574" s="155"/>
      <c r="C574" s="192"/>
      <c r="D574" s="159"/>
      <c r="E574" s="159"/>
      <c r="F574" s="193"/>
      <c r="G574" s="182"/>
      <c r="H574" s="182"/>
      <c r="M574" s="155"/>
      <c r="N574" s="159"/>
      <c r="O574" s="159"/>
      <c r="P574" s="159"/>
      <c r="Q574" s="159"/>
      <c r="R574" s="160"/>
      <c r="S574" s="160"/>
    </row>
    <row r="575">
      <c r="A575" s="155"/>
      <c r="B575" s="155"/>
      <c r="C575" s="192"/>
      <c r="D575" s="159"/>
      <c r="E575" s="159"/>
      <c r="F575" s="193"/>
      <c r="G575" s="182"/>
      <c r="H575" s="182"/>
      <c r="M575" s="155"/>
      <c r="N575" s="159"/>
      <c r="O575" s="159"/>
      <c r="P575" s="159"/>
      <c r="Q575" s="159"/>
      <c r="R575" s="160"/>
      <c r="S575" s="160"/>
    </row>
    <row r="576">
      <c r="A576" s="155"/>
      <c r="B576" s="155"/>
      <c r="C576" s="192"/>
      <c r="D576" s="159"/>
      <c r="E576" s="159"/>
      <c r="F576" s="193"/>
      <c r="G576" s="182"/>
      <c r="H576" s="182"/>
      <c r="M576" s="155"/>
      <c r="N576" s="159"/>
      <c r="O576" s="159"/>
      <c r="P576" s="159"/>
      <c r="Q576" s="159"/>
      <c r="R576" s="160"/>
      <c r="S576" s="160"/>
    </row>
    <row r="577">
      <c r="A577" s="155"/>
      <c r="B577" s="155"/>
      <c r="C577" s="192"/>
      <c r="D577" s="159"/>
      <c r="E577" s="159"/>
      <c r="F577" s="193"/>
      <c r="G577" s="182"/>
      <c r="H577" s="182"/>
      <c r="M577" s="155"/>
      <c r="N577" s="159"/>
      <c r="O577" s="159"/>
      <c r="P577" s="159"/>
      <c r="Q577" s="159"/>
      <c r="R577" s="160"/>
      <c r="S577" s="160"/>
    </row>
    <row r="578">
      <c r="A578" s="155"/>
      <c r="B578" s="155"/>
      <c r="C578" s="192"/>
      <c r="D578" s="159"/>
      <c r="E578" s="159"/>
      <c r="F578" s="193"/>
      <c r="G578" s="182"/>
      <c r="H578" s="182"/>
      <c r="M578" s="155"/>
      <c r="N578" s="159"/>
      <c r="O578" s="159"/>
      <c r="P578" s="159"/>
      <c r="Q578" s="159"/>
      <c r="R578" s="160"/>
      <c r="S578" s="160"/>
    </row>
    <row r="579">
      <c r="A579" s="155"/>
      <c r="B579" s="155"/>
      <c r="C579" s="192"/>
      <c r="D579" s="159"/>
      <c r="E579" s="159"/>
      <c r="F579" s="193"/>
      <c r="G579" s="182"/>
      <c r="H579" s="182"/>
      <c r="M579" s="155"/>
      <c r="N579" s="159"/>
      <c r="O579" s="159"/>
      <c r="P579" s="159"/>
      <c r="Q579" s="159"/>
      <c r="R579" s="160"/>
      <c r="S579" s="160"/>
    </row>
    <row r="580">
      <c r="A580" s="155"/>
      <c r="B580" s="155"/>
      <c r="C580" s="192"/>
      <c r="D580" s="159"/>
      <c r="E580" s="159"/>
      <c r="F580" s="193"/>
      <c r="G580" s="182"/>
      <c r="H580" s="182"/>
      <c r="M580" s="155"/>
      <c r="N580" s="159"/>
      <c r="O580" s="159"/>
      <c r="P580" s="159"/>
      <c r="Q580" s="159"/>
      <c r="R580" s="160"/>
      <c r="S580" s="160"/>
    </row>
    <row r="581">
      <c r="A581" s="155"/>
      <c r="B581" s="155"/>
      <c r="C581" s="192"/>
      <c r="D581" s="159"/>
      <c r="E581" s="159"/>
      <c r="F581" s="193"/>
      <c r="G581" s="182"/>
      <c r="H581" s="182"/>
      <c r="M581" s="155"/>
      <c r="N581" s="159"/>
      <c r="O581" s="159"/>
      <c r="P581" s="159"/>
      <c r="Q581" s="159"/>
      <c r="R581" s="160"/>
      <c r="S581" s="160"/>
    </row>
    <row r="582">
      <c r="A582" s="155"/>
      <c r="B582" s="155"/>
      <c r="C582" s="192"/>
      <c r="D582" s="159"/>
      <c r="E582" s="159"/>
      <c r="F582" s="193"/>
      <c r="G582" s="182"/>
      <c r="H582" s="182"/>
      <c r="M582" s="155"/>
      <c r="N582" s="159"/>
      <c r="O582" s="159"/>
      <c r="P582" s="159"/>
      <c r="Q582" s="159"/>
      <c r="R582" s="160"/>
      <c r="S582" s="160"/>
    </row>
    <row r="583">
      <c r="A583" s="155"/>
      <c r="B583" s="155"/>
      <c r="C583" s="192"/>
      <c r="D583" s="159"/>
      <c r="E583" s="159"/>
      <c r="F583" s="193"/>
      <c r="G583" s="182"/>
      <c r="H583" s="182"/>
      <c r="M583" s="155"/>
      <c r="N583" s="159"/>
      <c r="O583" s="159"/>
      <c r="P583" s="159"/>
      <c r="Q583" s="159"/>
      <c r="R583" s="160"/>
      <c r="S583" s="160"/>
    </row>
    <row r="584">
      <c r="A584" s="155"/>
      <c r="B584" s="155"/>
      <c r="C584" s="192"/>
      <c r="D584" s="159"/>
      <c r="E584" s="159"/>
      <c r="F584" s="193"/>
      <c r="G584" s="182"/>
      <c r="H584" s="182"/>
      <c r="M584" s="155"/>
      <c r="N584" s="159"/>
      <c r="O584" s="159"/>
      <c r="P584" s="159"/>
      <c r="Q584" s="159"/>
      <c r="R584" s="160"/>
      <c r="S584" s="160"/>
    </row>
    <row r="585">
      <c r="A585" s="155"/>
      <c r="B585" s="155"/>
      <c r="C585" s="192"/>
      <c r="D585" s="159"/>
      <c r="E585" s="159"/>
      <c r="F585" s="193"/>
      <c r="G585" s="182"/>
      <c r="H585" s="182"/>
      <c r="M585" s="155"/>
      <c r="N585" s="159"/>
      <c r="O585" s="159"/>
      <c r="P585" s="159"/>
      <c r="Q585" s="159"/>
      <c r="R585" s="160"/>
      <c r="S585" s="160"/>
    </row>
    <row r="586">
      <c r="A586" s="155"/>
      <c r="B586" s="155"/>
      <c r="C586" s="192"/>
      <c r="D586" s="159"/>
      <c r="E586" s="159"/>
      <c r="F586" s="193"/>
      <c r="G586" s="182"/>
      <c r="H586" s="182"/>
      <c r="M586" s="155"/>
      <c r="N586" s="159"/>
      <c r="O586" s="159"/>
      <c r="P586" s="159"/>
      <c r="Q586" s="159"/>
      <c r="R586" s="160"/>
      <c r="S586" s="160"/>
    </row>
    <row r="587">
      <c r="A587" s="155"/>
      <c r="B587" s="155"/>
      <c r="C587" s="192"/>
      <c r="D587" s="159"/>
      <c r="E587" s="159"/>
      <c r="F587" s="193"/>
      <c r="G587" s="182"/>
      <c r="H587" s="182"/>
      <c r="M587" s="155"/>
      <c r="N587" s="159"/>
      <c r="O587" s="159"/>
      <c r="P587" s="159"/>
      <c r="Q587" s="159"/>
      <c r="R587" s="160"/>
      <c r="S587" s="160"/>
    </row>
    <row r="588">
      <c r="A588" s="155"/>
      <c r="B588" s="155"/>
      <c r="C588" s="192"/>
      <c r="D588" s="159"/>
      <c r="E588" s="159"/>
      <c r="F588" s="193"/>
      <c r="G588" s="182"/>
      <c r="H588" s="182"/>
      <c r="M588" s="155"/>
      <c r="N588" s="159"/>
      <c r="O588" s="159"/>
      <c r="P588" s="159"/>
      <c r="Q588" s="159"/>
      <c r="R588" s="160"/>
      <c r="S588" s="160"/>
    </row>
    <row r="589">
      <c r="A589" s="155"/>
      <c r="B589" s="155"/>
      <c r="C589" s="192"/>
      <c r="D589" s="159"/>
      <c r="E589" s="159"/>
      <c r="F589" s="193"/>
      <c r="G589" s="182"/>
      <c r="H589" s="182"/>
      <c r="M589" s="155"/>
      <c r="N589" s="159"/>
      <c r="O589" s="159"/>
      <c r="P589" s="159"/>
      <c r="Q589" s="159"/>
      <c r="R589" s="160"/>
      <c r="S589" s="160"/>
    </row>
    <row r="590">
      <c r="A590" s="155"/>
      <c r="B590" s="155"/>
      <c r="C590" s="192"/>
      <c r="D590" s="159"/>
      <c r="E590" s="159"/>
      <c r="F590" s="193"/>
      <c r="G590" s="182"/>
      <c r="H590" s="182"/>
      <c r="M590" s="155"/>
      <c r="N590" s="159"/>
      <c r="O590" s="159"/>
      <c r="P590" s="159"/>
      <c r="Q590" s="159"/>
      <c r="R590" s="160"/>
      <c r="S590" s="160"/>
    </row>
    <row r="591">
      <c r="A591" s="155"/>
      <c r="B591" s="155"/>
      <c r="C591" s="192"/>
      <c r="D591" s="159"/>
      <c r="E591" s="159"/>
      <c r="F591" s="193"/>
      <c r="G591" s="182"/>
      <c r="H591" s="182"/>
      <c r="M591" s="155"/>
      <c r="N591" s="159"/>
      <c r="O591" s="159"/>
      <c r="P591" s="159"/>
      <c r="Q591" s="159"/>
      <c r="R591" s="160"/>
      <c r="S591" s="160"/>
    </row>
    <row r="592">
      <c r="A592" s="155"/>
      <c r="B592" s="155"/>
      <c r="C592" s="192"/>
      <c r="D592" s="159"/>
      <c r="E592" s="159"/>
      <c r="F592" s="193"/>
      <c r="G592" s="182"/>
      <c r="H592" s="182"/>
      <c r="M592" s="155"/>
      <c r="N592" s="159"/>
      <c r="O592" s="159"/>
      <c r="P592" s="159"/>
      <c r="Q592" s="159"/>
      <c r="R592" s="160"/>
      <c r="S592" s="160"/>
    </row>
    <row r="593">
      <c r="A593" s="155"/>
      <c r="B593" s="155"/>
      <c r="C593" s="192"/>
      <c r="D593" s="159"/>
      <c r="E593" s="159"/>
      <c r="F593" s="193"/>
      <c r="G593" s="182"/>
      <c r="H593" s="182"/>
      <c r="M593" s="155"/>
      <c r="N593" s="159"/>
      <c r="O593" s="159"/>
      <c r="P593" s="159"/>
      <c r="Q593" s="159"/>
      <c r="R593" s="160"/>
      <c r="S593" s="160"/>
    </row>
    <row r="594">
      <c r="A594" s="155"/>
      <c r="B594" s="155"/>
      <c r="C594" s="192"/>
      <c r="D594" s="159"/>
      <c r="E594" s="159"/>
      <c r="F594" s="193"/>
      <c r="G594" s="182"/>
      <c r="H594" s="182"/>
      <c r="M594" s="155"/>
      <c r="N594" s="159"/>
      <c r="O594" s="159"/>
      <c r="P594" s="159"/>
      <c r="Q594" s="159"/>
      <c r="R594" s="160"/>
      <c r="S594" s="160"/>
    </row>
    <row r="595">
      <c r="A595" s="155"/>
      <c r="B595" s="155"/>
      <c r="C595" s="192"/>
      <c r="D595" s="159"/>
      <c r="E595" s="159"/>
      <c r="F595" s="193"/>
      <c r="G595" s="182"/>
      <c r="H595" s="182"/>
      <c r="M595" s="155"/>
      <c r="N595" s="159"/>
      <c r="O595" s="159"/>
      <c r="P595" s="159"/>
      <c r="Q595" s="159"/>
      <c r="R595" s="160"/>
      <c r="S595" s="160"/>
    </row>
    <row r="596">
      <c r="A596" s="155"/>
      <c r="B596" s="155"/>
      <c r="C596" s="192"/>
      <c r="D596" s="159"/>
      <c r="E596" s="159"/>
      <c r="F596" s="193"/>
      <c r="G596" s="182"/>
      <c r="H596" s="182"/>
      <c r="M596" s="155"/>
      <c r="N596" s="159"/>
      <c r="O596" s="159"/>
      <c r="P596" s="159"/>
      <c r="Q596" s="159"/>
      <c r="R596" s="160"/>
      <c r="S596" s="160"/>
    </row>
    <row r="597">
      <c r="A597" s="155"/>
      <c r="B597" s="155"/>
      <c r="C597" s="192"/>
      <c r="D597" s="159"/>
      <c r="E597" s="159"/>
      <c r="F597" s="193"/>
      <c r="G597" s="182"/>
      <c r="H597" s="182"/>
      <c r="M597" s="155"/>
      <c r="N597" s="159"/>
      <c r="O597" s="159"/>
      <c r="P597" s="159"/>
      <c r="Q597" s="159"/>
      <c r="R597" s="160"/>
      <c r="S597" s="160"/>
    </row>
    <row r="598">
      <c r="A598" s="155"/>
      <c r="B598" s="155"/>
      <c r="C598" s="192"/>
      <c r="D598" s="159"/>
      <c r="E598" s="159"/>
      <c r="F598" s="193"/>
      <c r="G598" s="182"/>
      <c r="H598" s="182"/>
      <c r="M598" s="155"/>
      <c r="N598" s="159"/>
      <c r="O598" s="159"/>
      <c r="P598" s="159"/>
      <c r="Q598" s="159"/>
      <c r="R598" s="160"/>
      <c r="S598" s="160"/>
    </row>
    <row r="599">
      <c r="A599" s="155"/>
      <c r="B599" s="155"/>
      <c r="C599" s="192"/>
      <c r="D599" s="159"/>
      <c r="E599" s="159"/>
      <c r="F599" s="193"/>
      <c r="G599" s="182"/>
      <c r="H599" s="182"/>
      <c r="M599" s="155"/>
      <c r="N599" s="159"/>
      <c r="O599" s="159"/>
      <c r="P599" s="159"/>
      <c r="Q599" s="159"/>
      <c r="R599" s="160"/>
      <c r="S599" s="160"/>
    </row>
    <row r="600">
      <c r="A600" s="155"/>
      <c r="B600" s="155"/>
      <c r="C600" s="192"/>
      <c r="D600" s="159"/>
      <c r="E600" s="159"/>
      <c r="F600" s="193"/>
      <c r="G600" s="182"/>
      <c r="H600" s="182"/>
      <c r="M600" s="155"/>
      <c r="N600" s="159"/>
      <c r="O600" s="159"/>
      <c r="P600" s="159"/>
      <c r="Q600" s="159"/>
      <c r="R600" s="160"/>
      <c r="S600" s="160"/>
    </row>
    <row r="601">
      <c r="A601" s="155"/>
      <c r="B601" s="155"/>
      <c r="C601" s="192"/>
      <c r="D601" s="159"/>
      <c r="E601" s="159"/>
      <c r="F601" s="193"/>
      <c r="G601" s="182"/>
      <c r="H601" s="182"/>
      <c r="M601" s="155"/>
      <c r="N601" s="159"/>
      <c r="O601" s="159"/>
      <c r="P601" s="159"/>
      <c r="Q601" s="159"/>
      <c r="R601" s="160"/>
      <c r="S601" s="160"/>
    </row>
    <row r="602">
      <c r="A602" s="155"/>
      <c r="B602" s="155"/>
      <c r="C602" s="192"/>
      <c r="D602" s="159"/>
      <c r="E602" s="159"/>
      <c r="F602" s="193"/>
      <c r="G602" s="182"/>
      <c r="H602" s="182"/>
      <c r="M602" s="155"/>
      <c r="N602" s="159"/>
      <c r="O602" s="159"/>
      <c r="P602" s="159"/>
      <c r="Q602" s="159"/>
      <c r="R602" s="160"/>
      <c r="S602" s="160"/>
    </row>
    <row r="603">
      <c r="A603" s="155"/>
      <c r="B603" s="155"/>
      <c r="C603" s="192"/>
      <c r="D603" s="159"/>
      <c r="E603" s="159"/>
      <c r="F603" s="193"/>
      <c r="G603" s="182"/>
      <c r="H603" s="182"/>
      <c r="M603" s="155"/>
      <c r="N603" s="159"/>
      <c r="O603" s="159"/>
      <c r="P603" s="159"/>
      <c r="Q603" s="159"/>
      <c r="R603" s="160"/>
      <c r="S603" s="160"/>
    </row>
    <row r="604">
      <c r="A604" s="155"/>
      <c r="B604" s="155"/>
      <c r="C604" s="192"/>
      <c r="D604" s="159"/>
      <c r="E604" s="159"/>
      <c r="F604" s="193"/>
      <c r="G604" s="182"/>
      <c r="H604" s="182"/>
      <c r="M604" s="155"/>
      <c r="N604" s="159"/>
      <c r="O604" s="159"/>
      <c r="P604" s="159"/>
      <c r="Q604" s="159"/>
      <c r="R604" s="160"/>
      <c r="S604" s="160"/>
    </row>
    <row r="605">
      <c r="A605" s="155"/>
      <c r="B605" s="155"/>
      <c r="C605" s="192"/>
      <c r="D605" s="159"/>
      <c r="E605" s="159"/>
      <c r="F605" s="193"/>
      <c r="G605" s="182"/>
      <c r="H605" s="182"/>
      <c r="M605" s="155"/>
      <c r="N605" s="159"/>
      <c r="O605" s="159"/>
      <c r="P605" s="159"/>
      <c r="Q605" s="159"/>
      <c r="R605" s="160"/>
      <c r="S605" s="160"/>
    </row>
    <row r="606">
      <c r="A606" s="155"/>
      <c r="B606" s="155"/>
      <c r="C606" s="192"/>
      <c r="D606" s="159"/>
      <c r="E606" s="159"/>
      <c r="F606" s="193"/>
      <c r="G606" s="182"/>
      <c r="H606" s="182"/>
      <c r="M606" s="155"/>
      <c r="N606" s="159"/>
      <c r="O606" s="159"/>
      <c r="P606" s="159"/>
      <c r="Q606" s="159"/>
      <c r="R606" s="160"/>
      <c r="S606" s="160"/>
    </row>
    <row r="607">
      <c r="A607" s="155"/>
      <c r="B607" s="155"/>
      <c r="C607" s="192"/>
      <c r="D607" s="159"/>
      <c r="E607" s="159"/>
      <c r="F607" s="193"/>
      <c r="G607" s="182"/>
      <c r="H607" s="182"/>
      <c r="M607" s="155"/>
      <c r="N607" s="159"/>
      <c r="O607" s="159"/>
      <c r="P607" s="159"/>
      <c r="Q607" s="159"/>
      <c r="R607" s="160"/>
      <c r="S607" s="160"/>
    </row>
    <row r="608">
      <c r="A608" s="155"/>
      <c r="B608" s="155"/>
      <c r="C608" s="192"/>
      <c r="D608" s="159"/>
      <c r="E608" s="159"/>
      <c r="F608" s="193"/>
      <c r="G608" s="182"/>
      <c r="H608" s="182"/>
      <c r="M608" s="155"/>
      <c r="N608" s="159"/>
      <c r="O608" s="159"/>
      <c r="P608" s="159"/>
      <c r="Q608" s="159"/>
      <c r="R608" s="160"/>
      <c r="S608" s="160"/>
    </row>
    <row r="609">
      <c r="A609" s="155"/>
      <c r="B609" s="155"/>
      <c r="C609" s="192"/>
      <c r="D609" s="159"/>
      <c r="E609" s="159"/>
      <c r="F609" s="193"/>
      <c r="G609" s="182"/>
      <c r="H609" s="182"/>
      <c r="M609" s="155"/>
      <c r="N609" s="159"/>
      <c r="O609" s="159"/>
      <c r="P609" s="159"/>
      <c r="Q609" s="159"/>
      <c r="R609" s="160"/>
      <c r="S609" s="160"/>
    </row>
    <row r="610">
      <c r="A610" s="155"/>
      <c r="B610" s="155"/>
      <c r="C610" s="192"/>
      <c r="D610" s="159"/>
      <c r="E610" s="159"/>
      <c r="F610" s="193"/>
      <c r="G610" s="182"/>
      <c r="H610" s="182"/>
      <c r="M610" s="155"/>
      <c r="N610" s="159"/>
      <c r="O610" s="159"/>
      <c r="P610" s="159"/>
      <c r="Q610" s="159"/>
      <c r="R610" s="160"/>
      <c r="S610" s="160"/>
    </row>
    <row r="611">
      <c r="A611" s="155"/>
      <c r="B611" s="155"/>
      <c r="C611" s="192"/>
      <c r="D611" s="159"/>
      <c r="E611" s="159"/>
      <c r="F611" s="193"/>
      <c r="G611" s="182"/>
      <c r="H611" s="182"/>
      <c r="M611" s="155"/>
      <c r="N611" s="159"/>
      <c r="O611" s="159"/>
      <c r="P611" s="159"/>
      <c r="Q611" s="159"/>
      <c r="R611" s="160"/>
      <c r="S611" s="160"/>
    </row>
    <row r="612">
      <c r="A612" s="155"/>
      <c r="B612" s="155"/>
      <c r="C612" s="192"/>
      <c r="D612" s="159"/>
      <c r="E612" s="159"/>
      <c r="F612" s="193"/>
      <c r="G612" s="182"/>
      <c r="H612" s="182"/>
      <c r="M612" s="155"/>
      <c r="N612" s="159"/>
      <c r="O612" s="159"/>
      <c r="P612" s="159"/>
      <c r="Q612" s="159"/>
      <c r="R612" s="160"/>
      <c r="S612" s="160"/>
    </row>
    <row r="613">
      <c r="A613" s="155"/>
      <c r="B613" s="155"/>
      <c r="C613" s="192"/>
      <c r="D613" s="159"/>
      <c r="E613" s="159"/>
      <c r="F613" s="193"/>
      <c r="G613" s="182"/>
      <c r="H613" s="182"/>
      <c r="M613" s="155"/>
      <c r="N613" s="159"/>
      <c r="O613" s="159"/>
      <c r="P613" s="159"/>
      <c r="Q613" s="159"/>
      <c r="R613" s="160"/>
      <c r="S613" s="160"/>
    </row>
    <row r="614">
      <c r="A614" s="155"/>
      <c r="B614" s="155"/>
      <c r="C614" s="192"/>
      <c r="D614" s="159"/>
      <c r="E614" s="159"/>
      <c r="F614" s="193"/>
      <c r="G614" s="182"/>
      <c r="H614" s="182"/>
      <c r="M614" s="155"/>
      <c r="N614" s="159"/>
      <c r="O614" s="159"/>
      <c r="P614" s="159"/>
      <c r="Q614" s="159"/>
      <c r="R614" s="160"/>
      <c r="S614" s="160"/>
    </row>
    <row r="615">
      <c r="A615" s="155"/>
      <c r="B615" s="155"/>
      <c r="C615" s="192"/>
      <c r="D615" s="159"/>
      <c r="E615" s="159"/>
      <c r="F615" s="193"/>
      <c r="G615" s="182"/>
      <c r="H615" s="182"/>
      <c r="M615" s="155"/>
      <c r="N615" s="159"/>
      <c r="O615" s="159"/>
      <c r="P615" s="159"/>
      <c r="Q615" s="159"/>
      <c r="R615" s="160"/>
      <c r="S615" s="160"/>
    </row>
    <row r="616">
      <c r="A616" s="155"/>
      <c r="B616" s="155"/>
      <c r="C616" s="192"/>
      <c r="D616" s="159"/>
      <c r="E616" s="159"/>
      <c r="F616" s="193"/>
      <c r="G616" s="182"/>
      <c r="H616" s="182"/>
      <c r="M616" s="155"/>
      <c r="N616" s="159"/>
      <c r="O616" s="159"/>
      <c r="P616" s="159"/>
      <c r="Q616" s="159"/>
      <c r="R616" s="160"/>
      <c r="S616" s="160"/>
    </row>
    <row r="617">
      <c r="A617" s="155"/>
      <c r="B617" s="155"/>
      <c r="C617" s="192"/>
      <c r="D617" s="159"/>
      <c r="E617" s="159"/>
      <c r="F617" s="193"/>
      <c r="G617" s="182"/>
      <c r="H617" s="182"/>
      <c r="M617" s="155"/>
      <c r="N617" s="159"/>
      <c r="O617" s="159"/>
      <c r="P617" s="159"/>
      <c r="Q617" s="159"/>
      <c r="R617" s="160"/>
      <c r="S617" s="160"/>
    </row>
    <row r="618">
      <c r="A618" s="155"/>
      <c r="B618" s="155"/>
      <c r="C618" s="192"/>
      <c r="D618" s="159"/>
      <c r="E618" s="159"/>
      <c r="F618" s="193"/>
      <c r="G618" s="182"/>
      <c r="H618" s="182"/>
      <c r="M618" s="155"/>
      <c r="N618" s="159"/>
      <c r="O618" s="159"/>
      <c r="P618" s="159"/>
      <c r="Q618" s="159"/>
      <c r="R618" s="160"/>
      <c r="S618" s="160"/>
    </row>
    <row r="619">
      <c r="A619" s="155"/>
      <c r="B619" s="155"/>
      <c r="C619" s="192"/>
      <c r="D619" s="159"/>
      <c r="E619" s="159"/>
      <c r="F619" s="193"/>
      <c r="G619" s="182"/>
      <c r="H619" s="182"/>
      <c r="M619" s="155"/>
      <c r="N619" s="159"/>
      <c r="O619" s="159"/>
      <c r="P619" s="159"/>
      <c r="Q619" s="159"/>
      <c r="R619" s="160"/>
      <c r="S619" s="160"/>
    </row>
    <row r="620">
      <c r="A620" s="155"/>
      <c r="B620" s="155"/>
      <c r="C620" s="192"/>
      <c r="D620" s="159"/>
      <c r="E620" s="159"/>
      <c r="F620" s="193"/>
      <c r="G620" s="182"/>
      <c r="H620" s="182"/>
      <c r="M620" s="155"/>
      <c r="N620" s="159"/>
      <c r="O620" s="159"/>
      <c r="P620" s="159"/>
      <c r="Q620" s="159"/>
      <c r="R620" s="160"/>
      <c r="S620" s="160"/>
    </row>
    <row r="621">
      <c r="A621" s="155"/>
      <c r="B621" s="155"/>
      <c r="C621" s="192"/>
      <c r="D621" s="159"/>
      <c r="E621" s="159"/>
      <c r="F621" s="193"/>
      <c r="G621" s="182"/>
      <c r="H621" s="182"/>
      <c r="M621" s="155"/>
      <c r="N621" s="159"/>
      <c r="O621" s="159"/>
      <c r="P621" s="159"/>
      <c r="Q621" s="159"/>
      <c r="R621" s="160"/>
      <c r="S621" s="160"/>
    </row>
    <row r="622">
      <c r="A622" s="155"/>
      <c r="B622" s="155"/>
      <c r="C622" s="192"/>
      <c r="D622" s="159"/>
      <c r="E622" s="159"/>
      <c r="F622" s="193"/>
      <c r="G622" s="182"/>
      <c r="H622" s="182"/>
      <c r="M622" s="155"/>
      <c r="N622" s="159"/>
      <c r="O622" s="159"/>
      <c r="P622" s="159"/>
      <c r="Q622" s="159"/>
      <c r="R622" s="160"/>
      <c r="S622" s="160"/>
    </row>
    <row r="623">
      <c r="A623" s="155"/>
      <c r="B623" s="155"/>
      <c r="C623" s="192"/>
      <c r="D623" s="159"/>
      <c r="E623" s="159"/>
      <c r="F623" s="193"/>
      <c r="G623" s="182"/>
      <c r="H623" s="182"/>
      <c r="M623" s="155"/>
      <c r="N623" s="159"/>
      <c r="O623" s="159"/>
      <c r="P623" s="159"/>
      <c r="Q623" s="159"/>
      <c r="R623" s="160"/>
      <c r="S623" s="160"/>
    </row>
    <row r="624">
      <c r="A624" s="155"/>
      <c r="B624" s="155"/>
      <c r="C624" s="192"/>
      <c r="D624" s="159"/>
      <c r="E624" s="159"/>
      <c r="F624" s="193"/>
      <c r="G624" s="182"/>
      <c r="H624" s="182"/>
      <c r="M624" s="155"/>
      <c r="N624" s="159"/>
      <c r="O624" s="159"/>
      <c r="P624" s="159"/>
      <c r="Q624" s="159"/>
      <c r="R624" s="160"/>
      <c r="S624" s="160"/>
    </row>
    <row r="625">
      <c r="A625" s="155"/>
      <c r="B625" s="155"/>
      <c r="C625" s="192"/>
      <c r="D625" s="159"/>
      <c r="E625" s="159"/>
      <c r="F625" s="193"/>
      <c r="G625" s="182"/>
      <c r="H625" s="182"/>
      <c r="M625" s="155"/>
      <c r="N625" s="159"/>
      <c r="O625" s="159"/>
      <c r="P625" s="159"/>
      <c r="Q625" s="159"/>
      <c r="R625" s="160"/>
      <c r="S625" s="160"/>
    </row>
    <row r="626">
      <c r="A626" s="155"/>
      <c r="B626" s="155"/>
      <c r="C626" s="192"/>
      <c r="D626" s="159"/>
      <c r="E626" s="159"/>
      <c r="F626" s="193"/>
      <c r="G626" s="182"/>
      <c r="H626" s="182"/>
      <c r="M626" s="155"/>
      <c r="N626" s="159"/>
      <c r="O626" s="159"/>
      <c r="P626" s="159"/>
      <c r="Q626" s="159"/>
      <c r="R626" s="160"/>
      <c r="S626" s="160"/>
    </row>
    <row r="627">
      <c r="A627" s="155"/>
      <c r="B627" s="155"/>
      <c r="C627" s="192"/>
      <c r="D627" s="159"/>
      <c r="E627" s="159"/>
      <c r="F627" s="193"/>
      <c r="G627" s="182"/>
      <c r="H627" s="182"/>
      <c r="M627" s="155"/>
      <c r="N627" s="159"/>
      <c r="O627" s="159"/>
      <c r="P627" s="159"/>
      <c r="Q627" s="159"/>
      <c r="R627" s="160"/>
      <c r="S627" s="160"/>
    </row>
    <row r="628">
      <c r="A628" s="155"/>
      <c r="B628" s="155"/>
      <c r="C628" s="192"/>
      <c r="D628" s="159"/>
      <c r="E628" s="159"/>
      <c r="F628" s="193"/>
      <c r="G628" s="182"/>
      <c r="H628" s="182"/>
      <c r="M628" s="155"/>
      <c r="N628" s="159"/>
      <c r="O628" s="159"/>
      <c r="P628" s="159"/>
      <c r="Q628" s="159"/>
      <c r="R628" s="160"/>
      <c r="S628" s="160"/>
    </row>
    <row r="629">
      <c r="A629" s="155"/>
      <c r="B629" s="155"/>
      <c r="C629" s="192"/>
      <c r="D629" s="159"/>
      <c r="E629" s="159"/>
      <c r="F629" s="193"/>
      <c r="G629" s="182"/>
      <c r="H629" s="182"/>
      <c r="M629" s="155"/>
      <c r="N629" s="159"/>
      <c r="O629" s="159"/>
      <c r="P629" s="159"/>
      <c r="Q629" s="159"/>
      <c r="R629" s="160"/>
      <c r="S629" s="160"/>
    </row>
    <row r="630">
      <c r="A630" s="155"/>
      <c r="B630" s="155"/>
      <c r="C630" s="192"/>
      <c r="D630" s="159"/>
      <c r="E630" s="159"/>
      <c r="F630" s="193"/>
      <c r="G630" s="182"/>
      <c r="H630" s="182"/>
      <c r="M630" s="155"/>
      <c r="N630" s="159"/>
      <c r="O630" s="159"/>
      <c r="P630" s="159"/>
      <c r="Q630" s="159"/>
      <c r="R630" s="160"/>
      <c r="S630" s="160"/>
    </row>
    <row r="631">
      <c r="A631" s="155"/>
      <c r="B631" s="155"/>
      <c r="C631" s="192"/>
      <c r="D631" s="159"/>
      <c r="E631" s="159"/>
      <c r="F631" s="193"/>
      <c r="G631" s="182"/>
      <c r="H631" s="182"/>
      <c r="M631" s="155"/>
      <c r="N631" s="159"/>
      <c r="O631" s="159"/>
      <c r="P631" s="159"/>
      <c r="Q631" s="159"/>
      <c r="R631" s="160"/>
      <c r="S631" s="160"/>
    </row>
    <row r="632">
      <c r="A632" s="155"/>
      <c r="B632" s="155"/>
      <c r="C632" s="192"/>
      <c r="D632" s="159"/>
      <c r="E632" s="159"/>
      <c r="F632" s="193"/>
      <c r="G632" s="182"/>
      <c r="H632" s="182"/>
      <c r="M632" s="155"/>
      <c r="N632" s="159"/>
      <c r="O632" s="159"/>
      <c r="P632" s="159"/>
      <c r="Q632" s="159"/>
      <c r="R632" s="160"/>
      <c r="S632" s="160"/>
    </row>
    <row r="633">
      <c r="A633" s="155"/>
      <c r="B633" s="155"/>
      <c r="C633" s="192"/>
      <c r="D633" s="159"/>
      <c r="E633" s="159"/>
      <c r="F633" s="193"/>
      <c r="G633" s="182"/>
      <c r="H633" s="182"/>
      <c r="M633" s="155"/>
      <c r="N633" s="159"/>
      <c r="O633" s="159"/>
      <c r="P633" s="159"/>
      <c r="Q633" s="159"/>
      <c r="R633" s="160"/>
      <c r="S633" s="160"/>
    </row>
    <row r="634">
      <c r="A634" s="155"/>
      <c r="B634" s="155"/>
      <c r="C634" s="192"/>
      <c r="D634" s="159"/>
      <c r="E634" s="159"/>
      <c r="F634" s="193"/>
      <c r="G634" s="182"/>
      <c r="H634" s="182"/>
      <c r="M634" s="155"/>
      <c r="N634" s="159"/>
      <c r="O634" s="159"/>
      <c r="P634" s="159"/>
      <c r="Q634" s="159"/>
      <c r="R634" s="160"/>
      <c r="S634" s="160"/>
    </row>
    <row r="635">
      <c r="A635" s="155"/>
      <c r="B635" s="155"/>
      <c r="C635" s="192"/>
      <c r="D635" s="159"/>
      <c r="E635" s="159"/>
      <c r="F635" s="193"/>
      <c r="G635" s="182"/>
      <c r="H635" s="182"/>
      <c r="M635" s="155"/>
      <c r="N635" s="159"/>
      <c r="O635" s="159"/>
      <c r="P635" s="159"/>
      <c r="Q635" s="159"/>
      <c r="R635" s="160"/>
      <c r="S635" s="160"/>
    </row>
    <row r="636">
      <c r="A636" s="155"/>
      <c r="B636" s="155"/>
      <c r="C636" s="192"/>
      <c r="D636" s="159"/>
      <c r="E636" s="159"/>
      <c r="F636" s="193"/>
      <c r="G636" s="182"/>
      <c r="H636" s="182"/>
      <c r="M636" s="155"/>
      <c r="N636" s="159"/>
      <c r="O636" s="159"/>
      <c r="P636" s="159"/>
      <c r="Q636" s="159"/>
      <c r="R636" s="160"/>
      <c r="S636" s="160"/>
    </row>
    <row r="637">
      <c r="A637" s="155"/>
      <c r="B637" s="155"/>
      <c r="C637" s="192"/>
      <c r="D637" s="159"/>
      <c r="E637" s="159"/>
      <c r="F637" s="193"/>
      <c r="G637" s="182"/>
      <c r="H637" s="182"/>
      <c r="M637" s="155"/>
      <c r="N637" s="159"/>
      <c r="O637" s="159"/>
      <c r="P637" s="159"/>
      <c r="Q637" s="159"/>
      <c r="R637" s="160"/>
      <c r="S637" s="160"/>
    </row>
    <row r="638">
      <c r="A638" s="155"/>
      <c r="B638" s="155"/>
      <c r="C638" s="192"/>
      <c r="D638" s="159"/>
      <c r="E638" s="159"/>
      <c r="F638" s="193"/>
      <c r="G638" s="182"/>
      <c r="H638" s="182"/>
      <c r="M638" s="155"/>
      <c r="N638" s="159"/>
      <c r="O638" s="159"/>
      <c r="P638" s="159"/>
      <c r="Q638" s="159"/>
      <c r="R638" s="160"/>
      <c r="S638" s="160"/>
    </row>
    <row r="639">
      <c r="A639" s="155"/>
      <c r="B639" s="155"/>
      <c r="C639" s="192"/>
      <c r="D639" s="159"/>
      <c r="E639" s="159"/>
      <c r="F639" s="193"/>
      <c r="G639" s="182"/>
      <c r="H639" s="182"/>
      <c r="M639" s="155"/>
      <c r="N639" s="159"/>
      <c r="O639" s="159"/>
      <c r="P639" s="159"/>
      <c r="Q639" s="159"/>
      <c r="R639" s="160"/>
      <c r="S639" s="160"/>
    </row>
    <row r="640">
      <c r="A640" s="155"/>
      <c r="B640" s="155"/>
      <c r="C640" s="192"/>
      <c r="D640" s="159"/>
      <c r="E640" s="159"/>
      <c r="F640" s="193"/>
      <c r="G640" s="182"/>
      <c r="H640" s="182"/>
      <c r="M640" s="155"/>
      <c r="N640" s="159"/>
      <c r="O640" s="159"/>
      <c r="P640" s="159"/>
      <c r="Q640" s="159"/>
      <c r="R640" s="160"/>
      <c r="S640" s="160"/>
    </row>
    <row r="641">
      <c r="A641" s="155"/>
      <c r="B641" s="155"/>
      <c r="C641" s="192"/>
      <c r="D641" s="159"/>
      <c r="E641" s="159"/>
      <c r="F641" s="193"/>
      <c r="G641" s="182"/>
      <c r="H641" s="182"/>
      <c r="M641" s="155"/>
      <c r="N641" s="159"/>
      <c r="O641" s="159"/>
      <c r="P641" s="159"/>
      <c r="Q641" s="159"/>
      <c r="R641" s="160"/>
      <c r="S641" s="160"/>
    </row>
    <row r="642">
      <c r="A642" s="155"/>
      <c r="B642" s="155"/>
      <c r="C642" s="192"/>
      <c r="D642" s="159"/>
      <c r="E642" s="159"/>
      <c r="F642" s="193"/>
      <c r="G642" s="182"/>
      <c r="H642" s="182"/>
      <c r="M642" s="155"/>
      <c r="N642" s="159"/>
      <c r="O642" s="159"/>
      <c r="P642" s="159"/>
      <c r="Q642" s="159"/>
      <c r="R642" s="160"/>
      <c r="S642" s="160"/>
    </row>
    <row r="643">
      <c r="A643" s="155"/>
      <c r="B643" s="155"/>
      <c r="C643" s="192"/>
      <c r="D643" s="159"/>
      <c r="E643" s="159"/>
      <c r="F643" s="193"/>
      <c r="G643" s="182"/>
      <c r="H643" s="182"/>
      <c r="M643" s="155"/>
      <c r="N643" s="159"/>
      <c r="O643" s="159"/>
      <c r="P643" s="159"/>
      <c r="Q643" s="159"/>
      <c r="R643" s="160"/>
      <c r="S643" s="160"/>
    </row>
    <row r="644">
      <c r="A644" s="155"/>
      <c r="B644" s="155"/>
      <c r="C644" s="192"/>
      <c r="D644" s="159"/>
      <c r="E644" s="159"/>
      <c r="F644" s="193"/>
      <c r="G644" s="182"/>
      <c r="H644" s="182"/>
      <c r="M644" s="155"/>
      <c r="N644" s="159"/>
      <c r="O644" s="159"/>
      <c r="P644" s="159"/>
      <c r="Q644" s="159"/>
      <c r="R644" s="160"/>
      <c r="S644" s="160"/>
    </row>
    <row r="645">
      <c r="A645" s="155"/>
      <c r="B645" s="155"/>
      <c r="C645" s="192"/>
      <c r="D645" s="159"/>
      <c r="E645" s="159"/>
      <c r="F645" s="193"/>
      <c r="G645" s="182"/>
      <c r="H645" s="182"/>
      <c r="M645" s="155"/>
      <c r="N645" s="159"/>
      <c r="O645" s="159"/>
      <c r="P645" s="159"/>
      <c r="Q645" s="159"/>
      <c r="R645" s="160"/>
      <c r="S645" s="160"/>
    </row>
    <row r="646">
      <c r="A646" s="155"/>
      <c r="B646" s="155"/>
      <c r="C646" s="192"/>
      <c r="D646" s="159"/>
      <c r="E646" s="159"/>
      <c r="F646" s="193"/>
      <c r="G646" s="182"/>
      <c r="H646" s="182"/>
      <c r="M646" s="155"/>
      <c r="N646" s="159"/>
      <c r="O646" s="159"/>
      <c r="P646" s="159"/>
      <c r="Q646" s="159"/>
      <c r="R646" s="160"/>
      <c r="S646" s="160"/>
    </row>
    <row r="647">
      <c r="A647" s="155"/>
      <c r="B647" s="155"/>
      <c r="C647" s="192"/>
      <c r="D647" s="159"/>
      <c r="E647" s="159"/>
      <c r="F647" s="193"/>
      <c r="G647" s="182"/>
      <c r="H647" s="182"/>
      <c r="M647" s="155"/>
      <c r="N647" s="159"/>
      <c r="O647" s="159"/>
      <c r="P647" s="159"/>
      <c r="Q647" s="159"/>
      <c r="R647" s="160"/>
      <c r="S647" s="160"/>
    </row>
    <row r="648">
      <c r="A648" s="155"/>
      <c r="B648" s="155"/>
      <c r="C648" s="192"/>
      <c r="D648" s="159"/>
      <c r="E648" s="159"/>
      <c r="F648" s="193"/>
      <c r="G648" s="182"/>
      <c r="H648" s="182"/>
      <c r="M648" s="155"/>
      <c r="N648" s="159"/>
      <c r="O648" s="159"/>
      <c r="P648" s="159"/>
      <c r="Q648" s="159"/>
      <c r="R648" s="160"/>
      <c r="S648" s="160"/>
    </row>
    <row r="649">
      <c r="A649" s="155"/>
      <c r="B649" s="155"/>
      <c r="C649" s="192"/>
      <c r="D649" s="159"/>
      <c r="E649" s="159"/>
      <c r="F649" s="193"/>
      <c r="G649" s="182"/>
      <c r="H649" s="182"/>
      <c r="M649" s="155"/>
      <c r="N649" s="159"/>
      <c r="O649" s="159"/>
      <c r="P649" s="159"/>
      <c r="Q649" s="159"/>
      <c r="R649" s="160"/>
      <c r="S649" s="160"/>
    </row>
    <row r="650">
      <c r="A650" s="155"/>
      <c r="B650" s="155"/>
      <c r="C650" s="192"/>
      <c r="D650" s="159"/>
      <c r="E650" s="159"/>
      <c r="F650" s="193"/>
      <c r="G650" s="182"/>
      <c r="H650" s="182"/>
      <c r="M650" s="155"/>
      <c r="N650" s="159"/>
      <c r="O650" s="159"/>
      <c r="P650" s="159"/>
      <c r="Q650" s="159"/>
      <c r="R650" s="160"/>
      <c r="S650" s="160"/>
    </row>
    <row r="651">
      <c r="A651" s="155"/>
      <c r="B651" s="155"/>
      <c r="C651" s="192"/>
      <c r="D651" s="159"/>
      <c r="E651" s="159"/>
      <c r="F651" s="193"/>
      <c r="G651" s="182"/>
      <c r="H651" s="182"/>
      <c r="M651" s="155"/>
      <c r="N651" s="159"/>
      <c r="O651" s="159"/>
      <c r="P651" s="159"/>
      <c r="Q651" s="159"/>
      <c r="R651" s="160"/>
      <c r="S651" s="160"/>
    </row>
    <row r="652">
      <c r="A652" s="155"/>
      <c r="B652" s="155"/>
      <c r="C652" s="192"/>
      <c r="D652" s="159"/>
      <c r="E652" s="159"/>
      <c r="F652" s="193"/>
      <c r="G652" s="182"/>
      <c r="H652" s="182"/>
      <c r="M652" s="155"/>
      <c r="N652" s="159"/>
      <c r="O652" s="159"/>
      <c r="P652" s="159"/>
      <c r="Q652" s="159"/>
      <c r="R652" s="160"/>
      <c r="S652" s="160"/>
    </row>
    <row r="653">
      <c r="A653" s="155"/>
      <c r="B653" s="155"/>
      <c r="C653" s="192"/>
      <c r="D653" s="159"/>
      <c r="E653" s="159"/>
      <c r="F653" s="193"/>
      <c r="G653" s="182"/>
      <c r="H653" s="182"/>
      <c r="M653" s="155"/>
      <c r="N653" s="159"/>
      <c r="O653" s="159"/>
      <c r="P653" s="159"/>
      <c r="Q653" s="159"/>
      <c r="R653" s="160"/>
      <c r="S653" s="160"/>
    </row>
    <row r="654">
      <c r="A654" s="155"/>
      <c r="B654" s="155"/>
      <c r="C654" s="192"/>
      <c r="D654" s="159"/>
      <c r="E654" s="159"/>
      <c r="F654" s="193"/>
      <c r="G654" s="182"/>
      <c r="H654" s="182"/>
      <c r="M654" s="155"/>
      <c r="N654" s="159"/>
      <c r="O654" s="159"/>
      <c r="P654" s="159"/>
      <c r="Q654" s="159"/>
      <c r="R654" s="160"/>
      <c r="S654" s="160"/>
    </row>
    <row r="655">
      <c r="A655" s="155"/>
      <c r="B655" s="155"/>
      <c r="C655" s="192"/>
      <c r="D655" s="159"/>
      <c r="E655" s="159"/>
      <c r="F655" s="193"/>
      <c r="G655" s="182"/>
      <c r="H655" s="182"/>
      <c r="M655" s="155"/>
      <c r="N655" s="159"/>
      <c r="O655" s="159"/>
      <c r="P655" s="159"/>
      <c r="Q655" s="159"/>
      <c r="R655" s="160"/>
      <c r="S655" s="160"/>
    </row>
    <row r="656">
      <c r="A656" s="155"/>
      <c r="B656" s="155"/>
      <c r="C656" s="192"/>
      <c r="D656" s="159"/>
      <c r="E656" s="159"/>
      <c r="F656" s="193"/>
      <c r="G656" s="182"/>
      <c r="H656" s="182"/>
      <c r="M656" s="155"/>
      <c r="N656" s="159"/>
      <c r="O656" s="159"/>
      <c r="P656" s="159"/>
      <c r="Q656" s="159"/>
      <c r="R656" s="160"/>
      <c r="S656" s="160"/>
    </row>
    <row r="657">
      <c r="A657" s="155"/>
      <c r="B657" s="155"/>
      <c r="C657" s="192"/>
      <c r="D657" s="159"/>
      <c r="E657" s="159"/>
      <c r="F657" s="193"/>
      <c r="G657" s="182"/>
      <c r="H657" s="182"/>
      <c r="M657" s="155"/>
      <c r="N657" s="159"/>
      <c r="O657" s="159"/>
      <c r="P657" s="159"/>
      <c r="Q657" s="159"/>
      <c r="R657" s="160"/>
      <c r="S657" s="160"/>
    </row>
    <row r="658">
      <c r="A658" s="155"/>
      <c r="B658" s="155"/>
      <c r="C658" s="192"/>
      <c r="D658" s="159"/>
      <c r="E658" s="159"/>
      <c r="F658" s="193"/>
      <c r="G658" s="182"/>
      <c r="H658" s="182"/>
      <c r="M658" s="155"/>
      <c r="N658" s="159"/>
      <c r="O658" s="159"/>
      <c r="P658" s="159"/>
      <c r="Q658" s="159"/>
      <c r="R658" s="160"/>
      <c r="S658" s="160"/>
    </row>
    <row r="659">
      <c r="A659" s="155"/>
      <c r="B659" s="155"/>
      <c r="C659" s="192"/>
      <c r="D659" s="159"/>
      <c r="E659" s="159"/>
      <c r="F659" s="193"/>
      <c r="G659" s="182"/>
      <c r="H659" s="182"/>
      <c r="M659" s="155"/>
      <c r="N659" s="159"/>
      <c r="O659" s="159"/>
      <c r="P659" s="159"/>
      <c r="Q659" s="159"/>
      <c r="R659" s="160"/>
      <c r="S659" s="160"/>
    </row>
    <row r="660">
      <c r="A660" s="155"/>
      <c r="B660" s="155"/>
      <c r="C660" s="192"/>
      <c r="D660" s="159"/>
      <c r="E660" s="159"/>
      <c r="F660" s="193"/>
      <c r="G660" s="182"/>
      <c r="H660" s="182"/>
      <c r="M660" s="155"/>
      <c r="N660" s="159"/>
      <c r="O660" s="159"/>
      <c r="P660" s="159"/>
      <c r="Q660" s="159"/>
      <c r="R660" s="160"/>
      <c r="S660" s="160"/>
    </row>
    <row r="661">
      <c r="A661" s="155"/>
      <c r="B661" s="155"/>
      <c r="C661" s="192"/>
      <c r="D661" s="159"/>
      <c r="E661" s="159"/>
      <c r="F661" s="193"/>
      <c r="G661" s="182"/>
      <c r="H661" s="182"/>
      <c r="M661" s="155"/>
      <c r="N661" s="159"/>
      <c r="O661" s="159"/>
      <c r="P661" s="159"/>
      <c r="Q661" s="159"/>
      <c r="R661" s="160"/>
      <c r="S661" s="160"/>
    </row>
    <row r="662">
      <c r="A662" s="155"/>
      <c r="B662" s="155"/>
      <c r="C662" s="192"/>
      <c r="D662" s="159"/>
      <c r="E662" s="159"/>
      <c r="F662" s="193"/>
      <c r="G662" s="182"/>
      <c r="H662" s="182"/>
      <c r="M662" s="155"/>
      <c r="N662" s="159"/>
      <c r="O662" s="159"/>
      <c r="P662" s="159"/>
      <c r="Q662" s="159"/>
      <c r="R662" s="160"/>
      <c r="S662" s="160"/>
    </row>
    <row r="663">
      <c r="A663" s="155"/>
      <c r="B663" s="155"/>
      <c r="C663" s="192"/>
      <c r="D663" s="159"/>
      <c r="E663" s="159"/>
      <c r="F663" s="193"/>
      <c r="G663" s="182"/>
      <c r="H663" s="182"/>
      <c r="M663" s="155"/>
      <c r="N663" s="159"/>
      <c r="O663" s="159"/>
      <c r="P663" s="159"/>
      <c r="Q663" s="159"/>
      <c r="R663" s="160"/>
      <c r="S663" s="160"/>
    </row>
    <row r="664">
      <c r="A664" s="155"/>
      <c r="B664" s="155"/>
      <c r="C664" s="192"/>
      <c r="D664" s="159"/>
      <c r="E664" s="159"/>
      <c r="F664" s="193"/>
      <c r="G664" s="182"/>
      <c r="H664" s="182"/>
      <c r="M664" s="155"/>
      <c r="N664" s="159"/>
      <c r="O664" s="159"/>
      <c r="P664" s="159"/>
      <c r="Q664" s="159"/>
      <c r="R664" s="160"/>
      <c r="S664" s="160"/>
    </row>
    <row r="665">
      <c r="A665" s="155"/>
      <c r="B665" s="155"/>
      <c r="C665" s="192"/>
      <c r="D665" s="159"/>
      <c r="E665" s="159"/>
      <c r="F665" s="193"/>
      <c r="G665" s="182"/>
      <c r="H665" s="182"/>
      <c r="M665" s="155"/>
      <c r="N665" s="159"/>
      <c r="O665" s="159"/>
      <c r="P665" s="159"/>
      <c r="Q665" s="159"/>
      <c r="R665" s="160"/>
      <c r="S665" s="160"/>
    </row>
    <row r="666">
      <c r="A666" s="155"/>
      <c r="B666" s="155"/>
      <c r="C666" s="192"/>
      <c r="D666" s="159"/>
      <c r="E666" s="159"/>
      <c r="F666" s="193"/>
      <c r="G666" s="182"/>
      <c r="H666" s="182"/>
      <c r="M666" s="155"/>
      <c r="N666" s="159"/>
      <c r="O666" s="159"/>
      <c r="P666" s="159"/>
      <c r="Q666" s="159"/>
      <c r="R666" s="160"/>
      <c r="S666" s="160"/>
    </row>
    <row r="667">
      <c r="A667" s="155"/>
      <c r="B667" s="155"/>
      <c r="C667" s="192"/>
      <c r="D667" s="159"/>
      <c r="E667" s="159"/>
      <c r="F667" s="193"/>
      <c r="G667" s="182"/>
      <c r="H667" s="182"/>
      <c r="M667" s="155"/>
      <c r="N667" s="159"/>
      <c r="O667" s="159"/>
      <c r="P667" s="159"/>
      <c r="Q667" s="159"/>
      <c r="R667" s="160"/>
      <c r="S667" s="160"/>
    </row>
    <row r="668">
      <c r="A668" s="155"/>
      <c r="B668" s="155"/>
      <c r="C668" s="192"/>
      <c r="D668" s="159"/>
      <c r="E668" s="159"/>
      <c r="F668" s="193"/>
      <c r="G668" s="182"/>
      <c r="H668" s="182"/>
      <c r="M668" s="155"/>
      <c r="N668" s="159"/>
      <c r="O668" s="159"/>
      <c r="P668" s="159"/>
      <c r="Q668" s="159"/>
      <c r="R668" s="160"/>
      <c r="S668" s="160"/>
    </row>
    <row r="669">
      <c r="A669" s="155"/>
      <c r="B669" s="155"/>
      <c r="C669" s="192"/>
      <c r="D669" s="159"/>
      <c r="E669" s="159"/>
      <c r="F669" s="193"/>
      <c r="G669" s="182"/>
      <c r="H669" s="182"/>
      <c r="M669" s="155"/>
      <c r="N669" s="159"/>
      <c r="O669" s="159"/>
      <c r="P669" s="159"/>
      <c r="Q669" s="159"/>
      <c r="R669" s="160"/>
      <c r="S669" s="160"/>
    </row>
    <row r="670">
      <c r="A670" s="155"/>
      <c r="B670" s="155"/>
      <c r="C670" s="192"/>
      <c r="D670" s="159"/>
      <c r="E670" s="159"/>
      <c r="F670" s="193"/>
      <c r="G670" s="182"/>
      <c r="H670" s="182"/>
      <c r="M670" s="155"/>
      <c r="N670" s="159"/>
      <c r="O670" s="159"/>
      <c r="P670" s="159"/>
      <c r="Q670" s="159"/>
      <c r="R670" s="160"/>
      <c r="S670" s="160"/>
    </row>
    <row r="671">
      <c r="A671" s="155"/>
      <c r="B671" s="155"/>
      <c r="C671" s="192"/>
      <c r="D671" s="159"/>
      <c r="E671" s="159"/>
      <c r="F671" s="193"/>
      <c r="G671" s="182"/>
      <c r="H671" s="182"/>
      <c r="M671" s="155"/>
      <c r="N671" s="159"/>
      <c r="O671" s="159"/>
      <c r="P671" s="159"/>
      <c r="Q671" s="159"/>
      <c r="R671" s="160"/>
      <c r="S671" s="160"/>
    </row>
    <row r="672">
      <c r="A672" s="155"/>
      <c r="B672" s="155"/>
      <c r="C672" s="192"/>
      <c r="D672" s="159"/>
      <c r="E672" s="159"/>
      <c r="F672" s="193"/>
      <c r="G672" s="182"/>
      <c r="H672" s="182"/>
      <c r="M672" s="155"/>
      <c r="N672" s="159"/>
      <c r="O672" s="159"/>
      <c r="P672" s="159"/>
      <c r="Q672" s="159"/>
      <c r="R672" s="160"/>
      <c r="S672" s="160"/>
    </row>
    <row r="673">
      <c r="A673" s="155"/>
      <c r="B673" s="155"/>
      <c r="C673" s="192"/>
      <c r="D673" s="159"/>
      <c r="E673" s="159"/>
      <c r="F673" s="193"/>
      <c r="G673" s="182"/>
      <c r="H673" s="182"/>
      <c r="M673" s="155"/>
      <c r="N673" s="159"/>
      <c r="O673" s="159"/>
      <c r="P673" s="159"/>
      <c r="Q673" s="159"/>
      <c r="R673" s="160"/>
      <c r="S673" s="160"/>
    </row>
    <row r="674">
      <c r="A674" s="155"/>
      <c r="B674" s="155"/>
      <c r="C674" s="192"/>
      <c r="D674" s="159"/>
      <c r="E674" s="159"/>
      <c r="F674" s="193"/>
      <c r="G674" s="182"/>
      <c r="H674" s="182"/>
      <c r="M674" s="155"/>
      <c r="N674" s="159"/>
      <c r="O674" s="159"/>
      <c r="P674" s="159"/>
      <c r="Q674" s="159"/>
      <c r="R674" s="160"/>
      <c r="S674" s="160"/>
    </row>
    <row r="675">
      <c r="A675" s="155"/>
      <c r="B675" s="155"/>
      <c r="C675" s="192"/>
      <c r="D675" s="159"/>
      <c r="E675" s="159"/>
      <c r="F675" s="193"/>
      <c r="G675" s="182"/>
      <c r="H675" s="182"/>
      <c r="M675" s="155"/>
      <c r="N675" s="159"/>
      <c r="O675" s="159"/>
      <c r="P675" s="159"/>
      <c r="Q675" s="159"/>
      <c r="R675" s="160"/>
      <c r="S675" s="160"/>
    </row>
    <row r="676">
      <c r="A676" s="155"/>
      <c r="B676" s="155"/>
      <c r="C676" s="192"/>
      <c r="D676" s="159"/>
      <c r="E676" s="159"/>
      <c r="F676" s="193"/>
      <c r="G676" s="182"/>
      <c r="H676" s="182"/>
      <c r="M676" s="155"/>
      <c r="N676" s="159"/>
      <c r="O676" s="159"/>
      <c r="P676" s="159"/>
      <c r="Q676" s="159"/>
      <c r="R676" s="160"/>
      <c r="S676" s="160"/>
    </row>
    <row r="677">
      <c r="A677" s="155"/>
      <c r="B677" s="155"/>
      <c r="C677" s="192"/>
      <c r="D677" s="159"/>
      <c r="E677" s="159"/>
      <c r="F677" s="193"/>
      <c r="G677" s="182"/>
      <c r="H677" s="182"/>
      <c r="M677" s="155"/>
      <c r="N677" s="159"/>
      <c r="O677" s="159"/>
      <c r="P677" s="159"/>
      <c r="Q677" s="159"/>
      <c r="R677" s="160"/>
      <c r="S677" s="160"/>
    </row>
    <row r="678">
      <c r="A678" s="155"/>
      <c r="B678" s="155"/>
      <c r="C678" s="192"/>
      <c r="D678" s="159"/>
      <c r="E678" s="159"/>
      <c r="F678" s="193"/>
      <c r="G678" s="182"/>
      <c r="H678" s="182"/>
      <c r="M678" s="155"/>
      <c r="N678" s="159"/>
      <c r="O678" s="159"/>
      <c r="P678" s="159"/>
      <c r="Q678" s="159"/>
      <c r="R678" s="160"/>
      <c r="S678" s="160"/>
    </row>
    <row r="679">
      <c r="A679" s="155"/>
      <c r="B679" s="155"/>
      <c r="C679" s="192"/>
      <c r="D679" s="159"/>
      <c r="E679" s="159"/>
      <c r="F679" s="193"/>
      <c r="G679" s="182"/>
      <c r="H679" s="182"/>
      <c r="M679" s="155"/>
      <c r="N679" s="159"/>
      <c r="O679" s="159"/>
      <c r="P679" s="159"/>
      <c r="Q679" s="159"/>
      <c r="R679" s="160"/>
      <c r="S679" s="160"/>
    </row>
    <row r="680">
      <c r="A680" s="155"/>
      <c r="B680" s="155"/>
      <c r="C680" s="192"/>
      <c r="D680" s="159"/>
      <c r="E680" s="159"/>
      <c r="F680" s="193"/>
      <c r="G680" s="182"/>
      <c r="H680" s="182"/>
      <c r="M680" s="155"/>
      <c r="N680" s="159"/>
      <c r="O680" s="159"/>
      <c r="P680" s="159"/>
      <c r="Q680" s="159"/>
      <c r="R680" s="160"/>
      <c r="S680" s="160"/>
    </row>
    <row r="681">
      <c r="A681" s="155"/>
      <c r="B681" s="155"/>
      <c r="C681" s="192"/>
      <c r="D681" s="159"/>
      <c r="E681" s="159"/>
      <c r="F681" s="193"/>
      <c r="G681" s="182"/>
      <c r="H681" s="182"/>
      <c r="M681" s="155"/>
      <c r="N681" s="159"/>
      <c r="O681" s="159"/>
      <c r="P681" s="159"/>
      <c r="Q681" s="159"/>
      <c r="R681" s="160"/>
      <c r="S681" s="160"/>
    </row>
    <row r="682">
      <c r="A682" s="155"/>
      <c r="B682" s="155"/>
      <c r="C682" s="192"/>
      <c r="D682" s="159"/>
      <c r="E682" s="159"/>
      <c r="F682" s="193"/>
      <c r="G682" s="182"/>
      <c r="H682" s="182"/>
      <c r="M682" s="155"/>
      <c r="N682" s="159"/>
      <c r="O682" s="159"/>
      <c r="P682" s="159"/>
      <c r="Q682" s="159"/>
      <c r="R682" s="160"/>
      <c r="S682" s="160"/>
    </row>
    <row r="683">
      <c r="A683" s="155"/>
      <c r="B683" s="155"/>
      <c r="C683" s="192"/>
      <c r="D683" s="159"/>
      <c r="E683" s="159"/>
      <c r="F683" s="193"/>
      <c r="G683" s="182"/>
      <c r="H683" s="182"/>
      <c r="M683" s="155"/>
      <c r="N683" s="159"/>
      <c r="O683" s="159"/>
      <c r="P683" s="159"/>
      <c r="Q683" s="159"/>
      <c r="R683" s="160"/>
      <c r="S683" s="160"/>
    </row>
    <row r="684">
      <c r="A684" s="155"/>
      <c r="B684" s="155"/>
      <c r="C684" s="192"/>
      <c r="D684" s="159"/>
      <c r="E684" s="159"/>
      <c r="F684" s="193"/>
      <c r="G684" s="182"/>
      <c r="H684" s="182"/>
      <c r="M684" s="155"/>
      <c r="N684" s="159"/>
      <c r="O684" s="159"/>
      <c r="P684" s="159"/>
      <c r="Q684" s="159"/>
      <c r="R684" s="160"/>
      <c r="S684" s="160"/>
    </row>
    <row r="685">
      <c r="A685" s="155"/>
      <c r="B685" s="155"/>
      <c r="C685" s="192"/>
      <c r="D685" s="159"/>
      <c r="E685" s="159"/>
      <c r="F685" s="193"/>
      <c r="G685" s="182"/>
      <c r="H685" s="182"/>
      <c r="M685" s="155"/>
      <c r="N685" s="159"/>
      <c r="O685" s="159"/>
      <c r="P685" s="159"/>
      <c r="Q685" s="159"/>
      <c r="R685" s="160"/>
      <c r="S685" s="160"/>
    </row>
    <row r="686">
      <c r="A686" s="155"/>
      <c r="B686" s="155"/>
      <c r="C686" s="192"/>
      <c r="D686" s="159"/>
      <c r="E686" s="159"/>
      <c r="F686" s="193"/>
      <c r="G686" s="182"/>
      <c r="H686" s="182"/>
      <c r="M686" s="155"/>
      <c r="N686" s="159"/>
      <c r="O686" s="159"/>
      <c r="P686" s="159"/>
      <c r="Q686" s="159"/>
      <c r="R686" s="160"/>
      <c r="S686" s="160"/>
    </row>
    <row r="687">
      <c r="A687" s="155"/>
      <c r="B687" s="155"/>
      <c r="C687" s="192"/>
      <c r="D687" s="159"/>
      <c r="E687" s="159"/>
      <c r="F687" s="193"/>
      <c r="G687" s="182"/>
      <c r="H687" s="182"/>
      <c r="M687" s="155"/>
      <c r="N687" s="159"/>
      <c r="O687" s="159"/>
      <c r="P687" s="159"/>
      <c r="Q687" s="159"/>
      <c r="R687" s="160"/>
      <c r="S687" s="160"/>
    </row>
    <row r="688">
      <c r="A688" s="155"/>
      <c r="B688" s="155"/>
      <c r="C688" s="192"/>
      <c r="D688" s="159"/>
      <c r="E688" s="159"/>
      <c r="F688" s="193"/>
      <c r="G688" s="182"/>
      <c r="H688" s="182"/>
      <c r="M688" s="155"/>
      <c r="N688" s="159"/>
      <c r="O688" s="159"/>
      <c r="P688" s="159"/>
      <c r="Q688" s="159"/>
      <c r="R688" s="160"/>
      <c r="S688" s="160"/>
    </row>
    <row r="689">
      <c r="A689" s="155"/>
      <c r="B689" s="155"/>
      <c r="C689" s="192"/>
      <c r="D689" s="159"/>
      <c r="E689" s="159"/>
      <c r="F689" s="193"/>
      <c r="G689" s="182"/>
      <c r="H689" s="182"/>
      <c r="M689" s="155"/>
      <c r="N689" s="159"/>
      <c r="O689" s="159"/>
      <c r="P689" s="159"/>
      <c r="Q689" s="159"/>
      <c r="R689" s="160"/>
      <c r="S689" s="160"/>
    </row>
    <row r="690">
      <c r="A690" s="155"/>
      <c r="B690" s="155"/>
      <c r="C690" s="192"/>
      <c r="D690" s="159"/>
      <c r="E690" s="159"/>
      <c r="F690" s="193"/>
      <c r="G690" s="182"/>
      <c r="H690" s="182"/>
      <c r="M690" s="155"/>
      <c r="N690" s="159"/>
      <c r="O690" s="159"/>
      <c r="P690" s="159"/>
      <c r="Q690" s="159"/>
      <c r="R690" s="160"/>
      <c r="S690" s="160"/>
    </row>
    <row r="691">
      <c r="A691" s="155"/>
      <c r="B691" s="155"/>
      <c r="C691" s="192"/>
      <c r="D691" s="159"/>
      <c r="E691" s="159"/>
      <c r="F691" s="193"/>
      <c r="G691" s="182"/>
      <c r="H691" s="182"/>
      <c r="M691" s="155"/>
      <c r="N691" s="159"/>
      <c r="O691" s="159"/>
      <c r="P691" s="159"/>
      <c r="Q691" s="159"/>
      <c r="R691" s="160"/>
      <c r="S691" s="160"/>
    </row>
    <row r="692">
      <c r="A692" s="155"/>
      <c r="B692" s="155"/>
      <c r="C692" s="192"/>
      <c r="D692" s="159"/>
      <c r="E692" s="159"/>
      <c r="F692" s="193"/>
      <c r="G692" s="182"/>
      <c r="H692" s="182"/>
      <c r="M692" s="155"/>
      <c r="N692" s="159"/>
      <c r="O692" s="159"/>
      <c r="P692" s="159"/>
      <c r="Q692" s="159"/>
      <c r="R692" s="160"/>
      <c r="S692" s="160"/>
    </row>
    <row r="693">
      <c r="A693" s="155"/>
      <c r="B693" s="155"/>
      <c r="C693" s="192"/>
      <c r="D693" s="159"/>
      <c r="E693" s="159"/>
      <c r="F693" s="193"/>
      <c r="G693" s="182"/>
      <c r="H693" s="182"/>
      <c r="M693" s="155"/>
      <c r="N693" s="159"/>
      <c r="O693" s="159"/>
      <c r="P693" s="159"/>
      <c r="Q693" s="159"/>
      <c r="R693" s="160"/>
      <c r="S693" s="160"/>
    </row>
    <row r="694">
      <c r="A694" s="155"/>
      <c r="B694" s="155"/>
      <c r="C694" s="192"/>
      <c r="D694" s="159"/>
      <c r="E694" s="159"/>
      <c r="F694" s="193"/>
      <c r="G694" s="182"/>
      <c r="H694" s="182"/>
      <c r="M694" s="155"/>
      <c r="N694" s="159"/>
      <c r="O694" s="159"/>
      <c r="P694" s="159"/>
      <c r="Q694" s="159"/>
      <c r="R694" s="160"/>
      <c r="S694" s="160"/>
    </row>
    <row r="695">
      <c r="A695" s="155"/>
      <c r="B695" s="155"/>
      <c r="C695" s="192"/>
      <c r="D695" s="159"/>
      <c r="E695" s="159"/>
      <c r="F695" s="193"/>
      <c r="G695" s="182"/>
      <c r="H695" s="182"/>
      <c r="M695" s="155"/>
      <c r="N695" s="159"/>
      <c r="O695" s="159"/>
      <c r="P695" s="159"/>
      <c r="Q695" s="159"/>
      <c r="R695" s="160"/>
      <c r="S695" s="160"/>
    </row>
    <row r="696">
      <c r="A696" s="155"/>
      <c r="B696" s="155"/>
      <c r="C696" s="192"/>
      <c r="D696" s="159"/>
      <c r="E696" s="159"/>
      <c r="F696" s="193"/>
      <c r="G696" s="182"/>
      <c r="H696" s="182"/>
      <c r="M696" s="155"/>
      <c r="N696" s="159"/>
      <c r="O696" s="159"/>
      <c r="P696" s="159"/>
      <c r="Q696" s="159"/>
      <c r="R696" s="160"/>
      <c r="S696" s="160"/>
    </row>
    <row r="697">
      <c r="A697" s="155"/>
      <c r="B697" s="155"/>
      <c r="C697" s="192"/>
      <c r="D697" s="159"/>
      <c r="E697" s="159"/>
      <c r="F697" s="193"/>
      <c r="G697" s="182"/>
      <c r="H697" s="182"/>
      <c r="M697" s="155"/>
      <c r="N697" s="159"/>
      <c r="O697" s="159"/>
      <c r="P697" s="159"/>
      <c r="Q697" s="159"/>
      <c r="R697" s="160"/>
      <c r="S697" s="160"/>
    </row>
    <row r="698">
      <c r="A698" s="155"/>
      <c r="B698" s="155"/>
      <c r="C698" s="192"/>
      <c r="D698" s="159"/>
      <c r="E698" s="159"/>
      <c r="F698" s="193"/>
      <c r="G698" s="182"/>
      <c r="H698" s="182"/>
      <c r="M698" s="155"/>
      <c r="N698" s="159"/>
      <c r="O698" s="159"/>
      <c r="P698" s="159"/>
      <c r="Q698" s="159"/>
      <c r="R698" s="160"/>
      <c r="S698" s="160"/>
    </row>
    <row r="699">
      <c r="A699" s="155"/>
      <c r="B699" s="155"/>
      <c r="C699" s="192"/>
      <c r="D699" s="159"/>
      <c r="E699" s="159"/>
      <c r="F699" s="193"/>
      <c r="G699" s="182"/>
      <c r="H699" s="182"/>
      <c r="M699" s="155"/>
      <c r="N699" s="159"/>
      <c r="O699" s="159"/>
      <c r="P699" s="159"/>
      <c r="Q699" s="159"/>
      <c r="R699" s="160"/>
      <c r="S699" s="160"/>
    </row>
    <row r="700">
      <c r="A700" s="155"/>
      <c r="B700" s="155"/>
      <c r="C700" s="192"/>
      <c r="D700" s="159"/>
      <c r="E700" s="159"/>
      <c r="F700" s="193"/>
      <c r="G700" s="182"/>
      <c r="H700" s="182"/>
      <c r="M700" s="155"/>
      <c r="N700" s="159"/>
      <c r="O700" s="159"/>
      <c r="P700" s="159"/>
      <c r="Q700" s="159"/>
      <c r="R700" s="160"/>
      <c r="S700" s="160"/>
    </row>
    <row r="701">
      <c r="A701" s="155"/>
      <c r="B701" s="155"/>
      <c r="C701" s="192"/>
      <c r="D701" s="159"/>
      <c r="E701" s="159"/>
      <c r="F701" s="193"/>
      <c r="G701" s="182"/>
      <c r="H701" s="182"/>
      <c r="M701" s="155"/>
      <c r="N701" s="159"/>
      <c r="O701" s="159"/>
      <c r="P701" s="159"/>
      <c r="Q701" s="159"/>
      <c r="R701" s="160"/>
      <c r="S701" s="160"/>
    </row>
    <row r="702">
      <c r="A702" s="155"/>
      <c r="B702" s="155"/>
      <c r="C702" s="192"/>
      <c r="D702" s="159"/>
      <c r="E702" s="159"/>
      <c r="F702" s="193"/>
      <c r="G702" s="182"/>
      <c r="H702" s="182"/>
      <c r="M702" s="155"/>
      <c r="N702" s="159"/>
      <c r="O702" s="159"/>
      <c r="P702" s="159"/>
      <c r="Q702" s="159"/>
      <c r="R702" s="160"/>
      <c r="S702" s="160"/>
    </row>
    <row r="703">
      <c r="A703" s="155"/>
      <c r="B703" s="155"/>
      <c r="C703" s="192"/>
      <c r="D703" s="159"/>
      <c r="E703" s="159"/>
      <c r="F703" s="193"/>
      <c r="G703" s="182"/>
      <c r="H703" s="182"/>
      <c r="M703" s="155"/>
      <c r="N703" s="159"/>
      <c r="O703" s="159"/>
      <c r="P703" s="159"/>
      <c r="Q703" s="159"/>
      <c r="R703" s="160"/>
      <c r="S703" s="160"/>
    </row>
    <row r="704">
      <c r="A704" s="155"/>
      <c r="B704" s="155"/>
      <c r="C704" s="192"/>
      <c r="D704" s="159"/>
      <c r="E704" s="159"/>
      <c r="F704" s="193"/>
      <c r="G704" s="182"/>
      <c r="H704" s="182"/>
      <c r="M704" s="155"/>
      <c r="N704" s="159"/>
      <c r="O704" s="159"/>
      <c r="P704" s="159"/>
      <c r="Q704" s="159"/>
      <c r="R704" s="160"/>
      <c r="S704" s="160"/>
    </row>
    <row r="705">
      <c r="A705" s="155"/>
      <c r="B705" s="155"/>
      <c r="C705" s="192"/>
      <c r="D705" s="159"/>
      <c r="E705" s="159"/>
      <c r="F705" s="193"/>
      <c r="G705" s="182"/>
      <c r="H705" s="182"/>
      <c r="M705" s="155"/>
      <c r="N705" s="159"/>
      <c r="O705" s="159"/>
      <c r="P705" s="159"/>
      <c r="Q705" s="159"/>
      <c r="R705" s="160"/>
      <c r="S705" s="160"/>
    </row>
    <row r="706">
      <c r="A706" s="155"/>
      <c r="B706" s="155"/>
      <c r="C706" s="192"/>
      <c r="D706" s="159"/>
      <c r="E706" s="159"/>
      <c r="F706" s="193"/>
      <c r="G706" s="182"/>
      <c r="H706" s="182"/>
      <c r="M706" s="155"/>
      <c r="N706" s="159"/>
      <c r="O706" s="159"/>
      <c r="P706" s="159"/>
      <c r="Q706" s="159"/>
      <c r="R706" s="160"/>
      <c r="S706" s="160"/>
    </row>
    <row r="707">
      <c r="A707" s="155"/>
      <c r="B707" s="155"/>
      <c r="C707" s="192"/>
      <c r="D707" s="159"/>
      <c r="E707" s="159"/>
      <c r="F707" s="193"/>
      <c r="G707" s="182"/>
      <c r="H707" s="182"/>
      <c r="M707" s="155"/>
      <c r="N707" s="159"/>
      <c r="O707" s="159"/>
      <c r="P707" s="159"/>
      <c r="Q707" s="159"/>
      <c r="R707" s="160"/>
      <c r="S707" s="160"/>
    </row>
    <row r="708">
      <c r="A708" s="155"/>
      <c r="B708" s="155"/>
      <c r="C708" s="192"/>
      <c r="D708" s="159"/>
      <c r="E708" s="159"/>
      <c r="F708" s="193"/>
      <c r="G708" s="182"/>
      <c r="H708" s="182"/>
      <c r="M708" s="155"/>
      <c r="N708" s="159"/>
      <c r="O708" s="159"/>
      <c r="P708" s="159"/>
      <c r="Q708" s="159"/>
      <c r="R708" s="160"/>
      <c r="S708" s="160"/>
    </row>
    <row r="709">
      <c r="A709" s="155"/>
      <c r="B709" s="155"/>
      <c r="C709" s="192"/>
      <c r="D709" s="159"/>
      <c r="E709" s="159"/>
      <c r="F709" s="193"/>
      <c r="G709" s="182"/>
      <c r="H709" s="182"/>
      <c r="M709" s="155"/>
      <c r="N709" s="159"/>
      <c r="O709" s="159"/>
      <c r="P709" s="159"/>
      <c r="Q709" s="159"/>
      <c r="R709" s="160"/>
      <c r="S709" s="160"/>
    </row>
    <row r="710">
      <c r="A710" s="155"/>
      <c r="B710" s="155"/>
      <c r="C710" s="192"/>
      <c r="D710" s="159"/>
      <c r="E710" s="159"/>
      <c r="F710" s="193"/>
      <c r="G710" s="182"/>
      <c r="H710" s="182"/>
      <c r="M710" s="155"/>
      <c r="N710" s="159"/>
      <c r="O710" s="159"/>
      <c r="P710" s="159"/>
      <c r="Q710" s="159"/>
      <c r="R710" s="160"/>
      <c r="S710" s="160"/>
    </row>
    <row r="711">
      <c r="A711" s="155"/>
      <c r="B711" s="155"/>
      <c r="C711" s="192"/>
      <c r="D711" s="159"/>
      <c r="E711" s="159"/>
      <c r="F711" s="193"/>
      <c r="G711" s="182"/>
      <c r="H711" s="182"/>
      <c r="M711" s="155"/>
      <c r="N711" s="159"/>
      <c r="O711" s="159"/>
      <c r="P711" s="159"/>
      <c r="Q711" s="159"/>
      <c r="R711" s="160"/>
      <c r="S711" s="160"/>
    </row>
    <row r="712">
      <c r="A712" s="155"/>
      <c r="B712" s="155"/>
      <c r="C712" s="192"/>
      <c r="D712" s="159"/>
      <c r="E712" s="159"/>
      <c r="F712" s="193"/>
      <c r="G712" s="182"/>
      <c r="H712" s="182"/>
      <c r="M712" s="155"/>
      <c r="N712" s="159"/>
      <c r="O712" s="159"/>
      <c r="P712" s="159"/>
      <c r="Q712" s="159"/>
      <c r="R712" s="160"/>
      <c r="S712" s="160"/>
    </row>
    <row r="713">
      <c r="A713" s="155"/>
      <c r="B713" s="155"/>
      <c r="C713" s="192"/>
      <c r="D713" s="159"/>
      <c r="E713" s="159"/>
      <c r="F713" s="193"/>
      <c r="G713" s="182"/>
      <c r="H713" s="182"/>
      <c r="M713" s="155"/>
      <c r="N713" s="159"/>
      <c r="O713" s="159"/>
      <c r="P713" s="159"/>
      <c r="Q713" s="159"/>
      <c r="R713" s="160"/>
      <c r="S713" s="160"/>
    </row>
    <row r="714">
      <c r="A714" s="155"/>
      <c r="B714" s="155"/>
      <c r="C714" s="192"/>
      <c r="D714" s="159"/>
      <c r="E714" s="159"/>
      <c r="F714" s="193"/>
      <c r="G714" s="182"/>
      <c r="H714" s="182"/>
      <c r="M714" s="155"/>
      <c r="N714" s="159"/>
      <c r="O714" s="159"/>
      <c r="P714" s="159"/>
      <c r="Q714" s="159"/>
      <c r="R714" s="160"/>
      <c r="S714" s="160"/>
    </row>
    <row r="715">
      <c r="A715" s="155"/>
      <c r="B715" s="155"/>
      <c r="C715" s="192"/>
      <c r="D715" s="159"/>
      <c r="E715" s="159"/>
      <c r="F715" s="193"/>
      <c r="G715" s="182"/>
      <c r="H715" s="182"/>
      <c r="M715" s="155"/>
      <c r="N715" s="159"/>
      <c r="O715" s="159"/>
      <c r="P715" s="159"/>
      <c r="Q715" s="159"/>
      <c r="R715" s="160"/>
      <c r="S715" s="160"/>
    </row>
    <row r="716">
      <c r="A716" s="155"/>
      <c r="B716" s="155"/>
      <c r="C716" s="192"/>
      <c r="D716" s="159"/>
      <c r="E716" s="159"/>
      <c r="F716" s="193"/>
      <c r="G716" s="182"/>
      <c r="H716" s="182"/>
      <c r="M716" s="155"/>
      <c r="N716" s="159"/>
      <c r="O716" s="159"/>
      <c r="P716" s="159"/>
      <c r="Q716" s="159"/>
      <c r="R716" s="160"/>
      <c r="S716" s="160"/>
    </row>
    <row r="717">
      <c r="A717" s="155"/>
      <c r="B717" s="155"/>
      <c r="C717" s="192"/>
      <c r="D717" s="159"/>
      <c r="E717" s="159"/>
      <c r="F717" s="193"/>
      <c r="G717" s="182"/>
      <c r="H717" s="182"/>
      <c r="M717" s="155"/>
      <c r="N717" s="159"/>
      <c r="O717" s="159"/>
      <c r="P717" s="159"/>
      <c r="Q717" s="159"/>
      <c r="R717" s="160"/>
      <c r="S717" s="160"/>
    </row>
    <row r="718">
      <c r="A718" s="155"/>
      <c r="B718" s="155"/>
      <c r="C718" s="192"/>
      <c r="D718" s="159"/>
      <c r="E718" s="159"/>
      <c r="F718" s="193"/>
      <c r="G718" s="182"/>
      <c r="H718" s="182"/>
      <c r="M718" s="155"/>
      <c r="N718" s="159"/>
      <c r="O718" s="159"/>
      <c r="P718" s="159"/>
      <c r="Q718" s="159"/>
      <c r="R718" s="160"/>
      <c r="S718" s="160"/>
    </row>
    <row r="719">
      <c r="A719" s="155"/>
      <c r="B719" s="155"/>
      <c r="C719" s="192"/>
      <c r="D719" s="159"/>
      <c r="E719" s="159"/>
      <c r="F719" s="193"/>
      <c r="G719" s="182"/>
      <c r="H719" s="182"/>
      <c r="M719" s="155"/>
      <c r="N719" s="159"/>
      <c r="O719" s="159"/>
      <c r="P719" s="159"/>
      <c r="Q719" s="159"/>
      <c r="R719" s="160"/>
      <c r="S719" s="160"/>
    </row>
    <row r="720">
      <c r="A720" s="155"/>
      <c r="B720" s="155"/>
      <c r="C720" s="192"/>
      <c r="D720" s="159"/>
      <c r="E720" s="159"/>
      <c r="F720" s="193"/>
      <c r="G720" s="182"/>
      <c r="H720" s="182"/>
      <c r="M720" s="155"/>
      <c r="N720" s="159"/>
      <c r="O720" s="159"/>
      <c r="P720" s="159"/>
      <c r="Q720" s="159"/>
      <c r="R720" s="160"/>
      <c r="S720" s="160"/>
    </row>
    <row r="721">
      <c r="A721" s="155"/>
      <c r="B721" s="155"/>
      <c r="C721" s="192"/>
      <c r="D721" s="159"/>
      <c r="E721" s="159"/>
      <c r="F721" s="193"/>
      <c r="G721" s="182"/>
      <c r="H721" s="182"/>
      <c r="M721" s="155"/>
      <c r="N721" s="159"/>
      <c r="O721" s="159"/>
      <c r="P721" s="159"/>
      <c r="Q721" s="159"/>
      <c r="R721" s="160"/>
      <c r="S721" s="160"/>
    </row>
    <row r="722">
      <c r="A722" s="155"/>
      <c r="B722" s="155"/>
      <c r="C722" s="192"/>
      <c r="D722" s="159"/>
      <c r="E722" s="159"/>
      <c r="F722" s="193"/>
      <c r="G722" s="182"/>
      <c r="H722" s="182"/>
      <c r="M722" s="155"/>
      <c r="N722" s="159"/>
      <c r="O722" s="159"/>
      <c r="P722" s="159"/>
      <c r="Q722" s="159"/>
      <c r="R722" s="160"/>
      <c r="S722" s="160"/>
    </row>
    <row r="723">
      <c r="A723" s="155"/>
      <c r="B723" s="155"/>
      <c r="C723" s="192"/>
      <c r="D723" s="159"/>
      <c r="E723" s="159"/>
      <c r="F723" s="193"/>
      <c r="G723" s="182"/>
      <c r="H723" s="182"/>
      <c r="M723" s="155"/>
      <c r="N723" s="159"/>
      <c r="O723" s="159"/>
      <c r="P723" s="159"/>
      <c r="Q723" s="159"/>
      <c r="R723" s="160"/>
      <c r="S723" s="160"/>
    </row>
    <row r="724">
      <c r="A724" s="155"/>
      <c r="B724" s="155"/>
      <c r="C724" s="192"/>
      <c r="D724" s="159"/>
      <c r="E724" s="159"/>
      <c r="F724" s="193"/>
      <c r="G724" s="182"/>
      <c r="H724" s="182"/>
      <c r="M724" s="155"/>
      <c r="N724" s="159"/>
      <c r="O724" s="159"/>
      <c r="P724" s="159"/>
      <c r="Q724" s="159"/>
      <c r="R724" s="160"/>
      <c r="S724" s="160"/>
    </row>
    <row r="725">
      <c r="A725" s="155"/>
      <c r="B725" s="155"/>
      <c r="C725" s="192"/>
      <c r="D725" s="159"/>
      <c r="E725" s="159"/>
      <c r="F725" s="193"/>
      <c r="G725" s="182"/>
      <c r="H725" s="182"/>
      <c r="M725" s="155"/>
      <c r="N725" s="159"/>
      <c r="O725" s="159"/>
      <c r="P725" s="159"/>
      <c r="Q725" s="159"/>
      <c r="R725" s="160"/>
      <c r="S725" s="160"/>
    </row>
    <row r="726">
      <c r="A726" s="155"/>
      <c r="B726" s="155"/>
      <c r="C726" s="192"/>
      <c r="D726" s="159"/>
      <c r="E726" s="159"/>
      <c r="F726" s="193"/>
      <c r="G726" s="182"/>
      <c r="H726" s="182"/>
      <c r="M726" s="155"/>
      <c r="N726" s="159"/>
      <c r="O726" s="159"/>
      <c r="P726" s="159"/>
      <c r="Q726" s="159"/>
      <c r="R726" s="160"/>
      <c r="S726" s="160"/>
    </row>
    <row r="727">
      <c r="A727" s="155"/>
      <c r="B727" s="155"/>
      <c r="C727" s="192"/>
      <c r="D727" s="159"/>
      <c r="E727" s="159"/>
      <c r="F727" s="193"/>
      <c r="G727" s="182"/>
      <c r="H727" s="182"/>
      <c r="M727" s="155"/>
      <c r="N727" s="159"/>
      <c r="O727" s="159"/>
      <c r="P727" s="159"/>
      <c r="Q727" s="159"/>
      <c r="R727" s="160"/>
      <c r="S727" s="160"/>
    </row>
    <row r="728">
      <c r="A728" s="155"/>
      <c r="B728" s="155"/>
      <c r="C728" s="192"/>
      <c r="D728" s="159"/>
      <c r="E728" s="159"/>
      <c r="F728" s="193"/>
      <c r="G728" s="182"/>
      <c r="H728" s="182"/>
      <c r="M728" s="155"/>
      <c r="N728" s="159"/>
      <c r="O728" s="159"/>
      <c r="P728" s="159"/>
      <c r="Q728" s="159"/>
      <c r="R728" s="160"/>
      <c r="S728" s="160"/>
    </row>
    <row r="729">
      <c r="A729" s="155"/>
      <c r="B729" s="155"/>
      <c r="C729" s="192"/>
      <c r="D729" s="159"/>
      <c r="E729" s="159"/>
      <c r="F729" s="193"/>
      <c r="G729" s="182"/>
      <c r="H729" s="182"/>
      <c r="M729" s="155"/>
      <c r="N729" s="159"/>
      <c r="O729" s="159"/>
      <c r="P729" s="159"/>
      <c r="Q729" s="159"/>
      <c r="R729" s="160"/>
      <c r="S729" s="160"/>
    </row>
    <row r="730">
      <c r="A730" s="155"/>
      <c r="B730" s="155"/>
      <c r="C730" s="192"/>
      <c r="D730" s="159"/>
      <c r="E730" s="159"/>
      <c r="F730" s="193"/>
      <c r="G730" s="182"/>
      <c r="H730" s="182"/>
      <c r="M730" s="155"/>
      <c r="N730" s="159"/>
      <c r="O730" s="159"/>
      <c r="P730" s="159"/>
      <c r="Q730" s="159"/>
      <c r="R730" s="160"/>
      <c r="S730" s="160"/>
    </row>
    <row r="731">
      <c r="A731" s="155"/>
      <c r="B731" s="155"/>
      <c r="C731" s="192"/>
      <c r="D731" s="159"/>
      <c r="E731" s="159"/>
      <c r="F731" s="193"/>
      <c r="G731" s="182"/>
      <c r="H731" s="182"/>
      <c r="M731" s="155"/>
      <c r="N731" s="159"/>
      <c r="O731" s="159"/>
      <c r="P731" s="159"/>
      <c r="Q731" s="159"/>
      <c r="R731" s="160"/>
      <c r="S731" s="160"/>
    </row>
    <row r="732">
      <c r="A732" s="155"/>
      <c r="B732" s="155"/>
      <c r="C732" s="192"/>
      <c r="D732" s="159"/>
      <c r="E732" s="159"/>
      <c r="F732" s="193"/>
      <c r="G732" s="182"/>
      <c r="H732" s="182"/>
      <c r="M732" s="155"/>
      <c r="N732" s="159"/>
      <c r="O732" s="159"/>
      <c r="P732" s="159"/>
      <c r="Q732" s="159"/>
      <c r="R732" s="160"/>
      <c r="S732" s="160"/>
    </row>
    <row r="733">
      <c r="A733" s="155"/>
      <c r="B733" s="155"/>
      <c r="C733" s="192"/>
      <c r="D733" s="159"/>
      <c r="E733" s="159"/>
      <c r="F733" s="193"/>
      <c r="G733" s="182"/>
      <c r="H733" s="182"/>
      <c r="M733" s="155"/>
      <c r="N733" s="159"/>
      <c r="O733" s="159"/>
      <c r="P733" s="159"/>
      <c r="Q733" s="159"/>
      <c r="R733" s="160"/>
      <c r="S733" s="160"/>
    </row>
    <row r="734">
      <c r="A734" s="155"/>
      <c r="B734" s="155"/>
      <c r="C734" s="192"/>
      <c r="D734" s="159"/>
      <c r="E734" s="159"/>
      <c r="F734" s="193"/>
      <c r="G734" s="182"/>
      <c r="H734" s="182"/>
      <c r="M734" s="155"/>
      <c r="N734" s="159"/>
      <c r="O734" s="159"/>
      <c r="P734" s="159"/>
      <c r="Q734" s="159"/>
      <c r="R734" s="160"/>
      <c r="S734" s="160"/>
    </row>
    <row r="735">
      <c r="A735" s="155"/>
      <c r="B735" s="155"/>
      <c r="C735" s="192"/>
      <c r="D735" s="159"/>
      <c r="E735" s="159"/>
      <c r="F735" s="193"/>
      <c r="G735" s="182"/>
      <c r="H735" s="182"/>
      <c r="M735" s="155"/>
      <c r="N735" s="159"/>
      <c r="O735" s="159"/>
      <c r="P735" s="159"/>
      <c r="Q735" s="159"/>
      <c r="R735" s="160"/>
      <c r="S735" s="160"/>
    </row>
    <row r="736">
      <c r="A736" s="155"/>
      <c r="B736" s="155"/>
      <c r="C736" s="192"/>
      <c r="D736" s="159"/>
      <c r="E736" s="159"/>
      <c r="F736" s="193"/>
      <c r="G736" s="182"/>
      <c r="H736" s="182"/>
      <c r="M736" s="155"/>
      <c r="N736" s="159"/>
      <c r="O736" s="159"/>
      <c r="P736" s="159"/>
      <c r="Q736" s="159"/>
      <c r="R736" s="160"/>
      <c r="S736" s="160"/>
    </row>
    <row r="737">
      <c r="A737" s="155"/>
      <c r="B737" s="155"/>
      <c r="C737" s="192"/>
      <c r="D737" s="159"/>
      <c r="E737" s="159"/>
      <c r="F737" s="193"/>
      <c r="G737" s="182"/>
      <c r="H737" s="182"/>
      <c r="M737" s="155"/>
      <c r="N737" s="159"/>
      <c r="O737" s="159"/>
      <c r="P737" s="159"/>
      <c r="Q737" s="159"/>
      <c r="R737" s="160"/>
      <c r="S737" s="160"/>
    </row>
    <row r="738">
      <c r="A738" s="155"/>
      <c r="B738" s="155"/>
      <c r="C738" s="192"/>
      <c r="D738" s="159"/>
      <c r="E738" s="159"/>
      <c r="F738" s="193"/>
      <c r="G738" s="182"/>
      <c r="H738" s="182"/>
      <c r="M738" s="155"/>
      <c r="N738" s="159"/>
      <c r="O738" s="159"/>
      <c r="P738" s="159"/>
      <c r="Q738" s="159"/>
      <c r="R738" s="160"/>
      <c r="S738" s="160"/>
    </row>
    <row r="739">
      <c r="A739" s="155"/>
      <c r="B739" s="155"/>
      <c r="C739" s="192"/>
      <c r="D739" s="159"/>
      <c r="E739" s="159"/>
      <c r="F739" s="193"/>
      <c r="G739" s="182"/>
      <c r="H739" s="182"/>
      <c r="M739" s="155"/>
      <c r="N739" s="159"/>
      <c r="O739" s="159"/>
      <c r="P739" s="159"/>
      <c r="Q739" s="159"/>
      <c r="R739" s="160"/>
      <c r="S739" s="160"/>
    </row>
    <row r="740">
      <c r="A740" s="155"/>
      <c r="B740" s="155"/>
      <c r="C740" s="192"/>
      <c r="D740" s="159"/>
      <c r="E740" s="159"/>
      <c r="F740" s="193"/>
      <c r="G740" s="182"/>
      <c r="H740" s="182"/>
      <c r="M740" s="155"/>
      <c r="N740" s="159"/>
      <c r="O740" s="159"/>
      <c r="P740" s="159"/>
      <c r="Q740" s="159"/>
      <c r="R740" s="160"/>
      <c r="S740" s="160"/>
    </row>
    <row r="741">
      <c r="A741" s="155"/>
      <c r="B741" s="155"/>
      <c r="C741" s="192"/>
      <c r="D741" s="159"/>
      <c r="E741" s="159"/>
      <c r="F741" s="193"/>
      <c r="G741" s="182"/>
      <c r="H741" s="182"/>
      <c r="M741" s="155"/>
      <c r="N741" s="159"/>
      <c r="O741" s="159"/>
      <c r="P741" s="159"/>
      <c r="Q741" s="159"/>
      <c r="R741" s="160"/>
      <c r="S741" s="160"/>
    </row>
    <row r="742">
      <c r="A742" s="155"/>
      <c r="B742" s="155"/>
      <c r="C742" s="192"/>
      <c r="D742" s="159"/>
      <c r="E742" s="159"/>
      <c r="F742" s="193"/>
      <c r="G742" s="182"/>
      <c r="H742" s="182"/>
      <c r="M742" s="155"/>
      <c r="N742" s="159"/>
      <c r="O742" s="159"/>
      <c r="P742" s="159"/>
      <c r="Q742" s="159"/>
      <c r="R742" s="160"/>
      <c r="S742" s="160"/>
    </row>
    <row r="743">
      <c r="A743" s="155"/>
      <c r="B743" s="155"/>
      <c r="C743" s="192"/>
      <c r="D743" s="159"/>
      <c r="E743" s="159"/>
      <c r="F743" s="193"/>
      <c r="G743" s="182"/>
      <c r="H743" s="182"/>
      <c r="M743" s="155"/>
      <c r="N743" s="159"/>
      <c r="O743" s="159"/>
      <c r="P743" s="159"/>
      <c r="Q743" s="159"/>
      <c r="R743" s="160"/>
      <c r="S743" s="160"/>
    </row>
    <row r="744">
      <c r="A744" s="155"/>
      <c r="B744" s="155"/>
      <c r="C744" s="192"/>
      <c r="D744" s="159"/>
      <c r="E744" s="159"/>
      <c r="F744" s="193"/>
      <c r="G744" s="182"/>
      <c r="H744" s="182"/>
      <c r="M744" s="155"/>
      <c r="N744" s="159"/>
      <c r="O744" s="159"/>
      <c r="P744" s="159"/>
      <c r="Q744" s="159"/>
      <c r="R744" s="160"/>
      <c r="S744" s="160"/>
    </row>
    <row r="745">
      <c r="A745" s="155"/>
      <c r="B745" s="155"/>
      <c r="C745" s="192"/>
      <c r="D745" s="159"/>
      <c r="E745" s="159"/>
      <c r="F745" s="193"/>
      <c r="G745" s="182"/>
      <c r="H745" s="182"/>
      <c r="M745" s="155"/>
      <c r="N745" s="159"/>
      <c r="O745" s="159"/>
      <c r="P745" s="159"/>
      <c r="Q745" s="159"/>
      <c r="R745" s="160"/>
      <c r="S745" s="160"/>
    </row>
    <row r="746">
      <c r="A746" s="155"/>
      <c r="B746" s="155"/>
      <c r="C746" s="192"/>
      <c r="D746" s="159"/>
      <c r="E746" s="159"/>
      <c r="F746" s="193"/>
      <c r="G746" s="182"/>
      <c r="H746" s="182"/>
      <c r="M746" s="155"/>
      <c r="N746" s="159"/>
      <c r="O746" s="159"/>
      <c r="P746" s="159"/>
      <c r="Q746" s="159"/>
      <c r="R746" s="160"/>
      <c r="S746" s="160"/>
    </row>
    <row r="747">
      <c r="A747" s="155"/>
      <c r="B747" s="155"/>
      <c r="C747" s="192"/>
      <c r="D747" s="159"/>
      <c r="E747" s="159"/>
      <c r="F747" s="193"/>
      <c r="G747" s="182"/>
      <c r="H747" s="182"/>
      <c r="M747" s="155"/>
      <c r="N747" s="159"/>
      <c r="O747" s="159"/>
      <c r="P747" s="159"/>
      <c r="Q747" s="159"/>
      <c r="R747" s="160"/>
      <c r="S747" s="160"/>
    </row>
    <row r="748">
      <c r="A748" s="155"/>
      <c r="B748" s="155"/>
      <c r="C748" s="192"/>
      <c r="D748" s="159"/>
      <c r="E748" s="159"/>
      <c r="F748" s="193"/>
      <c r="G748" s="182"/>
      <c r="H748" s="182"/>
      <c r="M748" s="155"/>
      <c r="N748" s="159"/>
      <c r="O748" s="159"/>
      <c r="P748" s="159"/>
      <c r="Q748" s="159"/>
      <c r="R748" s="160"/>
      <c r="S748" s="160"/>
    </row>
    <row r="749">
      <c r="A749" s="155"/>
      <c r="B749" s="155"/>
      <c r="C749" s="192"/>
      <c r="D749" s="159"/>
      <c r="E749" s="159"/>
      <c r="F749" s="193"/>
      <c r="G749" s="182"/>
      <c r="H749" s="182"/>
      <c r="M749" s="155"/>
      <c r="N749" s="159"/>
      <c r="O749" s="159"/>
      <c r="P749" s="159"/>
      <c r="Q749" s="159"/>
      <c r="R749" s="160"/>
      <c r="S749" s="160"/>
    </row>
    <row r="750">
      <c r="A750" s="155"/>
      <c r="B750" s="155"/>
      <c r="C750" s="192"/>
      <c r="D750" s="159"/>
      <c r="E750" s="159"/>
      <c r="F750" s="193"/>
      <c r="G750" s="182"/>
      <c r="H750" s="182"/>
      <c r="M750" s="155"/>
      <c r="N750" s="159"/>
      <c r="O750" s="159"/>
      <c r="P750" s="159"/>
      <c r="Q750" s="159"/>
      <c r="R750" s="160"/>
      <c r="S750" s="160"/>
    </row>
    <row r="751">
      <c r="A751" s="155"/>
      <c r="B751" s="155"/>
      <c r="C751" s="192"/>
      <c r="D751" s="159"/>
      <c r="E751" s="159"/>
      <c r="F751" s="193"/>
      <c r="G751" s="182"/>
      <c r="H751" s="182"/>
      <c r="M751" s="155"/>
      <c r="N751" s="159"/>
      <c r="O751" s="159"/>
      <c r="P751" s="159"/>
      <c r="Q751" s="159"/>
      <c r="R751" s="160"/>
      <c r="S751" s="160"/>
    </row>
    <row r="752">
      <c r="A752" s="155"/>
      <c r="B752" s="155"/>
      <c r="C752" s="192"/>
      <c r="D752" s="159"/>
      <c r="E752" s="159"/>
      <c r="F752" s="193"/>
      <c r="G752" s="182"/>
      <c r="H752" s="182"/>
      <c r="M752" s="155"/>
      <c r="N752" s="159"/>
      <c r="O752" s="159"/>
      <c r="P752" s="159"/>
      <c r="Q752" s="159"/>
      <c r="R752" s="160"/>
      <c r="S752" s="160"/>
    </row>
    <row r="753">
      <c r="A753" s="155"/>
      <c r="B753" s="155"/>
      <c r="C753" s="192"/>
      <c r="D753" s="159"/>
      <c r="E753" s="159"/>
      <c r="F753" s="193"/>
      <c r="G753" s="182"/>
      <c r="H753" s="182"/>
      <c r="M753" s="155"/>
      <c r="N753" s="159"/>
      <c r="O753" s="159"/>
      <c r="P753" s="159"/>
      <c r="Q753" s="159"/>
      <c r="R753" s="160"/>
      <c r="S753" s="160"/>
    </row>
    <row r="754">
      <c r="A754" s="155"/>
      <c r="B754" s="155"/>
      <c r="C754" s="192"/>
      <c r="D754" s="159"/>
      <c r="E754" s="159"/>
      <c r="F754" s="193"/>
      <c r="G754" s="182"/>
      <c r="H754" s="182"/>
      <c r="M754" s="155"/>
      <c r="N754" s="159"/>
      <c r="O754" s="159"/>
      <c r="P754" s="159"/>
      <c r="Q754" s="159"/>
      <c r="R754" s="160"/>
      <c r="S754" s="160"/>
    </row>
    <row r="755">
      <c r="A755" s="155"/>
      <c r="B755" s="155"/>
      <c r="C755" s="192"/>
      <c r="D755" s="159"/>
      <c r="E755" s="159"/>
      <c r="F755" s="193"/>
      <c r="G755" s="182"/>
      <c r="H755" s="182"/>
      <c r="M755" s="155"/>
      <c r="N755" s="159"/>
      <c r="O755" s="159"/>
      <c r="P755" s="159"/>
      <c r="Q755" s="159"/>
      <c r="R755" s="160"/>
      <c r="S755" s="160"/>
    </row>
    <row r="756">
      <c r="A756" s="155"/>
      <c r="B756" s="155"/>
      <c r="C756" s="192"/>
      <c r="D756" s="159"/>
      <c r="E756" s="159"/>
      <c r="F756" s="193"/>
      <c r="G756" s="182"/>
      <c r="H756" s="182"/>
      <c r="M756" s="155"/>
      <c r="N756" s="159"/>
      <c r="O756" s="159"/>
      <c r="P756" s="159"/>
      <c r="Q756" s="159"/>
      <c r="R756" s="160"/>
      <c r="S756" s="160"/>
    </row>
    <row r="757">
      <c r="A757" s="155"/>
      <c r="B757" s="155"/>
      <c r="C757" s="192"/>
      <c r="D757" s="159"/>
      <c r="E757" s="159"/>
      <c r="F757" s="193"/>
      <c r="G757" s="182"/>
      <c r="H757" s="182"/>
      <c r="M757" s="155"/>
      <c r="N757" s="159"/>
      <c r="O757" s="159"/>
      <c r="P757" s="159"/>
      <c r="Q757" s="159"/>
      <c r="R757" s="160"/>
      <c r="S757" s="160"/>
    </row>
    <row r="758">
      <c r="A758" s="155"/>
      <c r="B758" s="155"/>
      <c r="C758" s="192"/>
      <c r="D758" s="159"/>
      <c r="E758" s="159"/>
      <c r="F758" s="193"/>
      <c r="G758" s="182"/>
      <c r="H758" s="182"/>
      <c r="M758" s="155"/>
      <c r="N758" s="159"/>
      <c r="O758" s="159"/>
      <c r="P758" s="159"/>
      <c r="Q758" s="159"/>
      <c r="R758" s="160"/>
      <c r="S758" s="160"/>
    </row>
    <row r="759">
      <c r="A759" s="155"/>
      <c r="B759" s="155"/>
      <c r="C759" s="192"/>
      <c r="D759" s="159"/>
      <c r="E759" s="159"/>
      <c r="F759" s="193"/>
      <c r="G759" s="182"/>
      <c r="H759" s="182"/>
      <c r="M759" s="155"/>
      <c r="N759" s="159"/>
      <c r="O759" s="159"/>
      <c r="P759" s="159"/>
      <c r="Q759" s="159"/>
      <c r="R759" s="160"/>
      <c r="S759" s="160"/>
    </row>
    <row r="760">
      <c r="A760" s="155"/>
      <c r="B760" s="155"/>
      <c r="C760" s="192"/>
      <c r="D760" s="159"/>
      <c r="E760" s="159"/>
      <c r="F760" s="193"/>
      <c r="G760" s="182"/>
      <c r="H760" s="182"/>
      <c r="M760" s="155"/>
      <c r="N760" s="159"/>
      <c r="O760" s="159"/>
      <c r="P760" s="159"/>
      <c r="Q760" s="159"/>
      <c r="R760" s="160"/>
      <c r="S760" s="160"/>
    </row>
    <row r="761">
      <c r="A761" s="155"/>
      <c r="B761" s="155"/>
      <c r="C761" s="192"/>
      <c r="D761" s="159"/>
      <c r="E761" s="159"/>
      <c r="F761" s="193"/>
      <c r="G761" s="182"/>
      <c r="H761" s="182"/>
      <c r="M761" s="155"/>
      <c r="N761" s="159"/>
      <c r="O761" s="159"/>
      <c r="P761" s="159"/>
      <c r="Q761" s="159"/>
      <c r="R761" s="160"/>
      <c r="S761" s="160"/>
    </row>
    <row r="762">
      <c r="A762" s="155"/>
      <c r="B762" s="155"/>
      <c r="C762" s="192"/>
      <c r="D762" s="159"/>
      <c r="E762" s="159"/>
      <c r="F762" s="193"/>
      <c r="G762" s="182"/>
      <c r="H762" s="182"/>
      <c r="M762" s="155"/>
      <c r="N762" s="159"/>
      <c r="O762" s="159"/>
      <c r="P762" s="159"/>
      <c r="Q762" s="159"/>
      <c r="R762" s="160"/>
      <c r="S762" s="160"/>
    </row>
    <row r="763">
      <c r="A763" s="155"/>
      <c r="B763" s="155"/>
      <c r="C763" s="192"/>
      <c r="D763" s="159"/>
      <c r="E763" s="159"/>
      <c r="F763" s="193"/>
      <c r="G763" s="182"/>
      <c r="H763" s="182"/>
      <c r="M763" s="155"/>
      <c r="N763" s="159"/>
      <c r="O763" s="159"/>
      <c r="P763" s="159"/>
      <c r="Q763" s="159"/>
      <c r="R763" s="160"/>
      <c r="S763" s="160"/>
    </row>
    <row r="764">
      <c r="A764" s="155"/>
      <c r="B764" s="155"/>
      <c r="C764" s="192"/>
      <c r="D764" s="159"/>
      <c r="E764" s="159"/>
      <c r="F764" s="193"/>
      <c r="G764" s="182"/>
      <c r="H764" s="182"/>
      <c r="M764" s="155"/>
      <c r="N764" s="159"/>
      <c r="O764" s="159"/>
      <c r="P764" s="159"/>
      <c r="Q764" s="159"/>
      <c r="R764" s="160"/>
      <c r="S764" s="160"/>
    </row>
    <row r="765">
      <c r="A765" s="155"/>
      <c r="B765" s="155"/>
      <c r="C765" s="192"/>
      <c r="D765" s="159"/>
      <c r="E765" s="159"/>
      <c r="F765" s="193"/>
      <c r="G765" s="182"/>
      <c r="H765" s="182"/>
      <c r="M765" s="155"/>
      <c r="N765" s="159"/>
      <c r="O765" s="159"/>
      <c r="P765" s="159"/>
      <c r="Q765" s="159"/>
      <c r="R765" s="160"/>
      <c r="S765" s="160"/>
    </row>
    <row r="766">
      <c r="A766" s="155"/>
      <c r="B766" s="155"/>
      <c r="C766" s="192"/>
      <c r="D766" s="159"/>
      <c r="E766" s="159"/>
      <c r="F766" s="193"/>
      <c r="G766" s="182"/>
      <c r="H766" s="182"/>
      <c r="M766" s="155"/>
      <c r="N766" s="159"/>
      <c r="O766" s="159"/>
      <c r="P766" s="159"/>
      <c r="Q766" s="159"/>
      <c r="R766" s="160"/>
      <c r="S766" s="160"/>
    </row>
    <row r="767">
      <c r="A767" s="155"/>
      <c r="B767" s="155"/>
      <c r="C767" s="192"/>
      <c r="D767" s="159"/>
      <c r="E767" s="159"/>
      <c r="F767" s="193"/>
      <c r="G767" s="182"/>
      <c r="H767" s="182"/>
      <c r="M767" s="155"/>
      <c r="N767" s="159"/>
      <c r="O767" s="159"/>
      <c r="P767" s="159"/>
      <c r="Q767" s="159"/>
      <c r="R767" s="160"/>
      <c r="S767" s="160"/>
    </row>
    <row r="768">
      <c r="A768" s="155"/>
      <c r="B768" s="155"/>
      <c r="C768" s="192"/>
      <c r="D768" s="159"/>
      <c r="E768" s="159"/>
      <c r="F768" s="193"/>
      <c r="G768" s="182"/>
      <c r="H768" s="182"/>
      <c r="M768" s="155"/>
      <c r="N768" s="159"/>
      <c r="O768" s="159"/>
      <c r="P768" s="159"/>
      <c r="Q768" s="159"/>
      <c r="R768" s="160"/>
      <c r="S768" s="160"/>
    </row>
    <row r="769">
      <c r="A769" s="155"/>
      <c r="B769" s="155"/>
      <c r="C769" s="192"/>
      <c r="D769" s="159"/>
      <c r="E769" s="159"/>
      <c r="F769" s="193"/>
      <c r="G769" s="182"/>
      <c r="H769" s="182"/>
      <c r="M769" s="155"/>
      <c r="N769" s="159"/>
      <c r="O769" s="159"/>
      <c r="P769" s="159"/>
      <c r="Q769" s="159"/>
      <c r="R769" s="160"/>
      <c r="S769" s="160"/>
    </row>
    <row r="770">
      <c r="A770" s="155"/>
      <c r="B770" s="155"/>
      <c r="C770" s="192"/>
      <c r="D770" s="159"/>
      <c r="E770" s="159"/>
      <c r="F770" s="193"/>
      <c r="G770" s="182"/>
      <c r="H770" s="182"/>
      <c r="M770" s="155"/>
      <c r="N770" s="159"/>
      <c r="O770" s="159"/>
      <c r="P770" s="159"/>
      <c r="Q770" s="159"/>
      <c r="R770" s="160"/>
      <c r="S770" s="160"/>
    </row>
    <row r="771">
      <c r="A771" s="155"/>
      <c r="B771" s="155"/>
      <c r="C771" s="192"/>
      <c r="D771" s="159"/>
      <c r="E771" s="159"/>
      <c r="F771" s="193"/>
      <c r="G771" s="182"/>
      <c r="H771" s="182"/>
      <c r="M771" s="155"/>
      <c r="N771" s="159"/>
      <c r="O771" s="159"/>
      <c r="P771" s="159"/>
      <c r="Q771" s="159"/>
      <c r="R771" s="160"/>
      <c r="S771" s="160"/>
    </row>
    <row r="772">
      <c r="A772" s="155"/>
      <c r="B772" s="155"/>
      <c r="C772" s="192"/>
      <c r="D772" s="159"/>
      <c r="E772" s="159"/>
      <c r="F772" s="193"/>
      <c r="G772" s="182"/>
      <c r="H772" s="182"/>
      <c r="M772" s="155"/>
      <c r="N772" s="159"/>
      <c r="O772" s="159"/>
      <c r="P772" s="159"/>
      <c r="Q772" s="159"/>
      <c r="R772" s="160"/>
      <c r="S772" s="160"/>
    </row>
    <row r="773">
      <c r="A773" s="155"/>
      <c r="B773" s="155"/>
      <c r="C773" s="192"/>
      <c r="D773" s="159"/>
      <c r="E773" s="159"/>
      <c r="F773" s="193"/>
      <c r="G773" s="182"/>
      <c r="H773" s="182"/>
      <c r="M773" s="155"/>
      <c r="N773" s="159"/>
      <c r="O773" s="159"/>
      <c r="P773" s="159"/>
      <c r="Q773" s="159"/>
      <c r="R773" s="160"/>
      <c r="S773" s="160"/>
    </row>
    <row r="774">
      <c r="A774" s="155"/>
      <c r="B774" s="155"/>
      <c r="C774" s="192"/>
      <c r="D774" s="159"/>
      <c r="E774" s="159"/>
      <c r="F774" s="193"/>
      <c r="G774" s="182"/>
      <c r="H774" s="182"/>
      <c r="M774" s="155"/>
      <c r="N774" s="159"/>
      <c r="O774" s="159"/>
      <c r="P774" s="159"/>
      <c r="Q774" s="159"/>
      <c r="R774" s="160"/>
      <c r="S774" s="160"/>
    </row>
    <row r="775">
      <c r="A775" s="155"/>
      <c r="B775" s="155"/>
      <c r="C775" s="192"/>
      <c r="D775" s="159"/>
      <c r="E775" s="159"/>
      <c r="F775" s="193"/>
      <c r="G775" s="182"/>
      <c r="H775" s="182"/>
      <c r="M775" s="155"/>
      <c r="N775" s="159"/>
      <c r="O775" s="159"/>
      <c r="P775" s="159"/>
      <c r="Q775" s="159"/>
      <c r="R775" s="160"/>
      <c r="S775" s="160"/>
    </row>
    <row r="776">
      <c r="A776" s="155"/>
      <c r="B776" s="155"/>
      <c r="C776" s="192"/>
      <c r="D776" s="159"/>
      <c r="E776" s="159"/>
      <c r="F776" s="193"/>
      <c r="G776" s="182"/>
      <c r="H776" s="182"/>
      <c r="M776" s="155"/>
      <c r="N776" s="159"/>
      <c r="O776" s="159"/>
      <c r="P776" s="159"/>
      <c r="Q776" s="159"/>
      <c r="R776" s="160"/>
      <c r="S776" s="160"/>
    </row>
    <row r="777">
      <c r="A777" s="155"/>
      <c r="B777" s="155"/>
      <c r="C777" s="192"/>
      <c r="D777" s="159"/>
      <c r="E777" s="159"/>
      <c r="F777" s="193"/>
      <c r="G777" s="182"/>
      <c r="H777" s="182"/>
      <c r="M777" s="155"/>
      <c r="N777" s="159"/>
      <c r="O777" s="159"/>
      <c r="P777" s="159"/>
      <c r="Q777" s="159"/>
      <c r="R777" s="160"/>
      <c r="S777" s="160"/>
    </row>
    <row r="778">
      <c r="A778" s="155"/>
      <c r="B778" s="155"/>
      <c r="C778" s="192"/>
      <c r="D778" s="159"/>
      <c r="E778" s="159"/>
      <c r="F778" s="193"/>
      <c r="G778" s="182"/>
      <c r="H778" s="182"/>
      <c r="M778" s="155"/>
      <c r="N778" s="159"/>
      <c r="O778" s="159"/>
      <c r="P778" s="159"/>
      <c r="Q778" s="159"/>
      <c r="R778" s="160"/>
      <c r="S778" s="160"/>
    </row>
    <row r="779">
      <c r="A779" s="155"/>
      <c r="B779" s="155"/>
      <c r="C779" s="192"/>
      <c r="D779" s="159"/>
      <c r="E779" s="159"/>
      <c r="F779" s="193"/>
      <c r="G779" s="182"/>
      <c r="H779" s="182"/>
      <c r="M779" s="155"/>
      <c r="N779" s="159"/>
      <c r="O779" s="159"/>
      <c r="P779" s="159"/>
      <c r="Q779" s="159"/>
      <c r="R779" s="160"/>
      <c r="S779" s="160"/>
    </row>
    <row r="780">
      <c r="A780" s="155"/>
      <c r="B780" s="155"/>
      <c r="C780" s="192"/>
      <c r="D780" s="159"/>
      <c r="E780" s="159"/>
      <c r="F780" s="193"/>
      <c r="G780" s="182"/>
      <c r="H780" s="182"/>
      <c r="M780" s="155"/>
      <c r="N780" s="159"/>
      <c r="O780" s="159"/>
      <c r="P780" s="159"/>
      <c r="Q780" s="159"/>
      <c r="R780" s="160"/>
      <c r="S780" s="160"/>
    </row>
    <row r="781">
      <c r="A781" s="155"/>
      <c r="B781" s="155"/>
      <c r="C781" s="192"/>
      <c r="D781" s="159"/>
      <c r="E781" s="159"/>
      <c r="F781" s="193"/>
      <c r="G781" s="182"/>
      <c r="H781" s="182"/>
      <c r="M781" s="155"/>
      <c r="N781" s="159"/>
      <c r="O781" s="159"/>
      <c r="P781" s="159"/>
      <c r="Q781" s="159"/>
      <c r="R781" s="160"/>
      <c r="S781" s="160"/>
    </row>
    <row r="782">
      <c r="A782" s="155"/>
      <c r="B782" s="155"/>
      <c r="C782" s="192"/>
      <c r="D782" s="159"/>
      <c r="E782" s="159"/>
      <c r="F782" s="193"/>
      <c r="G782" s="182"/>
      <c r="H782" s="182"/>
      <c r="M782" s="155"/>
      <c r="N782" s="159"/>
      <c r="O782" s="159"/>
      <c r="P782" s="159"/>
      <c r="Q782" s="159"/>
      <c r="R782" s="160"/>
      <c r="S782" s="160"/>
    </row>
    <row r="783">
      <c r="A783" s="155"/>
      <c r="B783" s="155"/>
      <c r="C783" s="192"/>
      <c r="D783" s="159"/>
      <c r="E783" s="159"/>
      <c r="F783" s="193"/>
      <c r="G783" s="182"/>
      <c r="H783" s="182"/>
      <c r="M783" s="155"/>
      <c r="N783" s="159"/>
      <c r="O783" s="159"/>
      <c r="P783" s="159"/>
      <c r="Q783" s="159"/>
      <c r="R783" s="160"/>
      <c r="S783" s="160"/>
    </row>
    <row r="784">
      <c r="A784" s="155"/>
      <c r="B784" s="155"/>
      <c r="C784" s="192"/>
      <c r="D784" s="159"/>
      <c r="E784" s="159"/>
      <c r="F784" s="193"/>
      <c r="G784" s="182"/>
      <c r="H784" s="182"/>
      <c r="M784" s="155"/>
      <c r="N784" s="159"/>
      <c r="O784" s="159"/>
      <c r="P784" s="159"/>
      <c r="Q784" s="159"/>
      <c r="R784" s="160"/>
      <c r="S784" s="160"/>
    </row>
    <row r="785">
      <c r="A785" s="155"/>
      <c r="B785" s="155"/>
      <c r="C785" s="192"/>
      <c r="D785" s="159"/>
      <c r="E785" s="159"/>
      <c r="F785" s="193"/>
      <c r="G785" s="182"/>
      <c r="H785" s="182"/>
      <c r="M785" s="155"/>
      <c r="N785" s="159"/>
      <c r="O785" s="159"/>
      <c r="P785" s="159"/>
      <c r="Q785" s="159"/>
      <c r="R785" s="160"/>
      <c r="S785" s="160"/>
    </row>
    <row r="786">
      <c r="A786" s="155"/>
      <c r="B786" s="155"/>
      <c r="C786" s="192"/>
      <c r="D786" s="159"/>
      <c r="E786" s="159"/>
      <c r="F786" s="193"/>
      <c r="G786" s="182"/>
      <c r="H786" s="182"/>
      <c r="M786" s="155"/>
      <c r="N786" s="159"/>
      <c r="O786" s="159"/>
      <c r="P786" s="159"/>
      <c r="Q786" s="159"/>
      <c r="R786" s="160"/>
      <c r="S786" s="160"/>
    </row>
    <row r="787">
      <c r="A787" s="155"/>
      <c r="B787" s="155"/>
      <c r="C787" s="192"/>
      <c r="D787" s="159"/>
      <c r="E787" s="159"/>
      <c r="F787" s="193"/>
      <c r="G787" s="182"/>
      <c r="H787" s="182"/>
      <c r="M787" s="155"/>
      <c r="N787" s="159"/>
      <c r="O787" s="159"/>
      <c r="P787" s="159"/>
      <c r="Q787" s="159"/>
      <c r="R787" s="160"/>
      <c r="S787" s="160"/>
    </row>
    <row r="788">
      <c r="A788" s="155"/>
      <c r="B788" s="155"/>
      <c r="C788" s="192"/>
      <c r="D788" s="159"/>
      <c r="E788" s="159"/>
      <c r="F788" s="193"/>
      <c r="G788" s="182"/>
      <c r="H788" s="182"/>
      <c r="M788" s="155"/>
      <c r="N788" s="159"/>
      <c r="O788" s="159"/>
      <c r="P788" s="159"/>
      <c r="Q788" s="159"/>
      <c r="R788" s="160"/>
      <c r="S788" s="160"/>
    </row>
    <row r="789">
      <c r="A789" s="155"/>
      <c r="B789" s="155"/>
      <c r="C789" s="192"/>
      <c r="D789" s="159"/>
      <c r="E789" s="159"/>
      <c r="F789" s="193"/>
      <c r="G789" s="182"/>
      <c r="H789" s="182"/>
      <c r="M789" s="155"/>
      <c r="N789" s="159"/>
      <c r="O789" s="159"/>
      <c r="P789" s="159"/>
      <c r="Q789" s="159"/>
      <c r="R789" s="160"/>
      <c r="S789" s="160"/>
    </row>
    <row r="790">
      <c r="A790" s="155"/>
      <c r="B790" s="155"/>
      <c r="C790" s="192"/>
      <c r="D790" s="159"/>
      <c r="E790" s="159"/>
      <c r="F790" s="193"/>
      <c r="G790" s="182"/>
      <c r="H790" s="182"/>
      <c r="M790" s="155"/>
      <c r="N790" s="159"/>
      <c r="O790" s="159"/>
      <c r="P790" s="159"/>
      <c r="Q790" s="159"/>
      <c r="R790" s="160"/>
      <c r="S790" s="160"/>
    </row>
    <row r="791">
      <c r="A791" s="155"/>
      <c r="B791" s="155"/>
      <c r="C791" s="192"/>
      <c r="D791" s="159"/>
      <c r="E791" s="159"/>
      <c r="F791" s="193"/>
      <c r="G791" s="182"/>
      <c r="H791" s="182"/>
      <c r="M791" s="155"/>
      <c r="N791" s="159"/>
      <c r="O791" s="159"/>
      <c r="P791" s="159"/>
      <c r="Q791" s="159"/>
      <c r="R791" s="160"/>
      <c r="S791" s="160"/>
    </row>
    <row r="792">
      <c r="A792" s="155"/>
      <c r="B792" s="155"/>
      <c r="C792" s="192"/>
      <c r="D792" s="159"/>
      <c r="E792" s="159"/>
      <c r="F792" s="193"/>
      <c r="G792" s="182"/>
      <c r="H792" s="182"/>
      <c r="M792" s="155"/>
      <c r="N792" s="159"/>
      <c r="O792" s="159"/>
      <c r="P792" s="159"/>
      <c r="Q792" s="159"/>
      <c r="R792" s="160"/>
      <c r="S792" s="160"/>
    </row>
    <row r="793">
      <c r="A793" s="155"/>
      <c r="B793" s="155"/>
      <c r="C793" s="192"/>
      <c r="D793" s="159"/>
      <c r="E793" s="159"/>
      <c r="F793" s="193"/>
      <c r="G793" s="182"/>
      <c r="H793" s="182"/>
      <c r="M793" s="155"/>
      <c r="N793" s="159"/>
      <c r="O793" s="159"/>
      <c r="P793" s="159"/>
      <c r="Q793" s="159"/>
      <c r="R793" s="160"/>
      <c r="S793" s="160"/>
    </row>
    <row r="794">
      <c r="A794" s="155"/>
      <c r="B794" s="155"/>
      <c r="C794" s="192"/>
      <c r="D794" s="159"/>
      <c r="E794" s="159"/>
      <c r="F794" s="193"/>
      <c r="G794" s="182"/>
      <c r="H794" s="182"/>
      <c r="M794" s="155"/>
      <c r="N794" s="159"/>
      <c r="O794" s="159"/>
      <c r="P794" s="159"/>
      <c r="Q794" s="159"/>
      <c r="R794" s="160"/>
      <c r="S794" s="160"/>
    </row>
    <row r="795">
      <c r="A795" s="155"/>
      <c r="B795" s="155"/>
      <c r="C795" s="192"/>
      <c r="D795" s="159"/>
      <c r="E795" s="159"/>
      <c r="F795" s="193"/>
      <c r="G795" s="182"/>
      <c r="H795" s="182"/>
      <c r="M795" s="155"/>
      <c r="N795" s="159"/>
      <c r="O795" s="159"/>
      <c r="P795" s="159"/>
      <c r="Q795" s="159"/>
      <c r="R795" s="160"/>
      <c r="S795" s="160"/>
    </row>
    <row r="796">
      <c r="A796" s="155"/>
      <c r="B796" s="155"/>
      <c r="C796" s="192"/>
      <c r="D796" s="159"/>
      <c r="E796" s="159"/>
      <c r="F796" s="193"/>
      <c r="G796" s="182"/>
      <c r="H796" s="182"/>
      <c r="M796" s="155"/>
      <c r="N796" s="159"/>
      <c r="O796" s="159"/>
      <c r="P796" s="159"/>
      <c r="Q796" s="159"/>
      <c r="R796" s="160"/>
      <c r="S796" s="160"/>
    </row>
    <row r="797">
      <c r="A797" s="155"/>
      <c r="B797" s="155"/>
      <c r="C797" s="192"/>
      <c r="D797" s="159"/>
      <c r="E797" s="159"/>
      <c r="F797" s="193"/>
      <c r="G797" s="182"/>
      <c r="H797" s="182"/>
      <c r="M797" s="155"/>
      <c r="N797" s="159"/>
      <c r="O797" s="159"/>
      <c r="P797" s="159"/>
      <c r="Q797" s="159"/>
      <c r="R797" s="160"/>
      <c r="S797" s="160"/>
    </row>
    <row r="798">
      <c r="A798" s="155"/>
      <c r="B798" s="155"/>
      <c r="C798" s="192"/>
      <c r="D798" s="159"/>
      <c r="E798" s="159"/>
      <c r="F798" s="193"/>
      <c r="G798" s="182"/>
      <c r="H798" s="182"/>
      <c r="M798" s="155"/>
      <c r="N798" s="159"/>
      <c r="O798" s="159"/>
      <c r="P798" s="159"/>
      <c r="Q798" s="159"/>
      <c r="R798" s="160"/>
      <c r="S798" s="160"/>
    </row>
    <row r="799">
      <c r="A799" s="155"/>
      <c r="B799" s="155"/>
      <c r="C799" s="192"/>
      <c r="D799" s="159"/>
      <c r="E799" s="159"/>
      <c r="F799" s="193"/>
      <c r="G799" s="182"/>
      <c r="H799" s="182"/>
      <c r="M799" s="155"/>
      <c r="N799" s="159"/>
      <c r="O799" s="159"/>
      <c r="P799" s="159"/>
      <c r="Q799" s="159"/>
      <c r="R799" s="160"/>
      <c r="S799" s="160"/>
    </row>
    <row r="800">
      <c r="A800" s="155"/>
      <c r="B800" s="155"/>
      <c r="C800" s="192"/>
      <c r="D800" s="159"/>
      <c r="E800" s="159"/>
      <c r="F800" s="193"/>
      <c r="G800" s="182"/>
      <c r="H800" s="182"/>
      <c r="M800" s="155"/>
      <c r="N800" s="159"/>
      <c r="O800" s="159"/>
      <c r="P800" s="159"/>
      <c r="Q800" s="159"/>
      <c r="R800" s="160"/>
      <c r="S800" s="160"/>
    </row>
    <row r="801">
      <c r="A801" s="155"/>
      <c r="B801" s="155"/>
      <c r="C801" s="192"/>
      <c r="D801" s="159"/>
      <c r="E801" s="159"/>
      <c r="F801" s="193"/>
      <c r="G801" s="182"/>
      <c r="H801" s="182"/>
      <c r="M801" s="155"/>
      <c r="N801" s="159"/>
      <c r="O801" s="159"/>
      <c r="P801" s="159"/>
      <c r="Q801" s="159"/>
      <c r="R801" s="160"/>
      <c r="S801" s="160"/>
    </row>
    <row r="802">
      <c r="A802" s="155"/>
      <c r="B802" s="155"/>
      <c r="C802" s="192"/>
      <c r="D802" s="159"/>
      <c r="E802" s="159"/>
      <c r="F802" s="193"/>
      <c r="G802" s="182"/>
      <c r="H802" s="182"/>
      <c r="M802" s="155"/>
      <c r="N802" s="159"/>
      <c r="O802" s="159"/>
      <c r="P802" s="159"/>
      <c r="Q802" s="159"/>
      <c r="R802" s="160"/>
      <c r="S802" s="160"/>
    </row>
    <row r="803">
      <c r="A803" s="155"/>
      <c r="B803" s="155"/>
      <c r="C803" s="192"/>
      <c r="D803" s="159"/>
      <c r="E803" s="159"/>
      <c r="F803" s="193"/>
      <c r="G803" s="182"/>
      <c r="H803" s="182"/>
      <c r="M803" s="155"/>
      <c r="N803" s="159"/>
      <c r="O803" s="159"/>
      <c r="P803" s="159"/>
      <c r="Q803" s="159"/>
      <c r="R803" s="160"/>
      <c r="S803" s="160"/>
    </row>
    <row r="804">
      <c r="A804" s="155"/>
      <c r="B804" s="155"/>
      <c r="C804" s="192"/>
      <c r="D804" s="159"/>
      <c r="E804" s="159"/>
      <c r="F804" s="193"/>
      <c r="G804" s="182"/>
      <c r="H804" s="182"/>
      <c r="M804" s="155"/>
      <c r="N804" s="159"/>
      <c r="O804" s="159"/>
      <c r="P804" s="159"/>
      <c r="Q804" s="159"/>
      <c r="R804" s="160"/>
      <c r="S804" s="160"/>
    </row>
    <row r="805">
      <c r="A805" s="155"/>
      <c r="B805" s="155"/>
      <c r="C805" s="192"/>
      <c r="D805" s="159"/>
      <c r="E805" s="159"/>
      <c r="F805" s="193"/>
      <c r="G805" s="182"/>
      <c r="H805" s="182"/>
      <c r="M805" s="155"/>
      <c r="N805" s="159"/>
      <c r="O805" s="159"/>
      <c r="P805" s="159"/>
      <c r="Q805" s="159"/>
      <c r="R805" s="160"/>
      <c r="S805" s="160"/>
    </row>
    <row r="806">
      <c r="A806" s="155"/>
      <c r="B806" s="155"/>
      <c r="C806" s="192"/>
      <c r="D806" s="159"/>
      <c r="E806" s="159"/>
      <c r="F806" s="193"/>
      <c r="G806" s="182"/>
      <c r="H806" s="182"/>
      <c r="M806" s="155"/>
      <c r="N806" s="159"/>
      <c r="O806" s="159"/>
      <c r="P806" s="159"/>
      <c r="Q806" s="159"/>
      <c r="R806" s="160"/>
      <c r="S806" s="160"/>
    </row>
    <row r="807">
      <c r="A807" s="155"/>
      <c r="B807" s="155"/>
      <c r="C807" s="192"/>
      <c r="D807" s="159"/>
      <c r="E807" s="159"/>
      <c r="F807" s="193"/>
      <c r="G807" s="182"/>
      <c r="H807" s="182"/>
      <c r="M807" s="155"/>
      <c r="N807" s="159"/>
      <c r="O807" s="159"/>
      <c r="P807" s="159"/>
      <c r="Q807" s="159"/>
      <c r="R807" s="160"/>
      <c r="S807" s="160"/>
    </row>
    <row r="808">
      <c r="A808" s="155"/>
      <c r="B808" s="155"/>
      <c r="C808" s="192"/>
      <c r="D808" s="159"/>
      <c r="E808" s="159"/>
      <c r="F808" s="193"/>
      <c r="G808" s="182"/>
      <c r="H808" s="182"/>
      <c r="M808" s="155"/>
      <c r="N808" s="159"/>
      <c r="O808" s="159"/>
      <c r="P808" s="159"/>
      <c r="Q808" s="159"/>
      <c r="R808" s="160"/>
      <c r="S808" s="160"/>
    </row>
    <row r="809">
      <c r="A809" s="155"/>
      <c r="B809" s="155"/>
      <c r="C809" s="192"/>
      <c r="D809" s="159"/>
      <c r="E809" s="159"/>
      <c r="F809" s="193"/>
      <c r="G809" s="182"/>
      <c r="H809" s="182"/>
      <c r="M809" s="155"/>
      <c r="N809" s="159"/>
      <c r="O809" s="159"/>
      <c r="P809" s="159"/>
      <c r="Q809" s="159"/>
      <c r="R809" s="160"/>
      <c r="S809" s="160"/>
    </row>
    <row r="810">
      <c r="A810" s="155"/>
      <c r="B810" s="155"/>
      <c r="C810" s="192"/>
      <c r="D810" s="159"/>
      <c r="E810" s="159"/>
      <c r="F810" s="193"/>
      <c r="G810" s="182"/>
      <c r="H810" s="182"/>
      <c r="M810" s="155"/>
      <c r="N810" s="159"/>
      <c r="O810" s="159"/>
      <c r="P810" s="159"/>
      <c r="Q810" s="159"/>
      <c r="R810" s="160"/>
      <c r="S810" s="160"/>
    </row>
    <row r="811">
      <c r="A811" s="155"/>
      <c r="B811" s="155"/>
      <c r="C811" s="192"/>
      <c r="D811" s="159"/>
      <c r="E811" s="159"/>
      <c r="F811" s="193"/>
      <c r="G811" s="182"/>
      <c r="H811" s="182"/>
      <c r="M811" s="155"/>
      <c r="N811" s="159"/>
      <c r="O811" s="159"/>
      <c r="P811" s="159"/>
      <c r="Q811" s="159"/>
      <c r="R811" s="160"/>
      <c r="S811" s="160"/>
    </row>
    <row r="812">
      <c r="A812" s="155"/>
      <c r="B812" s="155"/>
      <c r="C812" s="192"/>
      <c r="D812" s="159"/>
      <c r="E812" s="159"/>
      <c r="F812" s="193"/>
      <c r="G812" s="182"/>
      <c r="H812" s="182"/>
      <c r="M812" s="155"/>
      <c r="N812" s="159"/>
      <c r="O812" s="159"/>
      <c r="P812" s="159"/>
      <c r="Q812" s="159"/>
      <c r="R812" s="160"/>
      <c r="S812" s="160"/>
    </row>
    <row r="813">
      <c r="A813" s="155"/>
      <c r="B813" s="155"/>
      <c r="C813" s="192"/>
      <c r="D813" s="159"/>
      <c r="E813" s="159"/>
      <c r="F813" s="193"/>
      <c r="G813" s="182"/>
      <c r="H813" s="182"/>
      <c r="M813" s="155"/>
      <c r="N813" s="159"/>
      <c r="O813" s="159"/>
      <c r="P813" s="159"/>
      <c r="Q813" s="159"/>
      <c r="R813" s="160"/>
      <c r="S813" s="160"/>
    </row>
    <row r="814">
      <c r="A814" s="155"/>
      <c r="B814" s="155"/>
      <c r="C814" s="192"/>
      <c r="D814" s="159"/>
      <c r="E814" s="159"/>
      <c r="F814" s="193"/>
      <c r="G814" s="182"/>
      <c r="H814" s="182"/>
      <c r="M814" s="155"/>
      <c r="N814" s="159"/>
      <c r="O814" s="159"/>
      <c r="P814" s="159"/>
      <c r="Q814" s="159"/>
      <c r="R814" s="160"/>
      <c r="S814" s="160"/>
    </row>
    <row r="815">
      <c r="A815" s="155"/>
      <c r="B815" s="155"/>
      <c r="C815" s="192"/>
      <c r="D815" s="159"/>
      <c r="E815" s="159"/>
      <c r="F815" s="193"/>
      <c r="G815" s="182"/>
      <c r="H815" s="182"/>
      <c r="M815" s="155"/>
      <c r="N815" s="159"/>
      <c r="O815" s="159"/>
      <c r="P815" s="159"/>
      <c r="Q815" s="159"/>
      <c r="R815" s="160"/>
      <c r="S815" s="160"/>
    </row>
    <row r="816">
      <c r="A816" s="155"/>
      <c r="B816" s="155"/>
      <c r="C816" s="192"/>
      <c r="D816" s="159"/>
      <c r="E816" s="159"/>
      <c r="F816" s="193"/>
      <c r="G816" s="182"/>
      <c r="H816" s="182"/>
      <c r="M816" s="155"/>
      <c r="N816" s="159"/>
      <c r="O816" s="159"/>
      <c r="P816" s="159"/>
      <c r="Q816" s="159"/>
      <c r="R816" s="160"/>
      <c r="S816" s="160"/>
    </row>
    <row r="817">
      <c r="A817" s="155"/>
      <c r="B817" s="155"/>
      <c r="C817" s="192"/>
      <c r="D817" s="159"/>
      <c r="E817" s="159"/>
      <c r="F817" s="193"/>
      <c r="G817" s="182"/>
      <c r="H817" s="182"/>
      <c r="M817" s="155"/>
      <c r="N817" s="159"/>
      <c r="O817" s="159"/>
      <c r="P817" s="159"/>
      <c r="Q817" s="159"/>
      <c r="R817" s="160"/>
      <c r="S817" s="160"/>
    </row>
    <row r="818">
      <c r="A818" s="155"/>
      <c r="B818" s="155"/>
      <c r="C818" s="192"/>
      <c r="D818" s="159"/>
      <c r="E818" s="159"/>
      <c r="F818" s="193"/>
      <c r="G818" s="182"/>
      <c r="H818" s="182"/>
      <c r="M818" s="155"/>
      <c r="N818" s="159"/>
      <c r="O818" s="159"/>
      <c r="P818" s="159"/>
      <c r="Q818" s="159"/>
      <c r="R818" s="160"/>
      <c r="S818" s="160"/>
    </row>
    <row r="819">
      <c r="A819" s="155"/>
      <c r="B819" s="155"/>
      <c r="C819" s="192"/>
      <c r="D819" s="159"/>
      <c r="E819" s="159"/>
      <c r="F819" s="193"/>
      <c r="G819" s="182"/>
      <c r="H819" s="182"/>
      <c r="M819" s="155"/>
      <c r="N819" s="159"/>
      <c r="O819" s="159"/>
      <c r="P819" s="159"/>
      <c r="Q819" s="159"/>
      <c r="R819" s="160"/>
      <c r="S819" s="160"/>
    </row>
    <row r="820">
      <c r="A820" s="155"/>
      <c r="B820" s="155"/>
      <c r="C820" s="192"/>
      <c r="D820" s="159"/>
      <c r="E820" s="159"/>
      <c r="F820" s="193"/>
      <c r="G820" s="182"/>
      <c r="H820" s="182"/>
      <c r="M820" s="155"/>
      <c r="N820" s="159"/>
      <c r="O820" s="159"/>
      <c r="P820" s="159"/>
      <c r="Q820" s="159"/>
      <c r="R820" s="160"/>
      <c r="S820" s="160"/>
    </row>
    <row r="821">
      <c r="A821" s="155"/>
      <c r="B821" s="155"/>
      <c r="C821" s="192"/>
      <c r="D821" s="159"/>
      <c r="E821" s="159"/>
      <c r="F821" s="193"/>
      <c r="G821" s="182"/>
      <c r="H821" s="182"/>
      <c r="M821" s="155"/>
      <c r="N821" s="159"/>
      <c r="O821" s="159"/>
      <c r="P821" s="159"/>
      <c r="Q821" s="159"/>
      <c r="R821" s="160"/>
      <c r="S821" s="160"/>
    </row>
    <row r="822">
      <c r="A822" s="155"/>
      <c r="B822" s="155"/>
      <c r="C822" s="192"/>
      <c r="D822" s="159"/>
      <c r="E822" s="159"/>
      <c r="F822" s="193"/>
      <c r="G822" s="182"/>
      <c r="H822" s="182"/>
      <c r="M822" s="155"/>
      <c r="N822" s="159"/>
      <c r="O822" s="159"/>
      <c r="P822" s="159"/>
      <c r="Q822" s="159"/>
      <c r="R822" s="160"/>
      <c r="S822" s="160"/>
    </row>
    <row r="823">
      <c r="A823" s="155"/>
      <c r="B823" s="155"/>
      <c r="C823" s="192"/>
      <c r="D823" s="159"/>
      <c r="E823" s="159"/>
      <c r="F823" s="193"/>
      <c r="G823" s="182"/>
      <c r="H823" s="182"/>
      <c r="M823" s="155"/>
      <c r="N823" s="159"/>
      <c r="O823" s="159"/>
      <c r="P823" s="159"/>
      <c r="Q823" s="159"/>
      <c r="R823" s="160"/>
      <c r="S823" s="160"/>
    </row>
    <row r="824">
      <c r="A824" s="155"/>
      <c r="B824" s="155"/>
      <c r="C824" s="192"/>
      <c r="D824" s="159"/>
      <c r="E824" s="159"/>
      <c r="F824" s="193"/>
      <c r="G824" s="182"/>
      <c r="H824" s="182"/>
      <c r="M824" s="155"/>
      <c r="N824" s="159"/>
      <c r="O824" s="159"/>
      <c r="P824" s="159"/>
      <c r="Q824" s="159"/>
      <c r="R824" s="160"/>
      <c r="S824" s="160"/>
    </row>
    <row r="825">
      <c r="A825" s="155"/>
      <c r="B825" s="155"/>
      <c r="C825" s="192"/>
      <c r="D825" s="159"/>
      <c r="E825" s="159"/>
      <c r="F825" s="193"/>
      <c r="G825" s="182"/>
      <c r="H825" s="182"/>
      <c r="M825" s="155"/>
      <c r="N825" s="159"/>
      <c r="O825" s="159"/>
      <c r="P825" s="159"/>
      <c r="Q825" s="159"/>
      <c r="R825" s="160"/>
      <c r="S825" s="160"/>
    </row>
    <row r="826">
      <c r="A826" s="155"/>
      <c r="B826" s="155"/>
      <c r="C826" s="192"/>
      <c r="D826" s="159"/>
      <c r="E826" s="159"/>
      <c r="F826" s="193"/>
      <c r="G826" s="182"/>
      <c r="H826" s="182"/>
      <c r="M826" s="155"/>
      <c r="N826" s="159"/>
      <c r="O826" s="159"/>
      <c r="P826" s="159"/>
      <c r="Q826" s="159"/>
      <c r="R826" s="160"/>
      <c r="S826" s="160"/>
    </row>
    <row r="827">
      <c r="A827" s="155"/>
      <c r="B827" s="155"/>
      <c r="C827" s="192"/>
      <c r="D827" s="159"/>
      <c r="E827" s="159"/>
      <c r="F827" s="193"/>
      <c r="G827" s="182"/>
      <c r="H827" s="182"/>
      <c r="M827" s="155"/>
      <c r="N827" s="159"/>
      <c r="O827" s="159"/>
      <c r="P827" s="159"/>
      <c r="Q827" s="159"/>
      <c r="R827" s="160"/>
      <c r="S827" s="160"/>
    </row>
    <row r="828">
      <c r="A828" s="155"/>
      <c r="B828" s="155"/>
      <c r="C828" s="192"/>
      <c r="D828" s="159"/>
      <c r="E828" s="159"/>
      <c r="F828" s="193"/>
      <c r="G828" s="182"/>
      <c r="H828" s="182"/>
      <c r="M828" s="155"/>
      <c r="N828" s="159"/>
      <c r="O828" s="159"/>
      <c r="P828" s="159"/>
      <c r="Q828" s="159"/>
      <c r="R828" s="160"/>
      <c r="S828" s="160"/>
    </row>
    <row r="829">
      <c r="A829" s="155"/>
      <c r="B829" s="155"/>
      <c r="C829" s="192"/>
      <c r="D829" s="159"/>
      <c r="E829" s="159"/>
      <c r="F829" s="193"/>
      <c r="G829" s="182"/>
      <c r="H829" s="182"/>
      <c r="M829" s="155"/>
      <c r="N829" s="159"/>
      <c r="O829" s="159"/>
      <c r="P829" s="159"/>
      <c r="Q829" s="159"/>
      <c r="R829" s="160"/>
      <c r="S829" s="160"/>
    </row>
    <row r="830">
      <c r="A830" s="155"/>
      <c r="B830" s="155"/>
      <c r="C830" s="192"/>
      <c r="D830" s="159"/>
      <c r="E830" s="159"/>
      <c r="F830" s="193"/>
      <c r="G830" s="182"/>
      <c r="H830" s="182"/>
      <c r="M830" s="155"/>
      <c r="N830" s="159"/>
      <c r="O830" s="159"/>
      <c r="P830" s="159"/>
      <c r="Q830" s="159"/>
      <c r="R830" s="160"/>
      <c r="S830" s="160"/>
    </row>
    <row r="831">
      <c r="A831" s="155"/>
      <c r="B831" s="155"/>
      <c r="C831" s="192"/>
      <c r="D831" s="159"/>
      <c r="E831" s="159"/>
      <c r="F831" s="193"/>
      <c r="G831" s="182"/>
      <c r="H831" s="182"/>
      <c r="M831" s="155"/>
      <c r="N831" s="159"/>
      <c r="O831" s="159"/>
      <c r="P831" s="159"/>
      <c r="Q831" s="159"/>
      <c r="R831" s="160"/>
      <c r="S831" s="160"/>
    </row>
    <row r="832">
      <c r="A832" s="155"/>
      <c r="B832" s="155"/>
      <c r="C832" s="192"/>
      <c r="D832" s="159"/>
      <c r="E832" s="159"/>
      <c r="F832" s="193"/>
      <c r="G832" s="182"/>
      <c r="H832" s="182"/>
      <c r="M832" s="155"/>
      <c r="N832" s="159"/>
      <c r="O832" s="159"/>
      <c r="P832" s="159"/>
      <c r="Q832" s="159"/>
      <c r="R832" s="160"/>
      <c r="S832" s="160"/>
    </row>
    <row r="833">
      <c r="A833" s="155"/>
      <c r="B833" s="155"/>
      <c r="C833" s="192"/>
      <c r="D833" s="159"/>
      <c r="E833" s="159"/>
      <c r="F833" s="193"/>
      <c r="G833" s="182"/>
      <c r="H833" s="182"/>
      <c r="M833" s="155"/>
      <c r="N833" s="159"/>
      <c r="O833" s="159"/>
      <c r="P833" s="159"/>
      <c r="Q833" s="159"/>
      <c r="R833" s="160"/>
      <c r="S833" s="160"/>
    </row>
    <row r="834">
      <c r="A834" s="155"/>
      <c r="B834" s="155"/>
      <c r="C834" s="192"/>
      <c r="D834" s="159"/>
      <c r="E834" s="159"/>
      <c r="F834" s="193"/>
      <c r="G834" s="182"/>
      <c r="H834" s="182"/>
      <c r="M834" s="155"/>
      <c r="N834" s="159"/>
      <c r="O834" s="159"/>
      <c r="P834" s="159"/>
      <c r="Q834" s="159"/>
      <c r="R834" s="160"/>
      <c r="S834" s="160"/>
    </row>
    <row r="835">
      <c r="A835" s="155"/>
      <c r="B835" s="155"/>
      <c r="C835" s="192"/>
      <c r="D835" s="159"/>
      <c r="E835" s="159"/>
      <c r="F835" s="193"/>
      <c r="G835" s="182"/>
      <c r="H835" s="182"/>
      <c r="M835" s="155"/>
      <c r="N835" s="159"/>
      <c r="O835" s="159"/>
      <c r="P835" s="159"/>
      <c r="Q835" s="159"/>
      <c r="R835" s="160"/>
      <c r="S835" s="160"/>
    </row>
    <row r="836">
      <c r="A836" s="155"/>
      <c r="B836" s="155"/>
      <c r="C836" s="192"/>
      <c r="D836" s="159"/>
      <c r="E836" s="159"/>
      <c r="F836" s="193"/>
      <c r="G836" s="182"/>
      <c r="H836" s="182"/>
      <c r="M836" s="155"/>
      <c r="N836" s="159"/>
      <c r="O836" s="159"/>
      <c r="P836" s="159"/>
      <c r="Q836" s="159"/>
      <c r="R836" s="160"/>
      <c r="S836" s="160"/>
    </row>
    <row r="837">
      <c r="A837" s="155"/>
      <c r="B837" s="155"/>
      <c r="C837" s="192"/>
      <c r="D837" s="159"/>
      <c r="E837" s="159"/>
      <c r="F837" s="193"/>
      <c r="G837" s="182"/>
      <c r="H837" s="182"/>
      <c r="M837" s="155"/>
      <c r="N837" s="159"/>
      <c r="O837" s="159"/>
      <c r="P837" s="159"/>
      <c r="Q837" s="159"/>
      <c r="R837" s="160"/>
      <c r="S837" s="160"/>
    </row>
    <row r="838">
      <c r="A838" s="155"/>
      <c r="B838" s="155"/>
      <c r="C838" s="192"/>
      <c r="D838" s="159"/>
      <c r="E838" s="159"/>
      <c r="F838" s="193"/>
      <c r="G838" s="182"/>
      <c r="H838" s="182"/>
      <c r="M838" s="155"/>
      <c r="N838" s="159"/>
      <c r="O838" s="159"/>
      <c r="P838" s="159"/>
      <c r="Q838" s="159"/>
      <c r="R838" s="160"/>
      <c r="S838" s="160"/>
    </row>
    <row r="839">
      <c r="A839" s="155"/>
      <c r="B839" s="155"/>
      <c r="C839" s="192"/>
      <c r="D839" s="159"/>
      <c r="E839" s="159"/>
      <c r="F839" s="193"/>
      <c r="G839" s="182"/>
      <c r="H839" s="182"/>
      <c r="M839" s="155"/>
      <c r="N839" s="159"/>
      <c r="O839" s="159"/>
      <c r="P839" s="159"/>
      <c r="Q839" s="159"/>
      <c r="R839" s="160"/>
      <c r="S839" s="160"/>
    </row>
    <row r="840">
      <c r="A840" s="155"/>
      <c r="B840" s="155"/>
      <c r="C840" s="192"/>
      <c r="D840" s="159"/>
      <c r="E840" s="159"/>
      <c r="F840" s="193"/>
      <c r="G840" s="182"/>
      <c r="H840" s="182"/>
      <c r="M840" s="155"/>
      <c r="N840" s="159"/>
      <c r="O840" s="159"/>
      <c r="P840" s="159"/>
      <c r="Q840" s="159"/>
      <c r="R840" s="160"/>
      <c r="S840" s="160"/>
    </row>
    <row r="841">
      <c r="A841" s="155"/>
      <c r="B841" s="155"/>
      <c r="C841" s="192"/>
      <c r="D841" s="159"/>
      <c r="E841" s="159"/>
      <c r="F841" s="193"/>
      <c r="G841" s="182"/>
      <c r="H841" s="182"/>
      <c r="M841" s="155"/>
      <c r="N841" s="159"/>
      <c r="O841" s="159"/>
      <c r="P841" s="159"/>
      <c r="Q841" s="159"/>
      <c r="R841" s="160"/>
      <c r="S841" s="160"/>
    </row>
    <row r="842">
      <c r="A842" s="155"/>
      <c r="B842" s="155"/>
      <c r="C842" s="192"/>
      <c r="D842" s="159"/>
      <c r="E842" s="159"/>
      <c r="F842" s="193"/>
      <c r="G842" s="182"/>
      <c r="H842" s="182"/>
      <c r="M842" s="155"/>
      <c r="N842" s="159"/>
      <c r="O842" s="159"/>
      <c r="P842" s="159"/>
      <c r="Q842" s="159"/>
      <c r="R842" s="160"/>
      <c r="S842" s="160"/>
    </row>
    <row r="843">
      <c r="A843" s="155"/>
      <c r="B843" s="155"/>
      <c r="C843" s="192"/>
      <c r="D843" s="159"/>
      <c r="E843" s="159"/>
      <c r="F843" s="193"/>
      <c r="G843" s="182"/>
      <c r="H843" s="182"/>
      <c r="M843" s="155"/>
      <c r="N843" s="159"/>
      <c r="O843" s="159"/>
      <c r="P843" s="159"/>
      <c r="Q843" s="159"/>
      <c r="R843" s="160"/>
      <c r="S843" s="160"/>
    </row>
    <row r="844">
      <c r="A844" s="155"/>
      <c r="B844" s="155"/>
      <c r="C844" s="192"/>
      <c r="D844" s="159"/>
      <c r="E844" s="159"/>
      <c r="F844" s="193"/>
      <c r="G844" s="182"/>
      <c r="H844" s="182"/>
      <c r="M844" s="155"/>
      <c r="N844" s="159"/>
      <c r="O844" s="159"/>
      <c r="P844" s="159"/>
      <c r="Q844" s="159"/>
      <c r="R844" s="160"/>
      <c r="S844" s="160"/>
    </row>
    <row r="845">
      <c r="A845" s="155"/>
      <c r="B845" s="155"/>
      <c r="C845" s="192"/>
      <c r="D845" s="159"/>
      <c r="E845" s="159"/>
      <c r="F845" s="193"/>
      <c r="G845" s="182"/>
      <c r="H845" s="182"/>
      <c r="M845" s="155"/>
      <c r="N845" s="159"/>
      <c r="O845" s="159"/>
      <c r="P845" s="159"/>
      <c r="Q845" s="159"/>
      <c r="R845" s="160"/>
      <c r="S845" s="160"/>
    </row>
    <row r="846">
      <c r="A846" s="155"/>
      <c r="B846" s="155"/>
      <c r="C846" s="192"/>
      <c r="D846" s="159"/>
      <c r="E846" s="159"/>
      <c r="F846" s="193"/>
      <c r="G846" s="182"/>
      <c r="H846" s="182"/>
      <c r="M846" s="155"/>
      <c r="N846" s="159"/>
      <c r="O846" s="159"/>
      <c r="P846" s="159"/>
      <c r="Q846" s="159"/>
      <c r="R846" s="160"/>
      <c r="S846" s="160"/>
    </row>
    <row r="847">
      <c r="A847" s="155"/>
      <c r="B847" s="155"/>
      <c r="C847" s="192"/>
      <c r="D847" s="159"/>
      <c r="E847" s="159"/>
      <c r="F847" s="193"/>
      <c r="G847" s="182"/>
      <c r="H847" s="182"/>
      <c r="M847" s="155"/>
      <c r="N847" s="159"/>
      <c r="O847" s="159"/>
      <c r="P847" s="159"/>
      <c r="Q847" s="159"/>
      <c r="R847" s="160"/>
      <c r="S847" s="160"/>
    </row>
    <row r="848">
      <c r="A848" s="155"/>
      <c r="B848" s="155"/>
      <c r="C848" s="192"/>
      <c r="D848" s="159"/>
      <c r="E848" s="159"/>
      <c r="F848" s="193"/>
      <c r="G848" s="182"/>
      <c r="H848" s="182"/>
      <c r="M848" s="155"/>
      <c r="N848" s="159"/>
      <c r="O848" s="159"/>
      <c r="P848" s="159"/>
      <c r="Q848" s="159"/>
      <c r="R848" s="160"/>
      <c r="S848" s="160"/>
    </row>
    <row r="849">
      <c r="A849" s="155"/>
      <c r="B849" s="155"/>
      <c r="C849" s="192"/>
      <c r="D849" s="159"/>
      <c r="E849" s="159"/>
      <c r="F849" s="193"/>
      <c r="G849" s="182"/>
      <c r="H849" s="182"/>
      <c r="M849" s="155"/>
      <c r="N849" s="159"/>
      <c r="O849" s="159"/>
      <c r="P849" s="159"/>
      <c r="Q849" s="159"/>
      <c r="R849" s="160"/>
      <c r="S849" s="160"/>
    </row>
    <row r="850">
      <c r="A850" s="155"/>
      <c r="B850" s="155"/>
      <c r="C850" s="192"/>
      <c r="D850" s="159"/>
      <c r="E850" s="159"/>
      <c r="F850" s="193"/>
      <c r="G850" s="182"/>
      <c r="H850" s="182"/>
      <c r="M850" s="155"/>
      <c r="N850" s="159"/>
      <c r="O850" s="159"/>
      <c r="P850" s="159"/>
      <c r="Q850" s="159"/>
      <c r="R850" s="160"/>
      <c r="S850" s="160"/>
    </row>
    <row r="851">
      <c r="A851" s="155"/>
      <c r="B851" s="155"/>
      <c r="C851" s="192"/>
      <c r="D851" s="159"/>
      <c r="E851" s="159"/>
      <c r="F851" s="193"/>
      <c r="G851" s="182"/>
      <c r="H851" s="182"/>
      <c r="M851" s="155"/>
      <c r="N851" s="159"/>
      <c r="O851" s="159"/>
      <c r="P851" s="159"/>
      <c r="Q851" s="159"/>
      <c r="R851" s="160"/>
      <c r="S851" s="160"/>
    </row>
    <row r="852">
      <c r="A852" s="155"/>
      <c r="B852" s="155"/>
      <c r="C852" s="192"/>
      <c r="D852" s="159"/>
      <c r="E852" s="159"/>
      <c r="F852" s="193"/>
      <c r="G852" s="182"/>
      <c r="H852" s="182"/>
      <c r="M852" s="155"/>
      <c r="N852" s="159"/>
      <c r="O852" s="159"/>
      <c r="P852" s="159"/>
      <c r="Q852" s="159"/>
      <c r="R852" s="160"/>
      <c r="S852" s="160"/>
    </row>
    <row r="853">
      <c r="A853" s="155"/>
      <c r="B853" s="155"/>
      <c r="C853" s="192"/>
      <c r="D853" s="159"/>
      <c r="E853" s="159"/>
      <c r="F853" s="193"/>
      <c r="G853" s="182"/>
      <c r="H853" s="182"/>
      <c r="M853" s="155"/>
      <c r="N853" s="159"/>
      <c r="O853" s="159"/>
      <c r="P853" s="159"/>
      <c r="Q853" s="159"/>
      <c r="R853" s="160"/>
      <c r="S853" s="160"/>
    </row>
    <row r="854">
      <c r="A854" s="155"/>
      <c r="B854" s="155"/>
      <c r="C854" s="192"/>
      <c r="D854" s="159"/>
      <c r="E854" s="159"/>
      <c r="F854" s="193"/>
      <c r="G854" s="182"/>
      <c r="H854" s="182"/>
      <c r="M854" s="155"/>
      <c r="N854" s="159"/>
      <c r="O854" s="159"/>
      <c r="P854" s="159"/>
      <c r="Q854" s="159"/>
      <c r="R854" s="160"/>
      <c r="S854" s="160"/>
    </row>
    <row r="855">
      <c r="A855" s="155"/>
      <c r="B855" s="155"/>
      <c r="C855" s="192"/>
      <c r="D855" s="159"/>
      <c r="E855" s="159"/>
      <c r="F855" s="193"/>
      <c r="G855" s="182"/>
      <c r="H855" s="182"/>
      <c r="M855" s="155"/>
      <c r="N855" s="159"/>
      <c r="O855" s="159"/>
      <c r="P855" s="159"/>
      <c r="Q855" s="159"/>
      <c r="R855" s="160"/>
      <c r="S855" s="160"/>
    </row>
    <row r="856">
      <c r="A856" s="155"/>
      <c r="B856" s="155"/>
      <c r="C856" s="192"/>
      <c r="D856" s="159"/>
      <c r="E856" s="159"/>
      <c r="F856" s="193"/>
      <c r="G856" s="182"/>
      <c r="H856" s="182"/>
      <c r="M856" s="155"/>
      <c r="N856" s="159"/>
      <c r="O856" s="159"/>
      <c r="P856" s="159"/>
      <c r="Q856" s="159"/>
      <c r="R856" s="160"/>
      <c r="S856" s="160"/>
    </row>
    <row r="857">
      <c r="A857" s="155"/>
      <c r="B857" s="155"/>
      <c r="C857" s="192"/>
      <c r="D857" s="159"/>
      <c r="E857" s="159"/>
      <c r="F857" s="193"/>
      <c r="G857" s="182"/>
      <c r="H857" s="182"/>
      <c r="M857" s="155"/>
      <c r="N857" s="159"/>
      <c r="O857" s="159"/>
      <c r="P857" s="159"/>
      <c r="Q857" s="159"/>
      <c r="R857" s="160"/>
      <c r="S857" s="160"/>
    </row>
    <row r="858">
      <c r="A858" s="155"/>
      <c r="B858" s="155"/>
      <c r="C858" s="192"/>
      <c r="D858" s="159"/>
      <c r="E858" s="159"/>
      <c r="F858" s="193"/>
      <c r="G858" s="182"/>
      <c r="H858" s="182"/>
      <c r="M858" s="155"/>
      <c r="N858" s="159"/>
      <c r="O858" s="159"/>
      <c r="P858" s="159"/>
      <c r="Q858" s="159"/>
      <c r="R858" s="160"/>
      <c r="S858" s="160"/>
    </row>
    <row r="859">
      <c r="A859" s="155"/>
      <c r="B859" s="155"/>
      <c r="C859" s="192"/>
      <c r="D859" s="159"/>
      <c r="E859" s="159"/>
      <c r="F859" s="193"/>
      <c r="G859" s="182"/>
      <c r="H859" s="182"/>
      <c r="M859" s="155"/>
      <c r="N859" s="159"/>
      <c r="O859" s="159"/>
      <c r="P859" s="159"/>
      <c r="Q859" s="159"/>
      <c r="R859" s="160"/>
      <c r="S859" s="160"/>
    </row>
    <row r="860">
      <c r="A860" s="155"/>
      <c r="B860" s="155"/>
      <c r="C860" s="192"/>
      <c r="D860" s="159"/>
      <c r="E860" s="159"/>
      <c r="F860" s="193"/>
      <c r="G860" s="182"/>
      <c r="H860" s="182"/>
      <c r="M860" s="155"/>
      <c r="N860" s="159"/>
      <c r="O860" s="159"/>
      <c r="P860" s="159"/>
      <c r="Q860" s="159"/>
      <c r="R860" s="160"/>
      <c r="S860" s="160"/>
    </row>
    <row r="861">
      <c r="A861" s="155"/>
      <c r="B861" s="155"/>
      <c r="C861" s="192"/>
      <c r="D861" s="159"/>
      <c r="E861" s="159"/>
      <c r="F861" s="193"/>
      <c r="G861" s="182"/>
      <c r="H861" s="182"/>
      <c r="M861" s="155"/>
      <c r="N861" s="159"/>
      <c r="O861" s="159"/>
      <c r="P861" s="159"/>
      <c r="Q861" s="159"/>
      <c r="R861" s="160"/>
      <c r="S861" s="160"/>
    </row>
    <row r="862">
      <c r="A862" s="155"/>
      <c r="B862" s="155"/>
      <c r="C862" s="192"/>
      <c r="D862" s="159"/>
      <c r="E862" s="159"/>
      <c r="F862" s="193"/>
      <c r="G862" s="182"/>
      <c r="H862" s="182"/>
      <c r="M862" s="155"/>
      <c r="N862" s="159"/>
      <c r="O862" s="159"/>
      <c r="P862" s="159"/>
      <c r="Q862" s="159"/>
      <c r="R862" s="160"/>
      <c r="S862" s="160"/>
    </row>
    <row r="863">
      <c r="A863" s="155"/>
      <c r="B863" s="155"/>
      <c r="C863" s="192"/>
      <c r="D863" s="159"/>
      <c r="E863" s="159"/>
      <c r="F863" s="193"/>
      <c r="G863" s="182"/>
      <c r="H863" s="182"/>
      <c r="M863" s="155"/>
      <c r="N863" s="159"/>
      <c r="O863" s="159"/>
      <c r="P863" s="159"/>
      <c r="Q863" s="159"/>
      <c r="R863" s="160"/>
      <c r="S863" s="160"/>
    </row>
    <row r="864">
      <c r="A864" s="155"/>
      <c r="B864" s="155"/>
      <c r="C864" s="192"/>
      <c r="D864" s="159"/>
      <c r="E864" s="159"/>
      <c r="F864" s="193"/>
      <c r="G864" s="182"/>
      <c r="H864" s="182"/>
      <c r="M864" s="155"/>
      <c r="N864" s="159"/>
      <c r="O864" s="159"/>
      <c r="P864" s="159"/>
      <c r="Q864" s="159"/>
      <c r="R864" s="160"/>
      <c r="S864" s="160"/>
    </row>
    <row r="865">
      <c r="A865" s="155"/>
      <c r="B865" s="155"/>
      <c r="C865" s="192"/>
      <c r="D865" s="159"/>
      <c r="E865" s="159"/>
      <c r="F865" s="193"/>
      <c r="G865" s="182"/>
      <c r="H865" s="182"/>
      <c r="M865" s="155"/>
      <c r="N865" s="159"/>
      <c r="O865" s="159"/>
      <c r="P865" s="159"/>
      <c r="Q865" s="159"/>
      <c r="R865" s="160"/>
      <c r="S865" s="160"/>
    </row>
    <row r="866">
      <c r="A866" s="155"/>
      <c r="B866" s="155"/>
      <c r="C866" s="192"/>
      <c r="D866" s="159"/>
      <c r="E866" s="159"/>
      <c r="F866" s="193"/>
      <c r="G866" s="182"/>
      <c r="H866" s="182"/>
      <c r="M866" s="155"/>
      <c r="N866" s="159"/>
      <c r="O866" s="159"/>
      <c r="P866" s="159"/>
      <c r="Q866" s="159"/>
      <c r="R866" s="160"/>
      <c r="S866" s="160"/>
    </row>
    <row r="867">
      <c r="A867" s="155"/>
      <c r="B867" s="155"/>
      <c r="C867" s="192"/>
      <c r="D867" s="159"/>
      <c r="E867" s="159"/>
      <c r="F867" s="193"/>
      <c r="G867" s="182"/>
      <c r="H867" s="182"/>
      <c r="M867" s="155"/>
      <c r="N867" s="159"/>
      <c r="O867" s="159"/>
      <c r="P867" s="159"/>
      <c r="Q867" s="159"/>
      <c r="R867" s="160"/>
      <c r="S867" s="160"/>
    </row>
    <row r="868">
      <c r="A868" s="155"/>
      <c r="B868" s="155"/>
      <c r="C868" s="192"/>
      <c r="D868" s="159"/>
      <c r="E868" s="159"/>
      <c r="F868" s="193"/>
      <c r="G868" s="182"/>
      <c r="H868" s="182"/>
      <c r="M868" s="155"/>
      <c r="N868" s="159"/>
      <c r="O868" s="159"/>
      <c r="P868" s="159"/>
      <c r="Q868" s="159"/>
      <c r="R868" s="160"/>
      <c r="S868" s="160"/>
    </row>
    <row r="869">
      <c r="A869" s="155"/>
      <c r="B869" s="155"/>
      <c r="C869" s="192"/>
      <c r="D869" s="159"/>
      <c r="E869" s="159"/>
      <c r="F869" s="193"/>
      <c r="G869" s="182"/>
      <c r="H869" s="182"/>
      <c r="M869" s="155"/>
      <c r="N869" s="159"/>
      <c r="O869" s="159"/>
      <c r="P869" s="159"/>
      <c r="Q869" s="159"/>
      <c r="R869" s="160"/>
      <c r="S869" s="160"/>
    </row>
    <row r="870">
      <c r="A870" s="155"/>
      <c r="B870" s="155"/>
      <c r="C870" s="192"/>
      <c r="D870" s="159"/>
      <c r="E870" s="159"/>
      <c r="F870" s="193"/>
      <c r="G870" s="182"/>
      <c r="H870" s="182"/>
      <c r="M870" s="155"/>
      <c r="N870" s="159"/>
      <c r="O870" s="159"/>
      <c r="P870" s="159"/>
      <c r="Q870" s="159"/>
      <c r="R870" s="160"/>
      <c r="S870" s="160"/>
    </row>
    <row r="871">
      <c r="A871" s="155"/>
      <c r="B871" s="155"/>
      <c r="C871" s="192"/>
      <c r="D871" s="159"/>
      <c r="E871" s="159"/>
      <c r="F871" s="193"/>
      <c r="G871" s="182"/>
      <c r="H871" s="182"/>
      <c r="M871" s="155"/>
      <c r="N871" s="159"/>
      <c r="O871" s="159"/>
      <c r="P871" s="159"/>
      <c r="Q871" s="159"/>
      <c r="R871" s="160"/>
      <c r="S871" s="160"/>
    </row>
    <row r="872">
      <c r="A872" s="155"/>
      <c r="B872" s="155"/>
      <c r="C872" s="192"/>
      <c r="D872" s="159"/>
      <c r="E872" s="159"/>
      <c r="F872" s="193"/>
      <c r="G872" s="182"/>
      <c r="H872" s="182"/>
      <c r="M872" s="155"/>
      <c r="N872" s="159"/>
      <c r="O872" s="159"/>
      <c r="P872" s="159"/>
      <c r="Q872" s="159"/>
      <c r="R872" s="160"/>
      <c r="S872" s="160"/>
    </row>
    <row r="873">
      <c r="A873" s="155"/>
      <c r="B873" s="155"/>
      <c r="C873" s="192"/>
      <c r="D873" s="159"/>
      <c r="E873" s="159"/>
      <c r="F873" s="193"/>
      <c r="G873" s="182"/>
      <c r="H873" s="182"/>
      <c r="M873" s="155"/>
      <c r="N873" s="159"/>
      <c r="O873" s="159"/>
      <c r="P873" s="159"/>
      <c r="Q873" s="159"/>
      <c r="R873" s="160"/>
      <c r="S873" s="160"/>
    </row>
    <row r="874">
      <c r="A874" s="155"/>
      <c r="B874" s="155"/>
      <c r="C874" s="192"/>
      <c r="D874" s="159"/>
      <c r="E874" s="159"/>
      <c r="F874" s="193"/>
      <c r="G874" s="182"/>
      <c r="H874" s="182"/>
      <c r="M874" s="155"/>
      <c r="N874" s="159"/>
      <c r="O874" s="159"/>
      <c r="P874" s="159"/>
      <c r="Q874" s="159"/>
      <c r="R874" s="160"/>
      <c r="S874" s="160"/>
    </row>
    <row r="875">
      <c r="A875" s="155"/>
      <c r="B875" s="155"/>
      <c r="C875" s="192"/>
      <c r="D875" s="159"/>
      <c r="E875" s="159"/>
      <c r="F875" s="193"/>
      <c r="G875" s="182"/>
      <c r="H875" s="182"/>
      <c r="M875" s="155"/>
      <c r="N875" s="159"/>
      <c r="O875" s="159"/>
      <c r="P875" s="159"/>
      <c r="Q875" s="159"/>
      <c r="R875" s="160"/>
      <c r="S875" s="160"/>
    </row>
    <row r="876">
      <c r="A876" s="155"/>
      <c r="B876" s="155"/>
      <c r="C876" s="192"/>
      <c r="D876" s="159"/>
      <c r="E876" s="159"/>
      <c r="F876" s="193"/>
      <c r="G876" s="182"/>
      <c r="H876" s="182"/>
      <c r="M876" s="155"/>
      <c r="N876" s="159"/>
      <c r="O876" s="159"/>
      <c r="P876" s="159"/>
      <c r="Q876" s="159"/>
      <c r="R876" s="160"/>
      <c r="S876" s="160"/>
    </row>
    <row r="877">
      <c r="A877" s="155"/>
      <c r="B877" s="155"/>
      <c r="C877" s="192"/>
      <c r="D877" s="159"/>
      <c r="E877" s="159"/>
      <c r="F877" s="193"/>
      <c r="G877" s="182"/>
      <c r="H877" s="182"/>
      <c r="M877" s="155"/>
      <c r="N877" s="159"/>
      <c r="O877" s="159"/>
      <c r="P877" s="159"/>
      <c r="Q877" s="159"/>
      <c r="R877" s="160"/>
      <c r="S877" s="160"/>
    </row>
    <row r="878">
      <c r="A878" s="155"/>
      <c r="B878" s="155"/>
      <c r="C878" s="192"/>
      <c r="D878" s="159"/>
      <c r="E878" s="159"/>
      <c r="F878" s="193"/>
      <c r="G878" s="182"/>
      <c r="H878" s="182"/>
      <c r="M878" s="155"/>
      <c r="N878" s="159"/>
      <c r="O878" s="159"/>
      <c r="P878" s="159"/>
      <c r="Q878" s="159"/>
      <c r="R878" s="160"/>
      <c r="S878" s="160"/>
    </row>
    <row r="879">
      <c r="A879" s="155"/>
      <c r="B879" s="155"/>
      <c r="C879" s="192"/>
      <c r="D879" s="159"/>
      <c r="E879" s="159"/>
      <c r="F879" s="193"/>
      <c r="G879" s="182"/>
      <c r="H879" s="182"/>
      <c r="M879" s="155"/>
      <c r="N879" s="159"/>
      <c r="O879" s="159"/>
      <c r="P879" s="159"/>
      <c r="Q879" s="159"/>
      <c r="R879" s="160"/>
      <c r="S879" s="160"/>
    </row>
    <row r="880">
      <c r="A880" s="155"/>
      <c r="B880" s="155"/>
      <c r="C880" s="192"/>
      <c r="D880" s="159"/>
      <c r="E880" s="159"/>
      <c r="F880" s="193"/>
      <c r="G880" s="182"/>
      <c r="H880" s="182"/>
      <c r="M880" s="155"/>
      <c r="N880" s="159"/>
      <c r="O880" s="159"/>
      <c r="P880" s="159"/>
      <c r="Q880" s="159"/>
      <c r="R880" s="160"/>
      <c r="S880" s="160"/>
    </row>
    <row r="881">
      <c r="A881" s="155"/>
      <c r="B881" s="155"/>
      <c r="C881" s="192"/>
      <c r="D881" s="159"/>
      <c r="E881" s="159"/>
      <c r="F881" s="193"/>
      <c r="G881" s="182"/>
      <c r="H881" s="182"/>
      <c r="M881" s="155"/>
      <c r="N881" s="159"/>
      <c r="O881" s="159"/>
      <c r="P881" s="159"/>
      <c r="Q881" s="159"/>
      <c r="R881" s="160"/>
      <c r="S881" s="160"/>
    </row>
    <row r="882">
      <c r="A882" s="155"/>
      <c r="B882" s="155"/>
      <c r="C882" s="192"/>
      <c r="D882" s="159"/>
      <c r="E882" s="159"/>
      <c r="F882" s="193"/>
      <c r="G882" s="182"/>
      <c r="H882" s="182"/>
      <c r="M882" s="155"/>
      <c r="N882" s="159"/>
      <c r="O882" s="159"/>
      <c r="P882" s="159"/>
      <c r="Q882" s="159"/>
      <c r="R882" s="160"/>
      <c r="S882" s="160"/>
    </row>
    <row r="883">
      <c r="A883" s="155"/>
      <c r="B883" s="155"/>
      <c r="C883" s="192"/>
      <c r="D883" s="159"/>
      <c r="E883" s="159"/>
      <c r="F883" s="193"/>
      <c r="G883" s="182"/>
      <c r="H883" s="182"/>
      <c r="M883" s="155"/>
      <c r="N883" s="159"/>
      <c r="O883" s="159"/>
      <c r="P883" s="159"/>
      <c r="Q883" s="159"/>
      <c r="R883" s="160"/>
      <c r="S883" s="160"/>
    </row>
    <row r="884">
      <c r="A884" s="155"/>
      <c r="B884" s="155"/>
      <c r="C884" s="192"/>
      <c r="D884" s="159"/>
      <c r="E884" s="159"/>
      <c r="F884" s="193"/>
      <c r="G884" s="182"/>
      <c r="H884" s="182"/>
      <c r="M884" s="155"/>
      <c r="N884" s="159"/>
      <c r="O884" s="159"/>
      <c r="P884" s="159"/>
      <c r="Q884" s="159"/>
      <c r="R884" s="160"/>
      <c r="S884" s="160"/>
    </row>
    <row r="885">
      <c r="A885" s="155"/>
      <c r="B885" s="155"/>
      <c r="C885" s="192"/>
      <c r="D885" s="159"/>
      <c r="E885" s="159"/>
      <c r="F885" s="193"/>
      <c r="G885" s="182"/>
      <c r="H885" s="182"/>
      <c r="M885" s="155"/>
      <c r="N885" s="159"/>
      <c r="O885" s="159"/>
      <c r="P885" s="159"/>
      <c r="Q885" s="159"/>
      <c r="R885" s="160"/>
      <c r="S885" s="160"/>
    </row>
    <row r="886">
      <c r="A886" s="155"/>
      <c r="B886" s="155"/>
      <c r="C886" s="192"/>
      <c r="D886" s="159"/>
      <c r="E886" s="159"/>
      <c r="F886" s="193"/>
      <c r="G886" s="182"/>
      <c r="H886" s="182"/>
      <c r="M886" s="155"/>
      <c r="N886" s="159"/>
      <c r="O886" s="159"/>
      <c r="P886" s="159"/>
      <c r="Q886" s="159"/>
      <c r="R886" s="160"/>
      <c r="S886" s="160"/>
    </row>
    <row r="887">
      <c r="A887" s="155"/>
      <c r="B887" s="155"/>
      <c r="C887" s="192"/>
      <c r="D887" s="159"/>
      <c r="E887" s="159"/>
      <c r="F887" s="193"/>
      <c r="G887" s="182"/>
      <c r="H887" s="182"/>
      <c r="M887" s="155"/>
      <c r="N887" s="159"/>
      <c r="O887" s="159"/>
      <c r="P887" s="159"/>
      <c r="Q887" s="159"/>
      <c r="R887" s="160"/>
      <c r="S887" s="160"/>
    </row>
    <row r="888">
      <c r="A888" s="155"/>
      <c r="B888" s="155"/>
      <c r="C888" s="192"/>
      <c r="D888" s="159"/>
      <c r="E888" s="159"/>
      <c r="F888" s="193"/>
      <c r="G888" s="182"/>
      <c r="H888" s="182"/>
      <c r="M888" s="155"/>
      <c r="N888" s="159"/>
      <c r="O888" s="159"/>
      <c r="P888" s="159"/>
      <c r="Q888" s="159"/>
      <c r="R888" s="160"/>
      <c r="S888" s="160"/>
    </row>
    <row r="889">
      <c r="A889" s="155"/>
      <c r="B889" s="155"/>
      <c r="C889" s="192"/>
      <c r="D889" s="159"/>
      <c r="E889" s="159"/>
      <c r="F889" s="193"/>
      <c r="G889" s="182"/>
      <c r="H889" s="182"/>
      <c r="M889" s="155"/>
      <c r="N889" s="159"/>
      <c r="O889" s="159"/>
      <c r="P889" s="159"/>
      <c r="Q889" s="159"/>
      <c r="R889" s="160"/>
      <c r="S889" s="160"/>
    </row>
    <row r="890">
      <c r="A890" s="155"/>
      <c r="B890" s="155"/>
      <c r="C890" s="192"/>
      <c r="D890" s="159"/>
      <c r="E890" s="159"/>
      <c r="F890" s="193"/>
      <c r="G890" s="182"/>
      <c r="H890" s="182"/>
      <c r="M890" s="155"/>
      <c r="N890" s="159"/>
      <c r="O890" s="159"/>
      <c r="P890" s="159"/>
      <c r="Q890" s="159"/>
      <c r="R890" s="160"/>
      <c r="S890" s="160"/>
    </row>
    <row r="891">
      <c r="A891" s="155"/>
      <c r="B891" s="155"/>
      <c r="C891" s="192"/>
      <c r="D891" s="159"/>
      <c r="E891" s="159"/>
      <c r="F891" s="193"/>
      <c r="G891" s="182"/>
      <c r="H891" s="182"/>
      <c r="M891" s="155"/>
      <c r="N891" s="159"/>
      <c r="O891" s="159"/>
      <c r="P891" s="159"/>
      <c r="Q891" s="159"/>
      <c r="R891" s="160"/>
      <c r="S891" s="160"/>
    </row>
    <row r="892">
      <c r="A892" s="155"/>
      <c r="B892" s="155"/>
      <c r="C892" s="192"/>
      <c r="D892" s="159"/>
      <c r="E892" s="159"/>
      <c r="F892" s="193"/>
      <c r="G892" s="182"/>
      <c r="H892" s="182"/>
      <c r="M892" s="155"/>
      <c r="N892" s="159"/>
      <c r="O892" s="159"/>
      <c r="P892" s="159"/>
      <c r="Q892" s="159"/>
      <c r="R892" s="160"/>
      <c r="S892" s="160"/>
    </row>
    <row r="893">
      <c r="A893" s="155"/>
      <c r="B893" s="155"/>
      <c r="C893" s="192"/>
      <c r="D893" s="159"/>
      <c r="E893" s="159"/>
      <c r="F893" s="193"/>
      <c r="G893" s="182"/>
      <c r="H893" s="182"/>
      <c r="M893" s="155"/>
      <c r="N893" s="159"/>
      <c r="O893" s="159"/>
      <c r="P893" s="159"/>
      <c r="Q893" s="159"/>
      <c r="R893" s="160"/>
      <c r="S893" s="160"/>
    </row>
    <row r="894">
      <c r="A894" s="155"/>
      <c r="B894" s="155"/>
      <c r="C894" s="192"/>
      <c r="D894" s="159"/>
      <c r="E894" s="159"/>
      <c r="F894" s="193"/>
      <c r="G894" s="182"/>
      <c r="H894" s="182"/>
      <c r="M894" s="155"/>
      <c r="N894" s="159"/>
      <c r="O894" s="159"/>
      <c r="P894" s="159"/>
      <c r="Q894" s="159"/>
      <c r="R894" s="160"/>
      <c r="S894" s="160"/>
    </row>
    <row r="895">
      <c r="A895" s="155"/>
      <c r="B895" s="155"/>
      <c r="C895" s="192"/>
      <c r="D895" s="159"/>
      <c r="E895" s="159"/>
      <c r="F895" s="193"/>
      <c r="G895" s="182"/>
      <c r="H895" s="182"/>
      <c r="M895" s="155"/>
      <c r="N895" s="159"/>
      <c r="O895" s="159"/>
      <c r="P895" s="159"/>
      <c r="Q895" s="159"/>
      <c r="R895" s="160"/>
      <c r="S895" s="160"/>
    </row>
    <row r="896">
      <c r="A896" s="155"/>
      <c r="B896" s="155"/>
      <c r="C896" s="192"/>
      <c r="D896" s="159"/>
      <c r="E896" s="159"/>
      <c r="F896" s="193"/>
      <c r="G896" s="182"/>
      <c r="H896" s="182"/>
      <c r="M896" s="155"/>
      <c r="N896" s="159"/>
      <c r="O896" s="159"/>
      <c r="P896" s="159"/>
      <c r="Q896" s="159"/>
      <c r="R896" s="160"/>
      <c r="S896" s="160"/>
    </row>
    <row r="897">
      <c r="A897" s="155"/>
      <c r="B897" s="155"/>
      <c r="C897" s="192"/>
      <c r="D897" s="159"/>
      <c r="E897" s="159"/>
      <c r="F897" s="193"/>
      <c r="G897" s="182"/>
      <c r="H897" s="182"/>
      <c r="M897" s="155"/>
      <c r="N897" s="159"/>
      <c r="O897" s="159"/>
      <c r="P897" s="159"/>
      <c r="Q897" s="159"/>
      <c r="R897" s="160"/>
      <c r="S897" s="160"/>
    </row>
    <row r="898">
      <c r="A898" s="155"/>
      <c r="B898" s="155"/>
      <c r="C898" s="192"/>
      <c r="D898" s="159"/>
      <c r="E898" s="159"/>
      <c r="F898" s="193"/>
      <c r="G898" s="182"/>
      <c r="H898" s="182"/>
      <c r="M898" s="155"/>
      <c r="N898" s="159"/>
      <c r="O898" s="159"/>
      <c r="P898" s="159"/>
      <c r="Q898" s="159"/>
      <c r="R898" s="160"/>
      <c r="S898" s="160"/>
    </row>
    <row r="899">
      <c r="A899" s="155"/>
      <c r="B899" s="155"/>
      <c r="C899" s="192"/>
      <c r="D899" s="159"/>
      <c r="E899" s="159"/>
      <c r="F899" s="193"/>
      <c r="G899" s="182"/>
      <c r="H899" s="182"/>
      <c r="M899" s="155"/>
      <c r="N899" s="159"/>
      <c r="O899" s="159"/>
      <c r="P899" s="159"/>
      <c r="Q899" s="159"/>
      <c r="R899" s="160"/>
      <c r="S899" s="160"/>
    </row>
    <row r="900">
      <c r="A900" s="155"/>
      <c r="B900" s="155"/>
      <c r="C900" s="192"/>
      <c r="D900" s="159"/>
      <c r="E900" s="159"/>
      <c r="F900" s="193"/>
      <c r="G900" s="182"/>
      <c r="H900" s="182"/>
      <c r="M900" s="155"/>
      <c r="N900" s="159"/>
      <c r="O900" s="159"/>
      <c r="P900" s="159"/>
      <c r="Q900" s="159"/>
      <c r="R900" s="160"/>
      <c r="S900" s="160"/>
    </row>
    <row r="901">
      <c r="A901" s="155"/>
      <c r="B901" s="155"/>
      <c r="C901" s="192"/>
      <c r="D901" s="159"/>
      <c r="E901" s="159"/>
      <c r="F901" s="193"/>
      <c r="G901" s="182"/>
      <c r="H901" s="182"/>
      <c r="M901" s="155"/>
      <c r="N901" s="159"/>
      <c r="O901" s="159"/>
      <c r="P901" s="159"/>
      <c r="Q901" s="159"/>
      <c r="R901" s="160"/>
      <c r="S901" s="160"/>
    </row>
    <row r="902">
      <c r="A902" s="155"/>
      <c r="B902" s="155"/>
      <c r="C902" s="192"/>
      <c r="D902" s="159"/>
      <c r="E902" s="159"/>
      <c r="F902" s="193"/>
      <c r="G902" s="182"/>
      <c r="H902" s="182"/>
      <c r="M902" s="155"/>
      <c r="N902" s="159"/>
      <c r="O902" s="159"/>
      <c r="P902" s="159"/>
      <c r="Q902" s="159"/>
      <c r="R902" s="160"/>
      <c r="S902" s="160"/>
    </row>
    <row r="903">
      <c r="A903" s="155"/>
      <c r="B903" s="155"/>
      <c r="C903" s="192"/>
      <c r="D903" s="159"/>
      <c r="E903" s="159"/>
      <c r="F903" s="193"/>
      <c r="G903" s="182"/>
      <c r="H903" s="182"/>
      <c r="M903" s="155"/>
      <c r="N903" s="159"/>
      <c r="O903" s="159"/>
      <c r="P903" s="159"/>
      <c r="Q903" s="159"/>
      <c r="R903" s="160"/>
      <c r="S903" s="160"/>
    </row>
    <row r="904">
      <c r="A904" s="155"/>
      <c r="B904" s="155"/>
      <c r="C904" s="192"/>
      <c r="D904" s="159"/>
      <c r="E904" s="159"/>
      <c r="F904" s="193"/>
      <c r="G904" s="182"/>
      <c r="H904" s="182"/>
      <c r="M904" s="155"/>
      <c r="N904" s="159"/>
      <c r="O904" s="159"/>
      <c r="P904" s="159"/>
      <c r="Q904" s="159"/>
      <c r="R904" s="160"/>
      <c r="S904" s="160"/>
    </row>
    <row r="905">
      <c r="A905" s="155"/>
      <c r="B905" s="155"/>
      <c r="C905" s="192"/>
      <c r="D905" s="159"/>
      <c r="E905" s="159"/>
      <c r="F905" s="193"/>
      <c r="G905" s="182"/>
      <c r="H905" s="182"/>
      <c r="M905" s="155"/>
      <c r="N905" s="159"/>
      <c r="O905" s="159"/>
      <c r="P905" s="159"/>
      <c r="Q905" s="159"/>
      <c r="R905" s="160"/>
      <c r="S905" s="160"/>
    </row>
    <row r="906">
      <c r="A906" s="155"/>
      <c r="B906" s="155"/>
      <c r="C906" s="192"/>
      <c r="D906" s="159"/>
      <c r="E906" s="159"/>
      <c r="F906" s="193"/>
      <c r="G906" s="182"/>
      <c r="H906" s="182"/>
      <c r="M906" s="155"/>
      <c r="N906" s="159"/>
      <c r="O906" s="159"/>
      <c r="P906" s="159"/>
      <c r="Q906" s="159"/>
      <c r="R906" s="160"/>
      <c r="S906" s="160"/>
    </row>
    <row r="907">
      <c r="A907" s="155"/>
      <c r="B907" s="155"/>
      <c r="C907" s="192"/>
      <c r="D907" s="159"/>
      <c r="E907" s="159"/>
      <c r="F907" s="193"/>
      <c r="G907" s="182"/>
      <c r="H907" s="182"/>
      <c r="M907" s="155"/>
      <c r="N907" s="159"/>
      <c r="O907" s="159"/>
      <c r="P907" s="159"/>
      <c r="Q907" s="159"/>
      <c r="R907" s="160"/>
      <c r="S907" s="160"/>
    </row>
    <row r="908">
      <c r="A908" s="155"/>
      <c r="B908" s="155"/>
      <c r="C908" s="192"/>
      <c r="D908" s="159"/>
      <c r="E908" s="159"/>
      <c r="F908" s="193"/>
      <c r="G908" s="182"/>
      <c r="H908" s="182"/>
      <c r="M908" s="155"/>
      <c r="N908" s="159"/>
      <c r="O908" s="159"/>
      <c r="P908" s="159"/>
      <c r="Q908" s="159"/>
      <c r="R908" s="160"/>
      <c r="S908" s="160"/>
    </row>
    <row r="909">
      <c r="A909" s="155"/>
      <c r="B909" s="155"/>
      <c r="C909" s="192"/>
      <c r="D909" s="159"/>
      <c r="E909" s="159"/>
      <c r="F909" s="193"/>
      <c r="G909" s="182"/>
      <c r="H909" s="182"/>
      <c r="M909" s="155"/>
      <c r="N909" s="159"/>
      <c r="O909" s="159"/>
      <c r="P909" s="159"/>
      <c r="Q909" s="159"/>
      <c r="R909" s="160"/>
      <c r="S909" s="160"/>
    </row>
    <row r="910">
      <c r="A910" s="155"/>
      <c r="B910" s="155"/>
      <c r="C910" s="192"/>
      <c r="D910" s="159"/>
      <c r="E910" s="159"/>
      <c r="F910" s="193"/>
      <c r="G910" s="182"/>
      <c r="H910" s="182"/>
      <c r="M910" s="155"/>
      <c r="N910" s="159"/>
      <c r="O910" s="159"/>
      <c r="P910" s="159"/>
      <c r="Q910" s="159"/>
      <c r="R910" s="160"/>
      <c r="S910" s="160"/>
    </row>
    <row r="911">
      <c r="A911" s="155"/>
      <c r="B911" s="155"/>
      <c r="C911" s="192"/>
      <c r="D911" s="159"/>
      <c r="E911" s="159"/>
      <c r="F911" s="193"/>
      <c r="G911" s="182"/>
      <c r="H911" s="182"/>
      <c r="M911" s="155"/>
      <c r="N911" s="159"/>
      <c r="O911" s="159"/>
      <c r="P911" s="159"/>
      <c r="Q911" s="159"/>
      <c r="R911" s="160"/>
      <c r="S911" s="160"/>
    </row>
    <row r="912">
      <c r="A912" s="155"/>
      <c r="B912" s="155"/>
      <c r="C912" s="192"/>
      <c r="D912" s="159"/>
      <c r="E912" s="159"/>
      <c r="F912" s="193"/>
      <c r="G912" s="182"/>
      <c r="H912" s="182"/>
      <c r="M912" s="155"/>
      <c r="N912" s="159"/>
      <c r="O912" s="159"/>
      <c r="P912" s="159"/>
      <c r="Q912" s="159"/>
      <c r="R912" s="160"/>
      <c r="S912" s="160"/>
    </row>
    <row r="913">
      <c r="A913" s="155"/>
      <c r="B913" s="155"/>
      <c r="C913" s="192"/>
      <c r="D913" s="159"/>
      <c r="E913" s="159"/>
      <c r="F913" s="193"/>
      <c r="G913" s="182"/>
      <c r="H913" s="182"/>
      <c r="M913" s="155"/>
      <c r="N913" s="159"/>
      <c r="O913" s="159"/>
      <c r="P913" s="159"/>
      <c r="Q913" s="159"/>
      <c r="R913" s="160"/>
      <c r="S913" s="160"/>
    </row>
    <row r="914">
      <c r="A914" s="155"/>
      <c r="B914" s="155"/>
      <c r="C914" s="192"/>
      <c r="D914" s="159"/>
      <c r="E914" s="159"/>
      <c r="F914" s="193"/>
      <c r="G914" s="182"/>
      <c r="H914" s="182"/>
      <c r="M914" s="155"/>
      <c r="N914" s="159"/>
      <c r="O914" s="159"/>
      <c r="P914" s="159"/>
      <c r="Q914" s="159"/>
      <c r="R914" s="160"/>
      <c r="S914" s="160"/>
    </row>
    <row r="915">
      <c r="A915" s="155"/>
      <c r="B915" s="155"/>
      <c r="C915" s="192"/>
      <c r="D915" s="159"/>
      <c r="E915" s="159"/>
      <c r="F915" s="193"/>
      <c r="G915" s="182"/>
      <c r="H915" s="182"/>
      <c r="M915" s="155"/>
      <c r="N915" s="159"/>
      <c r="O915" s="159"/>
      <c r="P915" s="159"/>
      <c r="Q915" s="159"/>
      <c r="R915" s="160"/>
      <c r="S915" s="160"/>
    </row>
    <row r="916">
      <c r="A916" s="155"/>
      <c r="B916" s="155"/>
      <c r="C916" s="192"/>
      <c r="D916" s="159"/>
      <c r="E916" s="159"/>
      <c r="F916" s="193"/>
      <c r="G916" s="182"/>
      <c r="H916" s="182"/>
      <c r="M916" s="155"/>
      <c r="N916" s="159"/>
      <c r="O916" s="159"/>
      <c r="P916" s="159"/>
      <c r="Q916" s="159"/>
      <c r="R916" s="160"/>
      <c r="S916" s="160"/>
    </row>
    <row r="917">
      <c r="A917" s="155"/>
      <c r="B917" s="155"/>
      <c r="C917" s="192"/>
      <c r="D917" s="159"/>
      <c r="E917" s="159"/>
      <c r="F917" s="193"/>
      <c r="G917" s="182"/>
      <c r="H917" s="182"/>
      <c r="M917" s="155"/>
      <c r="N917" s="159"/>
      <c r="O917" s="159"/>
      <c r="P917" s="159"/>
      <c r="Q917" s="159"/>
      <c r="R917" s="160"/>
      <c r="S917" s="160"/>
    </row>
    <row r="918">
      <c r="A918" s="155"/>
      <c r="B918" s="155"/>
      <c r="C918" s="192"/>
      <c r="D918" s="159"/>
      <c r="E918" s="159"/>
      <c r="F918" s="193"/>
      <c r="G918" s="182"/>
      <c r="H918" s="182"/>
      <c r="M918" s="155"/>
      <c r="N918" s="159"/>
      <c r="O918" s="159"/>
      <c r="P918" s="159"/>
      <c r="Q918" s="159"/>
      <c r="R918" s="160"/>
      <c r="S918" s="160"/>
    </row>
    <row r="919">
      <c r="A919" s="155"/>
      <c r="B919" s="155"/>
      <c r="C919" s="192"/>
      <c r="D919" s="159"/>
      <c r="E919" s="159"/>
      <c r="F919" s="193"/>
      <c r="G919" s="182"/>
      <c r="H919" s="182"/>
      <c r="M919" s="155"/>
      <c r="N919" s="159"/>
      <c r="O919" s="159"/>
      <c r="P919" s="159"/>
      <c r="Q919" s="159"/>
      <c r="R919" s="160"/>
      <c r="S919" s="160"/>
    </row>
    <row r="920">
      <c r="A920" s="155"/>
      <c r="B920" s="155"/>
      <c r="C920" s="192"/>
      <c r="D920" s="159"/>
      <c r="E920" s="159"/>
      <c r="F920" s="193"/>
      <c r="G920" s="182"/>
      <c r="H920" s="182"/>
      <c r="M920" s="155"/>
      <c r="N920" s="159"/>
      <c r="O920" s="159"/>
      <c r="P920" s="159"/>
      <c r="Q920" s="159"/>
      <c r="R920" s="160"/>
      <c r="S920" s="160"/>
    </row>
    <row r="921">
      <c r="A921" s="155"/>
      <c r="B921" s="155"/>
      <c r="C921" s="192"/>
      <c r="D921" s="159"/>
      <c r="E921" s="159"/>
      <c r="F921" s="193"/>
      <c r="G921" s="182"/>
      <c r="H921" s="182"/>
      <c r="M921" s="155"/>
      <c r="N921" s="159"/>
      <c r="O921" s="159"/>
      <c r="P921" s="159"/>
      <c r="Q921" s="159"/>
      <c r="R921" s="160"/>
      <c r="S921" s="160"/>
    </row>
    <row r="922">
      <c r="A922" s="155"/>
      <c r="B922" s="155"/>
      <c r="C922" s="192"/>
      <c r="D922" s="159"/>
      <c r="E922" s="159"/>
      <c r="F922" s="193"/>
      <c r="G922" s="182"/>
      <c r="H922" s="182"/>
      <c r="M922" s="155"/>
      <c r="N922" s="159"/>
      <c r="O922" s="159"/>
      <c r="P922" s="159"/>
      <c r="Q922" s="159"/>
      <c r="R922" s="160"/>
      <c r="S922" s="160"/>
    </row>
    <row r="923">
      <c r="A923" s="155"/>
      <c r="B923" s="155"/>
      <c r="C923" s="192"/>
      <c r="D923" s="159"/>
      <c r="E923" s="159"/>
      <c r="F923" s="193"/>
      <c r="G923" s="182"/>
      <c r="H923" s="182"/>
      <c r="M923" s="155"/>
      <c r="N923" s="159"/>
      <c r="O923" s="159"/>
      <c r="P923" s="159"/>
      <c r="Q923" s="159"/>
      <c r="R923" s="160"/>
      <c r="S923" s="160"/>
    </row>
    <row r="924">
      <c r="A924" s="155"/>
      <c r="B924" s="155"/>
      <c r="C924" s="192"/>
      <c r="D924" s="159"/>
      <c r="E924" s="159"/>
      <c r="F924" s="193"/>
      <c r="G924" s="182"/>
      <c r="H924" s="182"/>
      <c r="M924" s="155"/>
      <c r="N924" s="159"/>
      <c r="O924" s="159"/>
      <c r="P924" s="159"/>
      <c r="Q924" s="159"/>
      <c r="R924" s="160"/>
      <c r="S924" s="160"/>
    </row>
    <row r="925">
      <c r="A925" s="155"/>
      <c r="B925" s="155"/>
      <c r="C925" s="192"/>
      <c r="D925" s="159"/>
      <c r="E925" s="159"/>
      <c r="F925" s="193"/>
      <c r="G925" s="182"/>
      <c r="H925" s="182"/>
      <c r="M925" s="155"/>
      <c r="N925" s="159"/>
      <c r="O925" s="159"/>
      <c r="P925" s="159"/>
      <c r="Q925" s="159"/>
      <c r="R925" s="160"/>
      <c r="S925" s="160"/>
    </row>
    <row r="926">
      <c r="A926" s="155"/>
      <c r="B926" s="155"/>
      <c r="C926" s="192"/>
      <c r="D926" s="159"/>
      <c r="E926" s="159"/>
      <c r="F926" s="193"/>
      <c r="G926" s="182"/>
      <c r="H926" s="182"/>
      <c r="M926" s="155"/>
      <c r="N926" s="159"/>
      <c r="O926" s="159"/>
      <c r="P926" s="159"/>
      <c r="Q926" s="159"/>
      <c r="R926" s="160"/>
      <c r="S926" s="160"/>
    </row>
    <row r="927">
      <c r="A927" s="155"/>
      <c r="B927" s="155"/>
      <c r="C927" s="192"/>
      <c r="D927" s="159"/>
      <c r="E927" s="159"/>
      <c r="F927" s="193"/>
      <c r="G927" s="182"/>
      <c r="H927" s="182"/>
      <c r="M927" s="155"/>
      <c r="N927" s="159"/>
      <c r="O927" s="159"/>
      <c r="P927" s="159"/>
      <c r="Q927" s="159"/>
      <c r="R927" s="160"/>
      <c r="S927" s="160"/>
    </row>
    <row r="928">
      <c r="A928" s="155"/>
      <c r="B928" s="155"/>
      <c r="C928" s="192"/>
      <c r="D928" s="159"/>
      <c r="E928" s="159"/>
      <c r="F928" s="193"/>
      <c r="G928" s="182"/>
      <c r="H928" s="182"/>
      <c r="M928" s="155"/>
      <c r="N928" s="159"/>
      <c r="O928" s="159"/>
      <c r="P928" s="159"/>
      <c r="Q928" s="159"/>
      <c r="R928" s="160"/>
      <c r="S928" s="160"/>
    </row>
    <row r="929">
      <c r="A929" s="155"/>
      <c r="B929" s="155"/>
      <c r="C929" s="192"/>
      <c r="D929" s="159"/>
      <c r="E929" s="159"/>
      <c r="F929" s="193"/>
      <c r="G929" s="182"/>
      <c r="H929" s="182"/>
      <c r="M929" s="155"/>
      <c r="N929" s="159"/>
      <c r="O929" s="159"/>
      <c r="P929" s="159"/>
      <c r="Q929" s="159"/>
      <c r="R929" s="160"/>
      <c r="S929" s="160"/>
    </row>
    <row r="930">
      <c r="A930" s="155"/>
      <c r="B930" s="155"/>
      <c r="C930" s="192"/>
      <c r="D930" s="159"/>
      <c r="E930" s="159"/>
      <c r="F930" s="193"/>
      <c r="G930" s="182"/>
      <c r="H930" s="182"/>
      <c r="M930" s="155"/>
      <c r="N930" s="159"/>
      <c r="O930" s="159"/>
      <c r="P930" s="159"/>
      <c r="Q930" s="159"/>
      <c r="R930" s="160"/>
      <c r="S930" s="160"/>
    </row>
    <row r="931">
      <c r="A931" s="155"/>
      <c r="B931" s="155"/>
      <c r="C931" s="192"/>
      <c r="D931" s="159"/>
      <c r="E931" s="159"/>
      <c r="F931" s="193"/>
      <c r="G931" s="182"/>
      <c r="H931" s="182"/>
      <c r="M931" s="155"/>
      <c r="N931" s="159"/>
      <c r="O931" s="159"/>
      <c r="P931" s="159"/>
      <c r="Q931" s="159"/>
      <c r="R931" s="160"/>
      <c r="S931" s="160"/>
    </row>
    <row r="932">
      <c r="A932" s="155"/>
      <c r="B932" s="155"/>
      <c r="C932" s="192"/>
      <c r="D932" s="159"/>
      <c r="E932" s="159"/>
      <c r="F932" s="193"/>
      <c r="G932" s="182"/>
      <c r="H932" s="182"/>
      <c r="M932" s="155"/>
      <c r="N932" s="159"/>
      <c r="O932" s="159"/>
      <c r="P932" s="159"/>
      <c r="Q932" s="159"/>
      <c r="R932" s="160"/>
      <c r="S932" s="160"/>
    </row>
    <row r="933">
      <c r="A933" s="155"/>
      <c r="B933" s="155"/>
      <c r="C933" s="192"/>
      <c r="D933" s="159"/>
      <c r="E933" s="159"/>
      <c r="F933" s="193"/>
      <c r="G933" s="182"/>
      <c r="H933" s="182"/>
      <c r="M933" s="155"/>
      <c r="N933" s="159"/>
      <c r="O933" s="159"/>
      <c r="P933" s="159"/>
      <c r="Q933" s="159"/>
      <c r="R933" s="160"/>
      <c r="S933" s="160"/>
    </row>
    <row r="934">
      <c r="A934" s="155"/>
      <c r="B934" s="155"/>
      <c r="C934" s="192"/>
      <c r="D934" s="159"/>
      <c r="E934" s="159"/>
      <c r="F934" s="193"/>
      <c r="G934" s="182"/>
      <c r="H934" s="182"/>
      <c r="M934" s="155"/>
      <c r="N934" s="159"/>
      <c r="O934" s="159"/>
      <c r="P934" s="159"/>
      <c r="Q934" s="159"/>
      <c r="R934" s="160"/>
      <c r="S934" s="160"/>
    </row>
    <row r="935">
      <c r="A935" s="155"/>
      <c r="B935" s="155"/>
      <c r="C935" s="192"/>
      <c r="D935" s="159"/>
      <c r="E935" s="159"/>
      <c r="F935" s="193"/>
      <c r="G935" s="182"/>
      <c r="H935" s="182"/>
      <c r="M935" s="155"/>
      <c r="N935" s="159"/>
      <c r="O935" s="159"/>
      <c r="P935" s="159"/>
      <c r="Q935" s="159"/>
      <c r="R935" s="160"/>
      <c r="S935" s="160"/>
    </row>
    <row r="936">
      <c r="A936" s="155"/>
      <c r="B936" s="155"/>
      <c r="C936" s="192"/>
      <c r="D936" s="159"/>
      <c r="E936" s="159"/>
      <c r="F936" s="193"/>
      <c r="G936" s="182"/>
      <c r="H936" s="182"/>
      <c r="M936" s="155"/>
      <c r="N936" s="159"/>
      <c r="O936" s="159"/>
      <c r="P936" s="159"/>
      <c r="Q936" s="159"/>
      <c r="R936" s="160"/>
      <c r="S936" s="160"/>
    </row>
    <row r="937">
      <c r="A937" s="155"/>
      <c r="B937" s="155"/>
      <c r="C937" s="192"/>
      <c r="D937" s="159"/>
      <c r="E937" s="159"/>
      <c r="F937" s="193"/>
      <c r="G937" s="182"/>
      <c r="H937" s="182"/>
      <c r="M937" s="155"/>
      <c r="N937" s="159"/>
      <c r="O937" s="159"/>
      <c r="P937" s="159"/>
      <c r="Q937" s="159"/>
      <c r="R937" s="160"/>
      <c r="S937" s="160"/>
    </row>
    <row r="938">
      <c r="A938" s="155"/>
      <c r="B938" s="155"/>
      <c r="C938" s="192"/>
      <c r="D938" s="159"/>
      <c r="E938" s="159"/>
      <c r="F938" s="193"/>
      <c r="G938" s="182"/>
      <c r="H938" s="182"/>
      <c r="M938" s="155"/>
      <c r="N938" s="159"/>
      <c r="O938" s="159"/>
      <c r="P938" s="159"/>
      <c r="Q938" s="159"/>
      <c r="R938" s="160"/>
      <c r="S938" s="160"/>
    </row>
    <row r="939">
      <c r="A939" s="155"/>
      <c r="B939" s="155"/>
      <c r="C939" s="192"/>
      <c r="D939" s="159"/>
      <c r="E939" s="159"/>
      <c r="F939" s="193"/>
      <c r="G939" s="182"/>
      <c r="H939" s="182"/>
      <c r="M939" s="155"/>
      <c r="N939" s="159"/>
      <c r="O939" s="159"/>
      <c r="P939" s="159"/>
      <c r="Q939" s="159"/>
      <c r="R939" s="160"/>
      <c r="S939" s="160"/>
    </row>
    <row r="940">
      <c r="A940" s="155"/>
      <c r="B940" s="155"/>
      <c r="C940" s="192"/>
      <c r="D940" s="159"/>
      <c r="E940" s="159"/>
      <c r="F940" s="193"/>
      <c r="G940" s="182"/>
      <c r="H940" s="182"/>
      <c r="M940" s="155"/>
      <c r="N940" s="159"/>
      <c r="O940" s="159"/>
      <c r="P940" s="159"/>
      <c r="Q940" s="159"/>
      <c r="R940" s="160"/>
      <c r="S940" s="160"/>
    </row>
    <row r="941">
      <c r="A941" s="155"/>
      <c r="B941" s="155"/>
      <c r="C941" s="192"/>
      <c r="D941" s="159"/>
      <c r="E941" s="159"/>
      <c r="F941" s="193"/>
      <c r="G941" s="182"/>
      <c r="H941" s="182"/>
      <c r="M941" s="155"/>
      <c r="N941" s="159"/>
      <c r="O941" s="159"/>
      <c r="P941" s="159"/>
      <c r="Q941" s="159"/>
      <c r="R941" s="160"/>
      <c r="S941" s="160"/>
    </row>
    <row r="942">
      <c r="A942" s="155"/>
      <c r="B942" s="155"/>
      <c r="C942" s="192"/>
      <c r="D942" s="159"/>
      <c r="E942" s="159"/>
      <c r="F942" s="193"/>
      <c r="G942" s="182"/>
      <c r="H942" s="182"/>
      <c r="M942" s="155"/>
      <c r="N942" s="159"/>
      <c r="O942" s="159"/>
      <c r="P942" s="159"/>
      <c r="Q942" s="159"/>
      <c r="R942" s="160"/>
      <c r="S942" s="160"/>
    </row>
    <row r="943">
      <c r="A943" s="155"/>
      <c r="B943" s="155"/>
      <c r="C943" s="192"/>
      <c r="D943" s="159"/>
      <c r="E943" s="159"/>
      <c r="F943" s="193"/>
      <c r="G943" s="182"/>
      <c r="H943" s="182"/>
      <c r="M943" s="155"/>
      <c r="N943" s="159"/>
      <c r="O943" s="159"/>
      <c r="P943" s="159"/>
      <c r="Q943" s="159"/>
      <c r="R943" s="160"/>
      <c r="S943" s="160"/>
    </row>
    <row r="944">
      <c r="A944" s="155"/>
      <c r="B944" s="155"/>
      <c r="C944" s="192"/>
      <c r="D944" s="159"/>
      <c r="E944" s="159"/>
      <c r="F944" s="193"/>
      <c r="G944" s="182"/>
      <c r="H944" s="182"/>
      <c r="M944" s="155"/>
      <c r="N944" s="159"/>
      <c r="O944" s="159"/>
      <c r="P944" s="159"/>
      <c r="Q944" s="159"/>
      <c r="R944" s="160"/>
      <c r="S944" s="160"/>
    </row>
    <row r="945">
      <c r="A945" s="155"/>
      <c r="B945" s="155"/>
      <c r="C945" s="192"/>
      <c r="D945" s="159"/>
      <c r="E945" s="159"/>
      <c r="F945" s="193"/>
      <c r="G945" s="182"/>
      <c r="H945" s="182"/>
      <c r="M945" s="155"/>
      <c r="N945" s="159"/>
      <c r="O945" s="159"/>
      <c r="P945" s="159"/>
      <c r="Q945" s="159"/>
      <c r="R945" s="160"/>
      <c r="S945" s="160"/>
    </row>
    <row r="946">
      <c r="A946" s="155"/>
      <c r="B946" s="155"/>
      <c r="C946" s="192"/>
      <c r="D946" s="159"/>
      <c r="E946" s="159"/>
      <c r="F946" s="193"/>
      <c r="G946" s="182"/>
      <c r="H946" s="182"/>
      <c r="M946" s="155"/>
      <c r="N946" s="159"/>
      <c r="O946" s="159"/>
      <c r="P946" s="159"/>
      <c r="Q946" s="159"/>
      <c r="R946" s="160"/>
      <c r="S946" s="160"/>
    </row>
    <row r="947">
      <c r="A947" s="155"/>
      <c r="B947" s="155"/>
      <c r="C947" s="192"/>
      <c r="D947" s="159"/>
      <c r="E947" s="159"/>
      <c r="F947" s="193"/>
      <c r="G947" s="182"/>
      <c r="H947" s="182"/>
      <c r="M947" s="155"/>
      <c r="N947" s="159"/>
      <c r="O947" s="159"/>
      <c r="P947" s="159"/>
      <c r="Q947" s="159"/>
      <c r="R947" s="160"/>
      <c r="S947" s="160"/>
    </row>
    <row r="948">
      <c r="A948" s="155"/>
      <c r="B948" s="155"/>
      <c r="C948" s="192"/>
      <c r="D948" s="159"/>
      <c r="E948" s="159"/>
      <c r="F948" s="193"/>
      <c r="G948" s="182"/>
      <c r="H948" s="182"/>
      <c r="M948" s="155"/>
      <c r="N948" s="159"/>
      <c r="O948" s="159"/>
      <c r="P948" s="159"/>
      <c r="Q948" s="159"/>
      <c r="R948" s="160"/>
      <c r="S948" s="160"/>
    </row>
    <row r="949">
      <c r="A949" s="155"/>
      <c r="B949" s="155"/>
      <c r="C949" s="192"/>
      <c r="D949" s="159"/>
      <c r="E949" s="159"/>
      <c r="F949" s="193"/>
      <c r="G949" s="182"/>
      <c r="H949" s="182"/>
      <c r="M949" s="155"/>
      <c r="N949" s="159"/>
      <c r="O949" s="159"/>
      <c r="P949" s="159"/>
      <c r="Q949" s="159"/>
      <c r="R949" s="160"/>
      <c r="S949" s="160"/>
    </row>
    <row r="950">
      <c r="A950" s="155"/>
      <c r="B950" s="155"/>
      <c r="C950" s="192"/>
      <c r="D950" s="159"/>
      <c r="E950" s="159"/>
      <c r="F950" s="193"/>
      <c r="G950" s="182"/>
      <c r="H950" s="182"/>
      <c r="M950" s="155"/>
      <c r="N950" s="159"/>
      <c r="O950" s="159"/>
      <c r="P950" s="159"/>
      <c r="Q950" s="159"/>
      <c r="R950" s="160"/>
      <c r="S950" s="160"/>
    </row>
    <row r="951">
      <c r="A951" s="155"/>
      <c r="B951" s="155"/>
      <c r="C951" s="192"/>
      <c r="D951" s="159"/>
      <c r="E951" s="159"/>
      <c r="F951" s="193"/>
      <c r="G951" s="182"/>
      <c r="H951" s="182"/>
      <c r="M951" s="155"/>
      <c r="N951" s="159"/>
      <c r="O951" s="159"/>
      <c r="P951" s="159"/>
      <c r="Q951" s="159"/>
      <c r="R951" s="160"/>
      <c r="S951" s="160"/>
    </row>
    <row r="952">
      <c r="A952" s="155"/>
      <c r="B952" s="155"/>
      <c r="C952" s="192"/>
      <c r="D952" s="159"/>
      <c r="E952" s="159"/>
      <c r="F952" s="193"/>
      <c r="G952" s="182"/>
      <c r="H952" s="182"/>
      <c r="M952" s="155"/>
      <c r="N952" s="159"/>
      <c r="O952" s="159"/>
      <c r="P952" s="159"/>
      <c r="Q952" s="159"/>
      <c r="R952" s="160"/>
      <c r="S952" s="160"/>
    </row>
    <row r="953">
      <c r="A953" s="155"/>
      <c r="B953" s="155"/>
      <c r="C953" s="192"/>
      <c r="D953" s="159"/>
      <c r="E953" s="159"/>
      <c r="F953" s="193"/>
      <c r="G953" s="182"/>
      <c r="H953" s="182"/>
      <c r="M953" s="155"/>
      <c r="N953" s="159"/>
      <c r="O953" s="159"/>
      <c r="P953" s="159"/>
      <c r="Q953" s="159"/>
      <c r="R953" s="160"/>
      <c r="S953" s="160"/>
    </row>
    <row r="954">
      <c r="A954" s="155"/>
      <c r="B954" s="155"/>
      <c r="C954" s="192"/>
      <c r="D954" s="159"/>
      <c r="E954" s="159"/>
      <c r="F954" s="193"/>
      <c r="G954" s="182"/>
      <c r="H954" s="182"/>
      <c r="M954" s="155"/>
      <c r="N954" s="159"/>
      <c r="O954" s="159"/>
      <c r="P954" s="159"/>
      <c r="Q954" s="159"/>
      <c r="R954" s="160"/>
      <c r="S954" s="160"/>
    </row>
    <row r="955">
      <c r="A955" s="155"/>
      <c r="B955" s="155"/>
      <c r="C955" s="192"/>
      <c r="D955" s="159"/>
      <c r="E955" s="159"/>
      <c r="F955" s="193"/>
      <c r="G955" s="182"/>
      <c r="H955" s="182"/>
      <c r="M955" s="155"/>
      <c r="N955" s="159"/>
      <c r="O955" s="159"/>
      <c r="P955" s="159"/>
      <c r="Q955" s="159"/>
      <c r="R955" s="160"/>
      <c r="S955" s="160"/>
    </row>
    <row r="956">
      <c r="A956" s="155"/>
      <c r="B956" s="155"/>
      <c r="C956" s="192"/>
      <c r="D956" s="159"/>
      <c r="E956" s="159"/>
      <c r="F956" s="193"/>
      <c r="G956" s="182"/>
      <c r="H956" s="182"/>
      <c r="M956" s="155"/>
      <c r="N956" s="159"/>
      <c r="O956" s="159"/>
      <c r="P956" s="159"/>
      <c r="Q956" s="159"/>
      <c r="R956" s="160"/>
      <c r="S956" s="160"/>
    </row>
    <row r="957">
      <c r="A957" s="155"/>
      <c r="B957" s="155"/>
      <c r="C957" s="192"/>
      <c r="D957" s="159"/>
      <c r="E957" s="159"/>
      <c r="F957" s="193"/>
      <c r="G957" s="182"/>
      <c r="H957" s="182"/>
      <c r="M957" s="155"/>
      <c r="N957" s="159"/>
      <c r="O957" s="159"/>
      <c r="P957" s="159"/>
      <c r="Q957" s="159"/>
      <c r="R957" s="160"/>
      <c r="S957" s="160"/>
    </row>
    <row r="958">
      <c r="A958" s="155"/>
      <c r="B958" s="155"/>
      <c r="C958" s="192"/>
      <c r="D958" s="159"/>
      <c r="E958" s="159"/>
      <c r="F958" s="193"/>
      <c r="G958" s="182"/>
      <c r="H958" s="182"/>
      <c r="M958" s="155"/>
      <c r="N958" s="159"/>
      <c r="O958" s="159"/>
      <c r="P958" s="159"/>
      <c r="Q958" s="159"/>
      <c r="R958" s="160"/>
      <c r="S958" s="160"/>
    </row>
    <row r="959">
      <c r="A959" s="155"/>
      <c r="B959" s="155"/>
      <c r="C959" s="192"/>
      <c r="D959" s="159"/>
      <c r="E959" s="159"/>
      <c r="F959" s="193"/>
      <c r="G959" s="182"/>
      <c r="H959" s="182"/>
      <c r="M959" s="155"/>
      <c r="N959" s="159"/>
      <c r="O959" s="159"/>
      <c r="P959" s="159"/>
      <c r="Q959" s="159"/>
      <c r="R959" s="160"/>
      <c r="S959" s="160"/>
    </row>
    <row r="960">
      <c r="A960" s="155"/>
      <c r="B960" s="155"/>
      <c r="C960" s="192"/>
      <c r="D960" s="159"/>
      <c r="E960" s="159"/>
      <c r="F960" s="193"/>
      <c r="G960" s="182"/>
      <c r="H960" s="182"/>
      <c r="M960" s="155"/>
      <c r="N960" s="159"/>
      <c r="O960" s="159"/>
      <c r="P960" s="159"/>
      <c r="Q960" s="159"/>
      <c r="R960" s="160"/>
      <c r="S960" s="160"/>
    </row>
    <row r="961">
      <c r="A961" s="155"/>
      <c r="B961" s="155"/>
      <c r="C961" s="192"/>
      <c r="D961" s="159"/>
      <c r="E961" s="159"/>
      <c r="F961" s="193"/>
      <c r="G961" s="182"/>
      <c r="H961" s="182"/>
      <c r="M961" s="155"/>
      <c r="N961" s="159"/>
      <c r="O961" s="159"/>
      <c r="P961" s="159"/>
      <c r="Q961" s="159"/>
      <c r="R961" s="160"/>
      <c r="S961" s="160"/>
    </row>
    <row r="962">
      <c r="A962" s="155"/>
      <c r="B962" s="155"/>
      <c r="C962" s="192"/>
      <c r="D962" s="159"/>
      <c r="E962" s="159"/>
      <c r="F962" s="193"/>
      <c r="G962" s="182"/>
      <c r="H962" s="182"/>
      <c r="M962" s="155"/>
      <c r="N962" s="159"/>
      <c r="O962" s="159"/>
      <c r="P962" s="159"/>
      <c r="Q962" s="159"/>
      <c r="R962" s="160"/>
      <c r="S962" s="160"/>
    </row>
    <row r="963">
      <c r="A963" s="155"/>
      <c r="B963" s="155"/>
      <c r="C963" s="192"/>
      <c r="D963" s="159"/>
      <c r="E963" s="159"/>
      <c r="F963" s="193"/>
      <c r="G963" s="182"/>
      <c r="H963" s="182"/>
      <c r="M963" s="155"/>
      <c r="N963" s="159"/>
      <c r="O963" s="159"/>
      <c r="P963" s="159"/>
      <c r="Q963" s="159"/>
      <c r="R963" s="160"/>
      <c r="S963" s="160"/>
    </row>
    <row r="964">
      <c r="A964" s="155"/>
      <c r="B964" s="155"/>
      <c r="C964" s="192"/>
      <c r="D964" s="159"/>
      <c r="E964" s="159"/>
      <c r="F964" s="193"/>
      <c r="G964" s="182"/>
      <c r="H964" s="182"/>
      <c r="M964" s="155"/>
      <c r="N964" s="159"/>
      <c r="O964" s="159"/>
      <c r="P964" s="159"/>
      <c r="Q964" s="159"/>
      <c r="R964" s="160"/>
      <c r="S964" s="160"/>
    </row>
    <row r="965">
      <c r="A965" s="155"/>
      <c r="B965" s="155"/>
      <c r="C965" s="192"/>
      <c r="D965" s="159"/>
      <c r="E965" s="159"/>
      <c r="F965" s="193"/>
      <c r="G965" s="182"/>
      <c r="H965" s="182"/>
      <c r="M965" s="155"/>
      <c r="N965" s="159"/>
      <c r="O965" s="159"/>
      <c r="P965" s="159"/>
      <c r="Q965" s="159"/>
      <c r="R965" s="160"/>
      <c r="S965" s="160"/>
    </row>
    <row r="966">
      <c r="A966" s="155"/>
      <c r="B966" s="155"/>
      <c r="C966" s="192"/>
      <c r="D966" s="159"/>
      <c r="E966" s="159"/>
      <c r="F966" s="193"/>
      <c r="G966" s="182"/>
      <c r="H966" s="182"/>
      <c r="M966" s="155"/>
      <c r="N966" s="159"/>
      <c r="O966" s="159"/>
      <c r="P966" s="159"/>
      <c r="Q966" s="159"/>
      <c r="R966" s="160"/>
      <c r="S966" s="160"/>
    </row>
    <row r="967">
      <c r="A967" s="155"/>
      <c r="B967" s="155"/>
      <c r="C967" s="192"/>
      <c r="D967" s="159"/>
      <c r="E967" s="159"/>
      <c r="F967" s="193"/>
      <c r="G967" s="182"/>
      <c r="H967" s="182"/>
      <c r="M967" s="155"/>
      <c r="N967" s="159"/>
      <c r="O967" s="159"/>
      <c r="P967" s="159"/>
      <c r="Q967" s="159"/>
      <c r="R967" s="160"/>
      <c r="S967" s="160"/>
    </row>
    <row r="968">
      <c r="A968" s="155"/>
      <c r="B968" s="155"/>
      <c r="C968" s="192"/>
      <c r="D968" s="159"/>
      <c r="E968" s="159"/>
      <c r="F968" s="193"/>
      <c r="G968" s="182"/>
      <c r="H968" s="182"/>
      <c r="M968" s="155"/>
      <c r="N968" s="159"/>
      <c r="O968" s="159"/>
      <c r="P968" s="159"/>
      <c r="Q968" s="159"/>
      <c r="R968" s="160"/>
      <c r="S968" s="160"/>
    </row>
    <row r="969">
      <c r="A969" s="155"/>
      <c r="B969" s="155"/>
      <c r="C969" s="192"/>
      <c r="D969" s="159"/>
      <c r="E969" s="159"/>
      <c r="F969" s="193"/>
      <c r="G969" s="182"/>
      <c r="H969" s="182"/>
      <c r="M969" s="155"/>
      <c r="N969" s="159"/>
      <c r="O969" s="159"/>
      <c r="P969" s="159"/>
      <c r="Q969" s="159"/>
      <c r="R969" s="160"/>
      <c r="S969" s="160"/>
    </row>
    <row r="970">
      <c r="A970" s="155"/>
      <c r="B970" s="155"/>
      <c r="C970" s="192"/>
      <c r="D970" s="159"/>
      <c r="E970" s="159"/>
      <c r="F970" s="193"/>
      <c r="G970" s="182"/>
      <c r="H970" s="182"/>
      <c r="M970" s="155"/>
      <c r="N970" s="159"/>
      <c r="O970" s="159"/>
      <c r="P970" s="159"/>
      <c r="Q970" s="159"/>
      <c r="R970" s="160"/>
      <c r="S970" s="160"/>
    </row>
    <row r="971">
      <c r="A971" s="155"/>
      <c r="B971" s="155"/>
      <c r="C971" s="192"/>
      <c r="D971" s="159"/>
      <c r="E971" s="159"/>
      <c r="F971" s="193"/>
      <c r="G971" s="182"/>
      <c r="H971" s="182"/>
      <c r="M971" s="155"/>
      <c r="N971" s="159"/>
      <c r="O971" s="159"/>
      <c r="P971" s="159"/>
      <c r="Q971" s="159"/>
      <c r="R971" s="160"/>
      <c r="S971" s="160"/>
    </row>
    <row r="972">
      <c r="A972" s="155"/>
      <c r="B972" s="155"/>
      <c r="C972" s="192"/>
      <c r="D972" s="159"/>
      <c r="E972" s="159"/>
      <c r="F972" s="193"/>
      <c r="G972" s="182"/>
      <c r="H972" s="182"/>
      <c r="M972" s="155"/>
      <c r="N972" s="159"/>
      <c r="O972" s="159"/>
      <c r="P972" s="159"/>
      <c r="Q972" s="159"/>
      <c r="R972" s="160"/>
      <c r="S972" s="160"/>
    </row>
    <row r="973">
      <c r="A973" s="155"/>
      <c r="B973" s="155"/>
      <c r="C973" s="192"/>
      <c r="D973" s="159"/>
      <c r="E973" s="159"/>
      <c r="F973" s="193"/>
      <c r="G973" s="182"/>
      <c r="H973" s="182"/>
      <c r="M973" s="155"/>
      <c r="N973" s="159"/>
      <c r="O973" s="159"/>
      <c r="P973" s="159"/>
      <c r="Q973" s="159"/>
      <c r="R973" s="160"/>
      <c r="S973" s="160"/>
    </row>
    <row r="974">
      <c r="A974" s="155"/>
      <c r="B974" s="155"/>
      <c r="C974" s="192"/>
      <c r="D974" s="159"/>
      <c r="E974" s="159"/>
      <c r="F974" s="193"/>
      <c r="G974" s="182"/>
      <c r="H974" s="182"/>
      <c r="M974" s="155"/>
      <c r="N974" s="159"/>
      <c r="O974" s="159"/>
      <c r="P974" s="159"/>
      <c r="Q974" s="159"/>
      <c r="R974" s="160"/>
      <c r="S974" s="160"/>
    </row>
    <row r="975">
      <c r="A975" s="155"/>
      <c r="B975" s="155"/>
      <c r="C975" s="192"/>
      <c r="D975" s="159"/>
      <c r="E975" s="159"/>
      <c r="F975" s="193"/>
      <c r="G975" s="182"/>
      <c r="H975" s="182"/>
      <c r="M975" s="155"/>
      <c r="N975" s="159"/>
      <c r="O975" s="159"/>
      <c r="P975" s="159"/>
      <c r="Q975" s="159"/>
      <c r="R975" s="160"/>
      <c r="S975" s="160"/>
    </row>
    <row r="976">
      <c r="A976" s="155"/>
      <c r="B976" s="155"/>
      <c r="C976" s="192"/>
      <c r="D976" s="159"/>
      <c r="E976" s="159"/>
      <c r="F976" s="193"/>
      <c r="G976" s="182"/>
      <c r="H976" s="182"/>
      <c r="M976" s="155"/>
      <c r="N976" s="159"/>
      <c r="O976" s="159"/>
      <c r="P976" s="159"/>
      <c r="Q976" s="159"/>
      <c r="R976" s="160"/>
      <c r="S976" s="160"/>
    </row>
    <row r="977">
      <c r="A977" s="155"/>
      <c r="B977" s="155"/>
      <c r="C977" s="192"/>
      <c r="D977" s="159"/>
      <c r="E977" s="159"/>
      <c r="F977" s="193"/>
      <c r="G977" s="182"/>
      <c r="H977" s="182"/>
      <c r="M977" s="155"/>
      <c r="N977" s="159"/>
      <c r="O977" s="159"/>
      <c r="P977" s="159"/>
      <c r="Q977" s="159"/>
      <c r="R977" s="160"/>
      <c r="S977" s="160"/>
    </row>
    <row r="978">
      <c r="A978" s="155"/>
      <c r="B978" s="155"/>
      <c r="C978" s="192"/>
      <c r="D978" s="159"/>
      <c r="E978" s="159"/>
      <c r="F978" s="193"/>
      <c r="G978" s="182"/>
      <c r="H978" s="182"/>
      <c r="M978" s="155"/>
      <c r="N978" s="159"/>
      <c r="O978" s="159"/>
      <c r="P978" s="159"/>
      <c r="Q978" s="159"/>
      <c r="R978" s="160"/>
      <c r="S978" s="160"/>
    </row>
    <row r="979">
      <c r="A979" s="155"/>
      <c r="B979" s="155"/>
      <c r="C979" s="192"/>
      <c r="D979" s="159"/>
      <c r="E979" s="159"/>
      <c r="F979" s="193"/>
      <c r="G979" s="182"/>
      <c r="H979" s="182"/>
      <c r="M979" s="155"/>
      <c r="N979" s="159"/>
      <c r="O979" s="159"/>
      <c r="P979" s="159"/>
      <c r="Q979" s="159"/>
      <c r="R979" s="160"/>
      <c r="S979" s="160"/>
    </row>
    <row r="980">
      <c r="A980" s="155"/>
      <c r="B980" s="155"/>
      <c r="C980" s="192"/>
      <c r="D980" s="159"/>
      <c r="E980" s="159"/>
      <c r="F980" s="193"/>
      <c r="G980" s="182"/>
      <c r="H980" s="182"/>
      <c r="M980" s="155"/>
      <c r="N980" s="159"/>
      <c r="O980" s="159"/>
      <c r="P980" s="159"/>
      <c r="Q980" s="159"/>
      <c r="R980" s="160"/>
      <c r="S980" s="160"/>
    </row>
    <row r="981">
      <c r="A981" s="155"/>
      <c r="B981" s="155"/>
      <c r="C981" s="192"/>
      <c r="D981" s="159"/>
      <c r="E981" s="159"/>
      <c r="F981" s="193"/>
      <c r="G981" s="182"/>
      <c r="H981" s="182"/>
      <c r="M981" s="155"/>
      <c r="N981" s="159"/>
      <c r="O981" s="159"/>
      <c r="P981" s="159"/>
      <c r="Q981" s="159"/>
      <c r="R981" s="160"/>
      <c r="S981" s="160"/>
    </row>
    <row r="982">
      <c r="A982" s="155"/>
      <c r="B982" s="155"/>
      <c r="C982" s="192"/>
      <c r="D982" s="159"/>
      <c r="E982" s="159"/>
      <c r="F982" s="193"/>
      <c r="G982" s="182"/>
      <c r="H982" s="182"/>
      <c r="M982" s="155"/>
      <c r="N982" s="159"/>
      <c r="O982" s="159"/>
      <c r="P982" s="159"/>
      <c r="Q982" s="159"/>
      <c r="R982" s="160"/>
      <c r="S982" s="160"/>
    </row>
    <row r="983">
      <c r="A983" s="155"/>
      <c r="B983" s="155"/>
      <c r="C983" s="192"/>
      <c r="D983" s="159"/>
      <c r="E983" s="159"/>
      <c r="F983" s="193"/>
      <c r="G983" s="182"/>
      <c r="H983" s="182"/>
      <c r="M983" s="155"/>
      <c r="N983" s="159"/>
      <c r="O983" s="159"/>
      <c r="P983" s="159"/>
      <c r="Q983" s="159"/>
      <c r="R983" s="160"/>
      <c r="S983" s="160"/>
    </row>
    <row r="984">
      <c r="A984" s="155"/>
      <c r="B984" s="155"/>
      <c r="C984" s="192"/>
      <c r="D984" s="159"/>
      <c r="E984" s="159"/>
      <c r="F984" s="193"/>
      <c r="G984" s="182"/>
      <c r="H984" s="182"/>
      <c r="M984" s="155"/>
      <c r="N984" s="159"/>
      <c r="O984" s="159"/>
      <c r="P984" s="159"/>
      <c r="Q984" s="159"/>
      <c r="R984" s="160"/>
      <c r="S984" s="160"/>
    </row>
    <row r="985">
      <c r="A985" s="155"/>
      <c r="B985" s="155"/>
      <c r="C985" s="192"/>
      <c r="D985" s="159"/>
      <c r="E985" s="159"/>
      <c r="F985" s="193"/>
      <c r="G985" s="182"/>
      <c r="H985" s="182"/>
      <c r="M985" s="155"/>
      <c r="N985" s="159"/>
      <c r="O985" s="159"/>
      <c r="P985" s="159"/>
      <c r="Q985" s="159"/>
      <c r="R985" s="160"/>
      <c r="S985" s="160"/>
    </row>
    <row r="986">
      <c r="A986" s="155"/>
      <c r="B986" s="155"/>
      <c r="C986" s="192"/>
      <c r="D986" s="159"/>
      <c r="E986" s="159"/>
      <c r="F986" s="193"/>
      <c r="G986" s="182"/>
      <c r="H986" s="182"/>
      <c r="M986" s="155"/>
      <c r="N986" s="159"/>
      <c r="O986" s="159"/>
      <c r="P986" s="159"/>
      <c r="Q986" s="159"/>
      <c r="R986" s="160"/>
      <c r="S986" s="160"/>
    </row>
    <row r="987">
      <c r="A987" s="155"/>
      <c r="B987" s="155"/>
      <c r="C987" s="192"/>
      <c r="D987" s="159"/>
      <c r="E987" s="159"/>
      <c r="F987" s="193"/>
      <c r="G987" s="182"/>
      <c r="H987" s="182"/>
      <c r="M987" s="155"/>
      <c r="N987" s="159"/>
      <c r="O987" s="159"/>
      <c r="P987" s="159"/>
      <c r="Q987" s="159"/>
      <c r="R987" s="160"/>
      <c r="S987" s="160"/>
    </row>
    <row r="988">
      <c r="A988" s="155"/>
      <c r="B988" s="155"/>
      <c r="C988" s="192"/>
      <c r="D988" s="159"/>
      <c r="E988" s="159"/>
      <c r="F988" s="193"/>
      <c r="G988" s="182"/>
      <c r="H988" s="182"/>
      <c r="M988" s="155"/>
      <c r="N988" s="159"/>
      <c r="O988" s="159"/>
      <c r="P988" s="159"/>
      <c r="Q988" s="159"/>
      <c r="R988" s="160"/>
      <c r="S988" s="160"/>
    </row>
    <row r="989">
      <c r="A989" s="155"/>
      <c r="B989" s="155"/>
      <c r="C989" s="192"/>
      <c r="D989" s="159"/>
      <c r="E989" s="159"/>
      <c r="F989" s="193"/>
      <c r="G989" s="182"/>
      <c r="H989" s="182"/>
      <c r="M989" s="155"/>
      <c r="N989" s="159"/>
      <c r="O989" s="159"/>
      <c r="P989" s="159"/>
      <c r="Q989" s="159"/>
      <c r="R989" s="160"/>
      <c r="S989" s="160"/>
    </row>
    <row r="990">
      <c r="A990" s="155"/>
      <c r="B990" s="155"/>
      <c r="C990" s="192"/>
      <c r="D990" s="159"/>
      <c r="E990" s="159"/>
      <c r="F990" s="193"/>
      <c r="G990" s="182"/>
      <c r="H990" s="182"/>
      <c r="M990" s="155"/>
      <c r="N990" s="159"/>
      <c r="O990" s="159"/>
      <c r="P990" s="159"/>
      <c r="Q990" s="159"/>
      <c r="R990" s="160"/>
      <c r="S990" s="160"/>
    </row>
    <row r="991">
      <c r="A991" s="155"/>
      <c r="B991" s="155"/>
      <c r="C991" s="192"/>
      <c r="D991" s="159"/>
      <c r="E991" s="159"/>
      <c r="F991" s="193"/>
      <c r="G991" s="182"/>
      <c r="H991" s="182"/>
      <c r="M991" s="155"/>
      <c r="N991" s="159"/>
      <c r="O991" s="159"/>
      <c r="P991" s="159"/>
      <c r="Q991" s="159"/>
      <c r="R991" s="160"/>
      <c r="S991" s="160"/>
    </row>
    <row r="992">
      <c r="A992" s="155"/>
      <c r="B992" s="155"/>
      <c r="C992" s="192"/>
      <c r="D992" s="159"/>
      <c r="E992" s="159"/>
      <c r="F992" s="193"/>
      <c r="G992" s="182"/>
      <c r="H992" s="182"/>
      <c r="M992" s="155"/>
      <c r="N992" s="159"/>
      <c r="O992" s="159"/>
      <c r="P992" s="159"/>
      <c r="Q992" s="159"/>
      <c r="R992" s="160"/>
      <c r="S992" s="160"/>
    </row>
    <row r="993">
      <c r="A993" s="155"/>
      <c r="B993" s="155"/>
      <c r="C993" s="192"/>
      <c r="D993" s="159"/>
      <c r="E993" s="159"/>
      <c r="F993" s="193"/>
      <c r="G993" s="182"/>
      <c r="H993" s="182"/>
      <c r="M993" s="155"/>
      <c r="N993" s="159"/>
      <c r="O993" s="159"/>
      <c r="P993" s="159"/>
      <c r="Q993" s="159"/>
      <c r="R993" s="160"/>
      <c r="S993" s="160"/>
    </row>
    <row r="994">
      <c r="A994" s="155"/>
      <c r="B994" s="155"/>
      <c r="C994" s="192"/>
      <c r="D994" s="159"/>
      <c r="E994" s="159"/>
      <c r="F994" s="193"/>
      <c r="G994" s="182"/>
      <c r="H994" s="182"/>
      <c r="M994" s="155"/>
      <c r="N994" s="159"/>
      <c r="O994" s="159"/>
      <c r="P994" s="159"/>
      <c r="Q994" s="159"/>
      <c r="R994" s="160"/>
      <c r="S994" s="160"/>
    </row>
    <row r="995">
      <c r="A995" s="155"/>
      <c r="B995" s="155"/>
      <c r="C995" s="192"/>
      <c r="D995" s="159"/>
      <c r="E995" s="159"/>
      <c r="F995" s="193"/>
      <c r="G995" s="182"/>
      <c r="H995" s="182"/>
      <c r="M995" s="155"/>
      <c r="N995" s="159"/>
      <c r="O995" s="159"/>
      <c r="P995" s="159"/>
      <c r="Q995" s="159"/>
      <c r="R995" s="160"/>
      <c r="S995" s="160"/>
    </row>
    <row r="996">
      <c r="A996" s="155"/>
      <c r="B996" s="155"/>
      <c r="C996" s="192"/>
      <c r="D996" s="159"/>
      <c r="E996" s="159"/>
      <c r="F996" s="193"/>
      <c r="G996" s="182"/>
      <c r="H996" s="182"/>
      <c r="M996" s="155"/>
      <c r="N996" s="159"/>
      <c r="O996" s="159"/>
      <c r="P996" s="159"/>
      <c r="Q996" s="159"/>
      <c r="R996" s="160"/>
      <c r="S996" s="160"/>
    </row>
    <row r="997">
      <c r="A997" s="155"/>
      <c r="B997" s="155"/>
      <c r="C997" s="192"/>
      <c r="D997" s="159"/>
      <c r="E997" s="159"/>
      <c r="F997" s="193"/>
      <c r="G997" s="182"/>
      <c r="H997" s="182"/>
      <c r="M997" s="155"/>
      <c r="N997" s="159"/>
      <c r="O997" s="159"/>
      <c r="P997" s="159"/>
      <c r="Q997" s="159"/>
      <c r="R997" s="160"/>
      <c r="S997" s="160"/>
    </row>
    <row r="998">
      <c r="A998" s="155"/>
      <c r="B998" s="155"/>
      <c r="C998" s="192"/>
      <c r="D998" s="159"/>
      <c r="E998" s="159"/>
      <c r="F998" s="193"/>
      <c r="G998" s="182"/>
      <c r="H998" s="182"/>
      <c r="M998" s="155"/>
      <c r="N998" s="159"/>
      <c r="O998" s="159"/>
      <c r="P998" s="159"/>
      <c r="Q998" s="159"/>
      <c r="R998" s="160"/>
      <c r="S998" s="160"/>
    </row>
    <row r="999">
      <c r="A999" s="155"/>
      <c r="B999" s="155"/>
      <c r="C999" s="192"/>
      <c r="D999" s="159"/>
      <c r="E999" s="159"/>
      <c r="F999" s="193"/>
      <c r="G999" s="182"/>
      <c r="H999" s="182"/>
      <c r="M999" s="155"/>
      <c r="N999" s="159"/>
      <c r="O999" s="159"/>
      <c r="P999" s="159"/>
      <c r="Q999" s="159"/>
      <c r="R999" s="160"/>
      <c r="S999" s="160"/>
    </row>
    <row r="1000">
      <c r="A1000" s="155"/>
      <c r="B1000" s="155"/>
      <c r="C1000" s="192"/>
      <c r="D1000" s="159"/>
      <c r="E1000" s="159"/>
      <c r="F1000" s="193"/>
      <c r="G1000" s="182"/>
      <c r="H1000" s="182"/>
      <c r="M1000" s="155"/>
      <c r="N1000" s="159"/>
      <c r="O1000" s="159"/>
      <c r="P1000" s="159"/>
      <c r="Q1000" s="159"/>
      <c r="R1000" s="160"/>
      <c r="S1000" s="160"/>
    </row>
    <row r="1001">
      <c r="A1001" s="155"/>
      <c r="B1001" s="155"/>
      <c r="C1001" s="192"/>
      <c r="D1001" s="159"/>
      <c r="E1001" s="159"/>
      <c r="F1001" s="193"/>
      <c r="G1001" s="182"/>
      <c r="H1001" s="182"/>
      <c r="M1001" s="155"/>
      <c r="N1001" s="159"/>
      <c r="O1001" s="159"/>
      <c r="P1001" s="159"/>
      <c r="Q1001" s="159"/>
      <c r="R1001" s="160"/>
      <c r="S1001" s="160"/>
    </row>
    <row r="1002">
      <c r="A1002" s="155"/>
      <c r="B1002" s="155"/>
      <c r="C1002" s="192"/>
      <c r="D1002" s="159"/>
      <c r="E1002" s="159"/>
      <c r="F1002" s="193"/>
      <c r="G1002" s="182"/>
      <c r="H1002" s="182"/>
      <c r="M1002" s="155"/>
      <c r="N1002" s="159"/>
      <c r="O1002" s="159"/>
      <c r="P1002" s="159"/>
      <c r="Q1002" s="159"/>
      <c r="R1002" s="160"/>
      <c r="S1002" s="160"/>
    </row>
    <row r="1003">
      <c r="A1003" s="155"/>
      <c r="B1003" s="155"/>
      <c r="C1003" s="192"/>
      <c r="D1003" s="159"/>
      <c r="E1003" s="159"/>
      <c r="F1003" s="193"/>
      <c r="G1003" s="182"/>
      <c r="H1003" s="182"/>
      <c r="M1003" s="155"/>
      <c r="N1003" s="159"/>
      <c r="O1003" s="159"/>
      <c r="P1003" s="159"/>
      <c r="Q1003" s="159"/>
      <c r="R1003" s="160"/>
      <c r="S1003" s="160"/>
    </row>
  </sheetData>
  <customSheetViews>
    <customSheetView guid="{BEC4E199-EA47-4F7C-B7F2-B67A3BA024A0}" filter="1" showAutoFilter="1">
      <autoFilter ref="$B$5:$H$443">
        <sortState ref="B5:H443">
          <sortCondition ref="H5:H443"/>
        </sortState>
      </autoFilter>
    </customSheetView>
  </customSheetViews>
  <mergeCells count="2">
    <mergeCell ref="J5:K5"/>
    <mergeCell ref="U5:V5"/>
  </mergeCells>
  <drawing r:id="rId1"/>
</worksheet>
</file>