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Projetos_Pessoais\Previsão - Intrabancário Bacen\"/>
    </mc:Choice>
  </mc:AlternateContent>
  <xr:revisionPtr revIDLastSave="0" documentId="8_{CB815091-E525-4E55-A7C7-65BF1684D643}" xr6:coauthVersionLast="47" xr6:coauthVersionMax="47" xr10:uidLastSave="{00000000-0000-0000-0000-000000000000}"/>
  <bookViews>
    <workbookView xWindow="-23148" yWindow="-108" windowWidth="23256" windowHeight="12456" activeTab="1" xr2:uid="{E2BDCE24-56C5-4F08-9C5E-AF45BB392DF0}"/>
  </bookViews>
  <sheets>
    <sheet name="Dados BACEN" sheetId="1" r:id="rId1"/>
    <sheet name="Análises - Corr. Bol. Intra" sheetId="2" r:id="rId2"/>
    <sheet name="Planilha2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2" l="1" a="1"/>
  <c r="A14" i="2" s="1"/>
  <c r="A13" i="2"/>
  <c r="A12" i="2"/>
  <c r="A11" i="2"/>
  <c r="D15" i="2"/>
  <c r="A10" i="2"/>
  <c r="A9" i="2"/>
  <c r="A8" i="2"/>
  <c r="A7" i="2"/>
  <c r="A6" i="2"/>
  <c r="A5" i="2"/>
  <c r="A4" i="2"/>
  <c r="A3" i="2"/>
  <c r="AG14" i="2"/>
  <c r="AG13" i="2"/>
  <c r="AG12" i="2"/>
  <c r="AG11" i="2"/>
  <c r="AG10" i="2"/>
  <c r="AG9" i="2"/>
  <c r="AG8" i="2"/>
  <c r="AG7" i="2"/>
  <c r="AG6" i="2"/>
  <c r="AG5" i="2"/>
  <c r="AG4" i="2"/>
  <c r="AE14" i="2"/>
  <c r="AE13" i="2"/>
  <c r="AE12" i="2"/>
  <c r="AE11" i="2"/>
  <c r="AE10" i="2"/>
  <c r="AE9" i="2"/>
  <c r="AE8" i="2"/>
  <c r="AE7" i="2"/>
  <c r="AE6" i="2"/>
  <c r="AE5" i="2"/>
  <c r="AE4" i="2"/>
  <c r="AC14" i="2"/>
  <c r="AC13" i="2"/>
  <c r="AC12" i="2"/>
  <c r="AC11" i="2"/>
  <c r="AC10" i="2"/>
  <c r="AC9" i="2"/>
  <c r="AC8" i="2"/>
  <c r="AC7" i="2"/>
  <c r="AC6" i="2"/>
  <c r="AA14" i="2"/>
  <c r="AA13" i="2"/>
  <c r="AA12" i="2"/>
  <c r="AA11" i="2"/>
  <c r="AA10" i="2"/>
  <c r="AA9" i="2"/>
  <c r="AA8" i="2"/>
  <c r="AA7" i="2"/>
  <c r="AA6" i="2"/>
  <c r="AA5" i="2"/>
  <c r="AA4" i="2"/>
  <c r="Y14" i="2"/>
  <c r="Y13" i="2"/>
  <c r="Y12" i="2"/>
  <c r="Y11" i="2"/>
  <c r="Y10" i="2"/>
  <c r="Y9" i="2"/>
  <c r="Y8" i="2"/>
  <c r="Y7" i="2"/>
  <c r="Y6" i="2"/>
  <c r="Y5" i="2"/>
  <c r="Y4" i="2"/>
  <c r="W14" i="2"/>
  <c r="W13" i="2"/>
  <c r="W12" i="2"/>
  <c r="W11" i="2"/>
  <c r="W10" i="2"/>
  <c r="W9" i="2"/>
  <c r="W8" i="2"/>
  <c r="W7" i="2"/>
  <c r="W6" i="2"/>
  <c r="W5" i="2"/>
  <c r="W4" i="2"/>
  <c r="D8" i="4"/>
  <c r="E6" i="4" s="1"/>
  <c r="F6" i="4" s="1"/>
  <c r="H6" i="4" s="1"/>
  <c r="AF23" i="2"/>
  <c r="AD23" i="2"/>
  <c r="AF29" i="2" a="1"/>
  <c r="AF29" i="2" s="1"/>
  <c r="AD29" i="2" a="1"/>
  <c r="AD29" i="2" s="1"/>
  <c r="AF28" i="2" a="1"/>
  <c r="AF28" i="2" s="1"/>
  <c r="AF27" i="2" a="1"/>
  <c r="AF27" i="2" s="1"/>
  <c r="AF26" i="2" a="1"/>
  <c r="AF26" i="2" s="1"/>
  <c r="AF25" i="2" a="1"/>
  <c r="AF25" i="2" s="1"/>
  <c r="AF22" i="2"/>
  <c r="AF21" i="2"/>
  <c r="AF20" i="2"/>
  <c r="AF19" i="2"/>
  <c r="AD28" i="2" a="1"/>
  <c r="AD28" i="2" s="1"/>
  <c r="AD27" i="2" a="1"/>
  <c r="AD27" i="2" s="1"/>
  <c r="AD26" i="2" a="1"/>
  <c r="AD26" i="2" s="1"/>
  <c r="AD25" i="2" a="1"/>
  <c r="AD25" i="2" s="1"/>
  <c r="AD22" i="2"/>
  <c r="AD21" i="2"/>
  <c r="AD20" i="2"/>
  <c r="AD19" i="2"/>
  <c r="I6" i="4" l="1"/>
  <c r="E4" i="4"/>
  <c r="E3" i="4"/>
  <c r="E5" i="4"/>
  <c r="AB28" i="2" a="1"/>
  <c r="AB28" i="2" s="1"/>
  <c r="AB27" i="2" a="1"/>
  <c r="AB27" i="2" s="1"/>
  <c r="AB26" i="2" a="1"/>
  <c r="AB26" i="2" s="1"/>
  <c r="AB25" i="2" a="1"/>
  <c r="AB25" i="2" s="1"/>
  <c r="AB22" i="2"/>
  <c r="AB21" i="2"/>
  <c r="AB20" i="2"/>
  <c r="AB19" i="2"/>
  <c r="Z29" i="2" a="1"/>
  <c r="Z29" i="2" s="1"/>
  <c r="Z28" i="2" a="1"/>
  <c r="Z28" i="2" s="1"/>
  <c r="Z27" i="2" a="1"/>
  <c r="Z27" i="2" s="1"/>
  <c r="Z26" i="2" a="1"/>
  <c r="Z26" i="2" s="1"/>
  <c r="Z25" i="2" a="1"/>
  <c r="Z25" i="2" s="1"/>
  <c r="Z23" i="2"/>
  <c r="Z22" i="2"/>
  <c r="Z21" i="2"/>
  <c r="Z20" i="2"/>
  <c r="Z19" i="2"/>
  <c r="X29" i="2" a="1"/>
  <c r="X29" i="2" s="1"/>
  <c r="X28" i="2" a="1"/>
  <c r="X28" i="2" s="1"/>
  <c r="X27" i="2" a="1"/>
  <c r="X27" i="2" s="1"/>
  <c r="X26" i="2" a="1"/>
  <c r="X26" i="2" s="1"/>
  <c r="X25" i="2" a="1"/>
  <c r="X25" i="2" s="1"/>
  <c r="X23" i="2"/>
  <c r="X22" i="2"/>
  <c r="X21" i="2"/>
  <c r="X20" i="2"/>
  <c r="X19" i="2"/>
  <c r="V19" i="2"/>
  <c r="V29" i="2" a="1"/>
  <c r="V29" i="2" s="1"/>
  <c r="V28" i="2" a="1"/>
  <c r="V28" i="2" s="1"/>
  <c r="V27" i="2" a="1"/>
  <c r="V27" i="2" s="1"/>
  <c r="V26" i="2" a="1"/>
  <c r="V26" i="2" s="1"/>
  <c r="V25" i="2" a="1"/>
  <c r="V25" i="2" s="1"/>
  <c r="V23" i="2"/>
  <c r="V22" i="2"/>
  <c r="V21" i="2"/>
  <c r="V20" i="2"/>
  <c r="D14" i="2"/>
  <c r="D13" i="2"/>
  <c r="D12" i="2"/>
  <c r="D11" i="2"/>
  <c r="D10" i="2"/>
  <c r="D9" i="2"/>
  <c r="D8" i="2"/>
  <c r="D7" i="2"/>
  <c r="D6" i="2"/>
  <c r="D5" i="2"/>
  <c r="D4" i="2"/>
  <c r="I15" i="2"/>
  <c r="I14" i="2"/>
  <c r="I13" i="2"/>
  <c r="I12" i="2"/>
  <c r="I11" i="2"/>
  <c r="M11" i="2" s="1"/>
  <c r="I10" i="2"/>
  <c r="I9" i="2"/>
  <c r="I26" i="2" s="1" a="1"/>
  <c r="I26" i="2" s="1"/>
  <c r="I8" i="2"/>
  <c r="I7" i="2"/>
  <c r="I6" i="2"/>
  <c r="I5" i="2"/>
  <c r="M5" i="2" s="1"/>
  <c r="I4" i="2"/>
  <c r="I3" i="2"/>
  <c r="F15" i="2"/>
  <c r="F14" i="2"/>
  <c r="L14" i="2" s="1"/>
  <c r="F13" i="2"/>
  <c r="L13" i="2" s="1"/>
  <c r="F12" i="2"/>
  <c r="L12" i="2" s="1"/>
  <c r="F11" i="2"/>
  <c r="F19" i="2" s="1"/>
  <c r="F10" i="2"/>
  <c r="F9" i="2"/>
  <c r="L9" i="2" s="1"/>
  <c r="F8" i="2"/>
  <c r="F7" i="2"/>
  <c r="L7" i="2" s="1"/>
  <c r="F6" i="2"/>
  <c r="L6" i="2" s="1"/>
  <c r="F5" i="2"/>
  <c r="F4" i="2"/>
  <c r="L4" i="2" s="1"/>
  <c r="F3" i="2"/>
  <c r="C17" i="1"/>
  <c r="K26" i="1" a="1"/>
  <c r="K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F5" i="4" l="1"/>
  <c r="H5" i="4" s="1"/>
  <c r="I5" i="4"/>
  <c r="F3" i="4"/>
  <c r="H3" i="4" s="1"/>
  <c r="I3" i="4"/>
  <c r="F4" i="4"/>
  <c r="H4" i="4" s="1"/>
  <c r="I4" i="4"/>
  <c r="J5" i="2"/>
  <c r="J6" i="2"/>
  <c r="F20" i="2"/>
  <c r="F22" i="2"/>
  <c r="I19" i="2"/>
  <c r="J8" i="2"/>
  <c r="I21" i="2"/>
  <c r="L11" i="2"/>
  <c r="O14" i="2" s="1"/>
  <c r="P14" i="2" s="1"/>
  <c r="J12" i="2"/>
  <c r="I22" i="2"/>
  <c r="M12" i="2"/>
  <c r="J13" i="2"/>
  <c r="F23" i="2"/>
  <c r="M13" i="2"/>
  <c r="J14" i="2"/>
  <c r="I29" i="2" a="1"/>
  <c r="I29" i="2" s="1"/>
  <c r="M3" i="2"/>
  <c r="J4" i="2"/>
  <c r="M4" i="2"/>
  <c r="L5" i="2"/>
  <c r="O8" i="2" s="1"/>
  <c r="I28" i="2" a="1"/>
  <c r="I28" i="2" s="1"/>
  <c r="I27" i="2" a="1"/>
  <c r="I27" i="2" s="1"/>
  <c r="F21" i="2"/>
  <c r="M7" i="2"/>
  <c r="M9" i="2"/>
  <c r="J10" i="2"/>
  <c r="I20" i="2"/>
  <c r="L10" i="2"/>
  <c r="M10" i="2"/>
  <c r="G12" i="2"/>
  <c r="F29" i="2" a="1"/>
  <c r="F29" i="2" s="1"/>
  <c r="I23" i="2"/>
  <c r="M14" i="2"/>
  <c r="G4" i="2"/>
  <c r="J15" i="2"/>
  <c r="L3" i="2"/>
  <c r="G7" i="2"/>
  <c r="M6" i="2"/>
  <c r="G8" i="2"/>
  <c r="L8" i="2"/>
  <c r="O11" i="2" s="1"/>
  <c r="M8" i="2"/>
  <c r="F27" i="2" a="1"/>
  <c r="F27" i="2" s="1"/>
  <c r="G9" i="2"/>
  <c r="J7" i="2"/>
  <c r="G10" i="2"/>
  <c r="F26" i="2" a="1"/>
  <c r="F26" i="2" s="1"/>
  <c r="G11" i="2"/>
  <c r="J9" i="2"/>
  <c r="F25" i="2" a="1"/>
  <c r="F25" i="2" s="1"/>
  <c r="I25" i="2" a="1"/>
  <c r="I25" i="2" s="1"/>
  <c r="G13" i="2"/>
  <c r="J11" i="2"/>
  <c r="G14" i="2"/>
  <c r="G15" i="2"/>
  <c r="G5" i="2"/>
  <c r="G6" i="2"/>
  <c r="F28" i="2" a="1"/>
  <c r="F28" i="2" s="1"/>
  <c r="J3" i="4" l="1"/>
  <c r="P8" i="2"/>
  <c r="R8" i="2"/>
  <c r="S8" i="2" s="1"/>
  <c r="T8" i="2" s="1"/>
  <c r="R6" i="2"/>
  <c r="S6" i="2" s="1"/>
  <c r="R10" i="2"/>
  <c r="S10" i="2" s="1"/>
  <c r="T10" i="2" s="1"/>
  <c r="R12" i="2"/>
  <c r="S12" i="2" s="1"/>
  <c r="T12" i="2" s="1"/>
  <c r="R14" i="2"/>
  <c r="S14" i="2" s="1"/>
  <c r="T14" i="2" s="1"/>
  <c r="R11" i="2"/>
  <c r="S11" i="2" s="1"/>
  <c r="T11" i="2" s="1"/>
  <c r="R7" i="2"/>
  <c r="S7" i="2" s="1"/>
  <c r="T7" i="2" s="1"/>
  <c r="R9" i="2"/>
  <c r="S9" i="2" s="1"/>
  <c r="T9" i="2" s="1"/>
  <c r="R13" i="2"/>
  <c r="S13" i="2" s="1"/>
  <c r="T13" i="2" s="1"/>
  <c r="P11" i="2"/>
  <c r="O13" i="2"/>
  <c r="P13" i="2" s="1"/>
  <c r="O9" i="2"/>
  <c r="P9" i="2" s="1"/>
  <c r="O6" i="2"/>
  <c r="P6" i="2" s="1"/>
  <c r="O7" i="2"/>
  <c r="P7" i="2" s="1"/>
  <c r="O12" i="2"/>
  <c r="P12" i="2" s="1"/>
  <c r="O10" i="2"/>
  <c r="P10" i="2" s="1"/>
  <c r="L17" i="2"/>
  <c r="M17" i="2"/>
  <c r="T6" i="2" l="1"/>
  <c r="T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tc={CC46A99D-595F-4EFA-974E-118E6942BAB8}</author>
    <author>tc={FAE6438D-CFD7-4429-88A2-A4A521280811}</author>
    <author>tc={F6F2FD94-E686-44EA-AF0E-41DDBDB32F11}</author>
    <author>tc={E4A0B7B3-06BA-4910-9E6E-E24F0E19741C}</author>
    <author>tc={67A34750-138B-4D23-A049-B8E86515B10E}</author>
    <author>tc={AEEE039B-32FF-49F8-9AB6-E22411376DAE}</author>
    <author>tc={C9967313-6AF9-4210-B2C0-6CA712F65699}</author>
  </authors>
  <commentList>
    <comment ref="V2" authorId="0" shapeId="0" xr:uid="{CC46A99D-595F-4EFA-974E-118E6942BA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https://www.ibge.gov.br/estatisticas/economicas/precos-e-custos/9258-indice-nacional-de-precos-ao-consumidor.html?=&amp;t=series-historicas</t>
      </text>
    </comment>
    <comment ref="X2" authorId="1" shapeId="0" xr:uid="{FAE6438D-CFD7-4429-88A2-A4A52128081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https://www.ibge.gov.br/estatisticas/economicas/precos-e-custos/9256-indice-nacional-de-precos-ao-consumidor-amplo.html?=&amp;t=series-historicas</t>
      </text>
    </comment>
    <comment ref="Z2" authorId="2" shapeId="0" xr:uid="{F6F2FD94-E686-44EA-AF0E-41DDBDB32F1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https://www.ibge.gov.br/estatisticas/economicas/industria/9018-pesquisa-anual-da-industria-da-construcao.html?=&amp;t=series-historicas</t>
      </text>
    </comment>
    <comment ref="AB2" authorId="3" shapeId="0" xr:uid="{E4A0B7B3-06BA-4910-9E6E-E24F0E19741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https://www.ibge.gov.br/estatisticas/economicas/precos-e-custos/9270-sistema-nacional-de-pesquisa-de-custos-e-indices-da-construcao-civil.html?=&amp;t=series-historicas</t>
      </text>
    </comment>
    <comment ref="AD2" authorId="4" shapeId="0" xr:uid="{67A34750-138B-4D23-A049-B8E86515B10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https://www.ibge.gov.br/estatisticas/economicas/industria/9294-pesquisa-industrial-mensal-producao-fisica-brasil.html?=&amp;t=series-historicas</t>
      </text>
    </comment>
    <comment ref="AF2" authorId="5" shapeId="0" xr:uid="{AEEE039B-32FF-49F8-9AB6-E22411376DA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https://www.ibge.gov.br/estatisticas/economicas/comercio/9227-pesquisa-mensal-de-comercio.html?=&amp;t=series-historicas</t>
      </text>
    </comment>
    <comment ref="D13" authorId="6" shapeId="0" xr:uid="{C9967313-6AF9-4210-B2C0-6CA712F6569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 que aconteceu nesse ano que fez com que o crescimento acelerado dos anos anteriores desse uma freada brusca?
Conseguimos encontrar alguma variável que explique ou tenha relação com esse comportamento?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<sst xmlns="http://schemas.openxmlformats.org/spreadsheetml/2006/main" count="90" uniqueCount="58">
  <si>
    <t>Boleto de pagamento</t>
  </si>
  <si>
    <t>Cheque</t>
  </si>
  <si>
    <t>Transferência entre clientes</t>
  </si>
  <si>
    <t>Arrecadações</t>
  </si>
  <si>
    <t>Crédito Direto</t>
  </si>
  <si>
    <t>Débito Direto</t>
  </si>
  <si>
    <t>Cartão de Débito</t>
  </si>
  <si>
    <t>Cartão de Crédito</t>
  </si>
  <si>
    <t>Cartão Pré-pago</t>
  </si>
  <si>
    <r>
      <t>Débito Direto</t>
    </r>
    <r>
      <rPr>
        <vertAlign val="superscript"/>
        <sz val="9"/>
        <color theme="1"/>
        <rFont val="Aptos Narrow"/>
        <family val="2"/>
        <scheme val="minor"/>
      </rPr>
      <t>1</t>
    </r>
  </si>
  <si>
    <r>
      <t>Pix</t>
    </r>
    <r>
      <rPr>
        <vertAlign val="superscript"/>
        <sz val="10"/>
        <color theme="1"/>
        <rFont val="Aptos Narrow"/>
        <family val="2"/>
        <scheme val="minor"/>
      </rPr>
      <t>2</t>
    </r>
  </si>
  <si>
    <t>DOC/TEC</t>
  </si>
  <si>
    <t>TED</t>
  </si>
  <si>
    <t>Boleto</t>
  </si>
  <si>
    <t>Somente Intrabancário</t>
  </si>
  <si>
    <t>Intra + Inter</t>
  </si>
  <si>
    <t>Corr. Pearson 4M</t>
  </si>
  <si>
    <t>Corr. Pearson 6M</t>
  </si>
  <si>
    <t>Corr. Pearson 8M</t>
  </si>
  <si>
    <t>Corr. Pearson 10M</t>
  </si>
  <si>
    <t>Corr. Pearson 12M</t>
  </si>
  <si>
    <t>Corr. Spearman 4M</t>
  </si>
  <si>
    <t>Corr. Spearman 6M</t>
  </si>
  <si>
    <t>Corr. Spearman 8M</t>
  </si>
  <si>
    <t>Corr. Spearman 10M</t>
  </si>
  <si>
    <t>Corr. Spearman 12M</t>
  </si>
  <si>
    <t>Boleto Intrabancario (R$ Bi)</t>
  </si>
  <si>
    <t>Boleto Interbancário (R$ Bi)</t>
  </si>
  <si>
    <t>TED Interbancário (R$ Bi)</t>
  </si>
  <si>
    <t>YoY</t>
  </si>
  <si>
    <t>-</t>
  </si>
  <si>
    <t>Anomes</t>
  </si>
  <si>
    <t>Boleto Intra/Boleto Inter</t>
  </si>
  <si>
    <t>Boleto Intra/TED Inter</t>
  </si>
  <si>
    <t>Desv. Pad</t>
  </si>
  <si>
    <t>INPC</t>
  </si>
  <si>
    <t>IPCA</t>
  </si>
  <si>
    <t>Nº Empresas Ativas</t>
  </si>
  <si>
    <t>Custo Médio m²</t>
  </si>
  <si>
    <t>Prod. Física Industrial</t>
  </si>
  <si>
    <t>Vendas Comercio</t>
  </si>
  <si>
    <t>Erro</t>
  </si>
  <si>
    <t>Prev. Méd. 3M</t>
  </si>
  <si>
    <t>Prop. Boleto Intra/Inter</t>
  </si>
  <si>
    <t>Prop. Boleto Intra/TED</t>
  </si>
  <si>
    <t>RMSE</t>
  </si>
  <si>
    <t>safra 1</t>
  </si>
  <si>
    <t>safra 2</t>
  </si>
  <si>
    <t>safra 3</t>
  </si>
  <si>
    <t>safra 4</t>
  </si>
  <si>
    <t>Média</t>
  </si>
  <si>
    <t>Ponderador</t>
  </si>
  <si>
    <t>TPV Jan</t>
  </si>
  <si>
    <t>TPV Jan Ponderado</t>
  </si>
  <si>
    <t>Índice</t>
  </si>
  <si>
    <t>Numerador</t>
  </si>
  <si>
    <t>Denominador</t>
  </si>
  <si>
    <t>Prev. Linear 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</si>
</sst>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_(* #,##0.00_);_(* \(#,##0.00\);_(* &quot;-&quot;??_);_(@_)"/>
    <numFmt numFmtId="166" formatCode="_(* #,##0_);_(* \(#,##0\);_(* &quot;-&quot;??_);_(@_)"/>
    <numFmt numFmtId="167" formatCode="0.0\ \p\.\p\."/>
    <numFmt numFmtId="172" formatCode="_-* #,##0.0_-;\-* #,##0.0_-;_-* &quot;-&quot;??_-;_-@_-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vertAlign val="superscript"/>
      <sz val="9"/>
      <color theme="1"/>
      <name val="Aptos Narrow"/>
      <family val="2"/>
      <scheme val="minor"/>
    </font>
    <font>
      <vertAlign val="superscript"/>
      <sz val="10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sz val="11"/>
      <color theme="4" tint="0.59999389629810485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Segoe UI"/>
      <charset val="1"/>
    </font>
    <font>
      <sz val="11"/>
      <color theme="1" tint="0.499984740745262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6" fillId="0" borderId="0" applyFont="0" applyFill="0" applyBorder="0" applyAlignment="0" applyProtection="0"/>
    <xf numFmtId="0" fontId="11" fillId="0" borderId="0"/>
  </cellStyleXfs>
  <cellXfs count="40">
    <xf numFmtId="0" fontId="0" fillId="0" borderId="0" xfId="0"/>
    <xf numFmtId="164" fontId="0" fillId="0" borderId="0" xfId="1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6" fontId="7" fillId="0" borderId="0" xfId="4" applyNumberFormat="1" applyFont="1" applyBorder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" fontId="7" fillId="0" borderId="0" xfId="0" applyNumberFormat="1" applyFont="1" applyAlignment="1">
      <alignment horizontal="right" vertical="center"/>
    </xf>
    <xf numFmtId="164" fontId="7" fillId="0" borderId="0" xfId="1" applyNumberFormat="1" applyFont="1" applyAlignment="1">
      <alignment horizontal="right" vertical="center"/>
    </xf>
    <xf numFmtId="166" fontId="7" fillId="0" borderId="0" xfId="4" applyNumberFormat="1" applyFont="1" applyFill="1" applyBorder="1" applyAlignment="1">
      <alignment horizontal="right" vertical="center"/>
    </xf>
    <xf numFmtId="164" fontId="7" fillId="0" borderId="0" xfId="1" applyNumberFormat="1" applyFont="1" applyAlignment="1">
      <alignment horizontal="center" vertical="center"/>
    </xf>
    <xf numFmtId="0" fontId="2" fillId="0" borderId="0" xfId="0" applyFont="1"/>
    <xf numFmtId="0" fontId="8" fillId="2" borderId="0" xfId="0" applyFont="1" applyFill="1"/>
    <xf numFmtId="0" fontId="8" fillId="3" borderId="0" xfId="0" applyFont="1" applyFill="1"/>
    <xf numFmtId="9" fontId="0" fillId="0" borderId="0" xfId="2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1" applyNumberFormat="1" applyFont="1" applyAlignment="1">
      <alignment horizontal="center"/>
    </xf>
    <xf numFmtId="0" fontId="9" fillId="0" borderId="0" xfId="0" applyFont="1" applyAlignment="1">
      <alignment horizontal="center"/>
    </xf>
    <xf numFmtId="164" fontId="9" fillId="0" borderId="0" xfId="1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9" fontId="0" fillId="0" borderId="0" xfId="2" applyFont="1" applyAlignment="1">
      <alignment horizontal="center"/>
    </xf>
    <xf numFmtId="9" fontId="0" fillId="0" borderId="0" xfId="0" applyNumberFormat="1" applyAlignment="1">
      <alignment horizontal="center"/>
    </xf>
    <xf numFmtId="0" fontId="11" fillId="0" borderId="0" xfId="5"/>
    <xf numFmtId="0" fontId="2" fillId="3" borderId="0" xfId="0" applyFont="1" applyFill="1" applyAlignment="1">
      <alignment horizontal="center"/>
    </xf>
    <xf numFmtId="167" fontId="0" fillId="0" borderId="0" xfId="0" applyNumberFormat="1"/>
    <xf numFmtId="167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  <xf numFmtId="167" fontId="2" fillId="0" borderId="0" xfId="0" applyNumberFormat="1" applyFont="1"/>
    <xf numFmtId="9" fontId="2" fillId="4" borderId="0" xfId="0" applyNumberFormat="1" applyFont="1" applyFill="1" applyAlignment="1">
      <alignment horizontal="center"/>
    </xf>
    <xf numFmtId="9" fontId="2" fillId="5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72" fontId="0" fillId="0" borderId="0" xfId="1" applyNumberFormat="1" applyFont="1" applyAlignment="1">
      <alignment horizontal="center"/>
    </xf>
    <xf numFmtId="164" fontId="14" fillId="0" borderId="0" xfId="0" applyNumberFormat="1" applyFont="1"/>
    <xf numFmtId="164" fontId="15" fillId="0" borderId="0" xfId="0" applyNumberFormat="1" applyFont="1"/>
  </cellXfs>
  <cellStyles count="6">
    <cellStyle name="Normal" xfId="0" builtinId="0"/>
    <cellStyle name="Normal 2" xfId="5" xr:uid="{413B2F02-0F27-4EE2-88DB-EE274067BFC8}"/>
    <cellStyle name="Normal 6" xfId="3" xr:uid="{571274A1-3F15-4AA5-90A7-D26A9D6D702E}"/>
    <cellStyle name="Porcentagem" xfId="2" builtinId="5"/>
    <cellStyle name="Separador de milhares 2" xfId="4" xr:uid="{A9DAAEC5-4D4E-4862-808A-C5B1C5E365AA}"/>
    <cellStyle name="Vírgula" xfId="1" builtinId="3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Séries</a:t>
            </a:r>
            <a:r>
              <a:rPr lang="pt-BR" baseline="0"/>
              <a:t> Históricas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'Análises - Corr. Bol. Intra'!$M$2</c:f>
              <c:strCache>
                <c:ptCount val="1"/>
                <c:pt idx="0">
                  <c:v>Boleto Intra/TED Inter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'Análises - Corr. Bol. Intra'!$B$3:$B$14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'Análises - Corr. Bol. Intra'!$M$3:$M$14</c:f>
              <c:numCache>
                <c:formatCode>0%</c:formatCode>
                <c:ptCount val="12"/>
                <c:pt idx="0">
                  <c:v>0.10265532844651923</c:v>
                </c:pt>
                <c:pt idx="1">
                  <c:v>0.10333593536238368</c:v>
                </c:pt>
                <c:pt idx="2">
                  <c:v>9.8073266470154741E-2</c:v>
                </c:pt>
                <c:pt idx="3">
                  <c:v>0.10767614024914089</c:v>
                </c:pt>
                <c:pt idx="4">
                  <c:v>9.7395157408014688E-2</c:v>
                </c:pt>
                <c:pt idx="5">
                  <c:v>9.2174743967915126E-2</c:v>
                </c:pt>
                <c:pt idx="6">
                  <c:v>8.8914875959546724E-2</c:v>
                </c:pt>
                <c:pt idx="7">
                  <c:v>0.11423801984922567</c:v>
                </c:pt>
                <c:pt idx="8">
                  <c:v>0.10309081111205719</c:v>
                </c:pt>
                <c:pt idx="9">
                  <c:v>0.10295151089248067</c:v>
                </c:pt>
                <c:pt idx="10">
                  <c:v>8.0353386621792172E-2</c:v>
                </c:pt>
                <c:pt idx="11">
                  <c:v>7.9600610009790199E-2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F3-4D7B-A816-F80EDEB45058}"/>
            </c:ext>
          </c:extLst>
        </c:ser>
        <c:ser>
          <c:idx val="1"/>
          <c:order val="1"/>
          <c:tx>
            <c:strRef>
              <c:f>'Análises - Corr. Bol. Intra'!$L$2</c:f>
              <c:strCache>
                <c:ptCount val="1"/>
                <c:pt idx="0">
                  <c:v>Boleto Intra/Boleto Inter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'Análises - Corr. Bol. Intra'!$B$3:$B$14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'Análises - Corr. Bol. Intra'!$L$3:$L$14</c:f>
              <c:numCache>
                <c:formatCode>0%</c:formatCode>
                <c:ptCount val="12"/>
                <c:pt idx="0">
                  <c:v>0.4730522711424659</c:v>
                </c:pt>
                <c:pt idx="1">
                  <c:v>0.45794348439587668</c:v>
                </c:pt>
                <c:pt idx="2">
                  <c:v>0.49398003584048078</c:v>
                </c:pt>
                <c:pt idx="3">
                  <c:v>0.55437950456033513</c:v>
                </c:pt>
                <c:pt idx="4">
                  <c:v>0.53706161056675383</c:v>
                </c:pt>
                <c:pt idx="5">
                  <c:v>0.50420868833252541</c:v>
                </c:pt>
                <c:pt idx="6">
                  <c:v>0.50177860405337071</c:v>
                </c:pt>
                <c:pt idx="7">
                  <c:v>0.68975965029717079</c:v>
                </c:pt>
                <c:pt idx="8">
                  <c:v>0.69263631433186157</c:v>
                </c:pt>
                <c:pt idx="9">
                  <c:v>0.76441429689538221</c:v>
                </c:pt>
                <c:pt idx="10">
                  <c:v>0.57128614157527413</c:v>
                </c:pt>
                <c:pt idx="11">
                  <c:v>0.6149445493354545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F3-4D7B-A816-F80EDEB450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11856303"/>
        <c:axId val="711856783"/>
      </c:lineChart>
      <c:catAx>
        <c:axId val="711856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1856783"/>
        <c:crosses val="autoZero"/>
        <c:auto val="1"/>
        <c:lblAlgn val="ctr"/>
        <c:lblOffset val="100"/>
        <c:noMultiLvlLbl val="0"/>
      </c:catAx>
      <c:valAx>
        <c:axId val="711856783"/>
        <c:scaling>
          <c:orientation val="minMax"/>
          <c:max val="0.8"/>
        </c:scaling>
        <c:delete val="1"/>
        <c:axPos val="l"/>
        <c:numFmt formatCode="0%" sourceLinked="1"/>
        <c:majorTickMark val="none"/>
        <c:minorTickMark val="none"/>
        <c:tickLblPos val="nextTo"/>
        <c:crossAx val="711856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'Análises - Corr. Bol. Intra'!$C$2</c:f>
              <c:strCache>
                <c:ptCount val="1"/>
                <c:pt idx="0">
                  <c:v>Boleto Intrabancario (R$ Bi)</c:v>
                </c:pt>
              </c:strCache>
            </c:strRef>
          </c:tx>
          <c:spPr>
            <a:ln w="381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'Análises - Corr. Bol. Intra'!$B$3:$B$15</c:f>
              <c:numCache>
                <c:formatCode>General</c:formatCode>
                <c:ptCount val="13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</c:numCache>
            </c:numRef>
          </c:cat>
          <c:val>
            <c:numRef>
              <c:f>'Análises - Corr. Bol. Intra'!$C$3:$C$15</c:f>
              <c:numCache>
                <c:formatCode>_-* #,##0_-;\-* #,##0_-;_-* "-"??_-;_-@_-</c:formatCode>
                <c:ptCount val="13"/>
                <c:pt idx="0">
                  <c:v>1045.8483799999999</c:v>
                </c:pt>
                <c:pt idx="1">
                  <c:v>1191.924213</c:v>
                </c:pt>
                <c:pt idx="2">
                  <c:v>1330.8542259999999</c:v>
                </c:pt>
                <c:pt idx="3">
                  <c:v>1504.020327</c:v>
                </c:pt>
                <c:pt idx="4">
                  <c:v>1484.9839649999999</c:v>
                </c:pt>
                <c:pt idx="5">
                  <c:v>1424.929367</c:v>
                </c:pt>
                <c:pt idx="6">
                  <c:v>1459.448774</c:v>
                </c:pt>
                <c:pt idx="7">
                  <c:v>2156.9280527732299</c:v>
                </c:pt>
                <c:pt idx="8">
                  <c:v>2431.4998708889807</c:v>
                </c:pt>
                <c:pt idx="9">
                  <c:v>2930</c:v>
                </c:pt>
                <c:pt idx="10">
                  <c:v>2865</c:v>
                </c:pt>
                <c:pt idx="11">
                  <c:v>3240.1428304485098</c:v>
                </c:pt>
                <c:pt idx="12">
                  <c:v>3303.75075765773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AF-4347-9EDA-BC568DF96858}"/>
            </c:ext>
          </c:extLst>
        </c:ser>
        <c:ser>
          <c:idx val="1"/>
          <c:order val="1"/>
          <c:tx>
            <c:strRef>
              <c:f>'Análises - Corr. Bol. Intra'!$A$2</c:f>
              <c:strCache>
                <c:ptCount val="1"/>
                <c:pt idx="0">
                  <c:v>Prev. Linear 8A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'Análises - Corr. Bol. Intra'!$B$3:$B$15</c:f>
              <c:numCache>
                <c:formatCode>General</c:formatCode>
                <c:ptCount val="13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</c:numCache>
            </c:numRef>
          </c:cat>
          <c:val>
            <c:numRef>
              <c:f>'Análises - Corr. Bol. Intra'!$A$3:$A$15</c:f>
              <c:numCache>
                <c:formatCode>_-* #,##0_-;\-* #,##0_-;_-* "-"??_-;_-@_-</c:formatCode>
                <c:ptCount val="13"/>
                <c:pt idx="0">
                  <c:v>1045.8483799999999</c:v>
                </c:pt>
                <c:pt idx="1">
                  <c:v>1191.924213</c:v>
                </c:pt>
                <c:pt idx="2">
                  <c:v>1330.8542259999999</c:v>
                </c:pt>
                <c:pt idx="3">
                  <c:v>1504.020327</c:v>
                </c:pt>
                <c:pt idx="4">
                  <c:v>1484.9839649999999</c:v>
                </c:pt>
                <c:pt idx="5">
                  <c:v>1424.929367</c:v>
                </c:pt>
                <c:pt idx="6">
                  <c:v>1459.448774</c:v>
                </c:pt>
                <c:pt idx="7">
                  <c:v>2156.9280527732299</c:v>
                </c:pt>
                <c:pt idx="8">
                  <c:v>2431.4998708889807</c:v>
                </c:pt>
                <c:pt idx="9">
                  <c:v>2930</c:v>
                </c:pt>
                <c:pt idx="10">
                  <c:v>2865</c:v>
                </c:pt>
                <c:pt idx="11">
                  <c:v>3128.6617593920673</c:v>
                </c:pt>
                <c:pt idx="12">
                  <c:v>3372.3418626830098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AF-4347-9EDA-BC568DF968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00802288"/>
        <c:axId val="700803248"/>
      </c:lineChart>
      <c:catAx>
        <c:axId val="70080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0803248"/>
        <c:crosses val="autoZero"/>
        <c:auto val="1"/>
        <c:lblAlgn val="ctr"/>
        <c:lblOffset val="100"/>
        <c:noMultiLvlLbl val="0"/>
      </c:catAx>
      <c:valAx>
        <c:axId val="700803248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70080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8965</xdr:colOff>
      <xdr:row>17</xdr:row>
      <xdr:rowOff>125507</xdr:rowOff>
    </xdr:from>
    <xdr:to>
      <xdr:col>20</xdr:col>
      <xdr:colOff>26894</xdr:colOff>
      <xdr:row>33</xdr:row>
      <xdr:rowOff>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F3D0851-CF95-2781-9FA3-8648F5E40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676834</xdr:colOff>
      <xdr:row>34</xdr:row>
      <xdr:rowOff>143435</xdr:rowOff>
    </xdr:from>
    <xdr:to>
      <xdr:col>11</xdr:col>
      <xdr:colOff>690281</xdr:colOff>
      <xdr:row>56</xdr:row>
      <xdr:rowOff>134469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87929B-3485-0618-B8E7-7DD4FA272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56</xdr:row>
      <xdr:rowOff>58951</xdr:rowOff>
    </xdr:from>
    <xdr:to>
      <xdr:col>17</xdr:col>
      <xdr:colOff>441960</xdr:colOff>
      <xdr:row>78</xdr:row>
      <xdr:rowOff>47200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EFB68CC-B329-D0AE-F130-B394E6C38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0300231"/>
          <a:ext cx="10370820" cy="4011609"/>
        </a:xfrm>
        <a:prstGeom prst="rect">
          <a:avLst/>
        </a:prstGeom>
        <a:ln>
          <a:solidFill>
            <a:srgbClr val="002060"/>
          </a:solidFill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17</xdr:col>
      <xdr:colOff>307211</xdr:colOff>
      <xdr:row>101</xdr:row>
      <xdr:rowOff>103974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53D36B6-6B5D-0A1D-E707-40D9574A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607040"/>
          <a:ext cx="10236071" cy="394445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17</xdr:col>
      <xdr:colOff>386466</xdr:colOff>
      <xdr:row>124</xdr:row>
      <xdr:rowOff>103974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589A64F-CFD4-30DC-391D-1775306AA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4813280"/>
          <a:ext cx="10315326" cy="3944454"/>
        </a:xfrm>
        <a:prstGeom prst="rect">
          <a:avLst/>
        </a:prstGeom>
      </xdr:spPr>
    </xdr:pic>
    <xdr:clientData/>
  </xdr:twoCellAnchor>
  <xdr:twoCellAnchor editAs="oneCell">
    <xdr:from>
      <xdr:col>2</xdr:col>
      <xdr:colOff>99060</xdr:colOff>
      <xdr:row>8</xdr:row>
      <xdr:rowOff>106680</xdr:rowOff>
    </xdr:from>
    <xdr:to>
      <xdr:col>17</xdr:col>
      <xdr:colOff>485526</xdr:colOff>
      <xdr:row>30</xdr:row>
      <xdr:rowOff>27774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536FBCDC-BA39-1E00-1260-27019BE81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8260" y="1569720"/>
          <a:ext cx="10315326" cy="394445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17</xdr:col>
      <xdr:colOff>386466</xdr:colOff>
      <xdr:row>52</xdr:row>
      <xdr:rowOff>103974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388D0829-5F5B-82C9-A549-18532F457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669280"/>
          <a:ext cx="10315326" cy="3944454"/>
        </a:xfrm>
        <a:prstGeom prst="rect">
          <a:avLst/>
        </a:prstGeom>
        <a:ln>
          <a:solidFill>
            <a:srgbClr val="002060"/>
          </a:solidFill>
        </a:ln>
      </xdr:spPr>
    </xdr:pic>
    <xdr:clientData/>
  </xdr:twoCellAnchor>
  <xdr:twoCellAnchor>
    <xdr:from>
      <xdr:col>17</xdr:col>
      <xdr:colOff>579120</xdr:colOff>
      <xdr:row>31</xdr:row>
      <xdr:rowOff>60960</xdr:rowOff>
    </xdr:from>
    <xdr:to>
      <xdr:col>20</xdr:col>
      <xdr:colOff>495300</xdr:colOff>
      <xdr:row>52</xdr:row>
      <xdr:rowOff>45720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6F376E40-689A-F36F-2801-E5E2611539BE}"/>
            </a:ext>
          </a:extLst>
        </xdr:cNvPr>
        <xdr:cNvSpPr/>
      </xdr:nvSpPr>
      <xdr:spPr>
        <a:xfrm>
          <a:off x="11727180" y="5730240"/>
          <a:ext cx="1744980" cy="3825240"/>
        </a:xfrm>
        <a:prstGeom prst="roundRect">
          <a:avLst>
            <a:gd name="adj" fmla="val 444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solidFill>
                <a:schemeClr val="tx1">
                  <a:lumMod val="95000"/>
                  <a:lumOff val="5000"/>
                </a:schemeClr>
              </a:solidFill>
            </a:rPr>
            <a:t>Curiosamente, um</a:t>
          </a:r>
          <a:r>
            <a:rPr lang="pt-BR" sz="1100" b="0" baseline="0">
              <a:solidFill>
                <a:schemeClr val="tx1">
                  <a:lumMod val="95000"/>
                  <a:lumOff val="5000"/>
                </a:schemeClr>
              </a:solidFill>
            </a:rPr>
            <a:t> modelo linar de 7 períodos (no caso, janela de 7 anos) da própria série nos dá um resultado altamente preciso.</a:t>
          </a:r>
        </a:p>
        <a:p>
          <a:pPr algn="l"/>
          <a:endParaRPr lang="pt-BR" sz="1100" b="0" baseline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pt-BR" sz="1100" b="0" baseline="0">
              <a:solidFill>
                <a:schemeClr val="tx1">
                  <a:lumMod val="95000"/>
                  <a:lumOff val="5000"/>
                </a:schemeClr>
              </a:solidFill>
            </a:rPr>
            <a:t>Porém, quando fazemos a validação cruzada com janela fixa de 7 anos para os demais anos históricos, notamos que esse resultado foi "sorte".</a:t>
          </a:r>
        </a:p>
        <a:p>
          <a:pPr algn="l"/>
          <a:endParaRPr lang="pt-BR" sz="1100" b="0" baseline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pt-BR" sz="1100" b="0" baseline="0">
              <a:solidFill>
                <a:schemeClr val="tx1">
                  <a:lumMod val="95000"/>
                  <a:lumOff val="5000"/>
                </a:schemeClr>
              </a:solidFill>
            </a:rPr>
            <a:t>Agora, estar varidicar se, a partir de agora, essa regressão passou a descrever bem a série como um todo, testando o novo valor de 2023.</a:t>
          </a:r>
          <a:endParaRPr lang="pt-BR" sz="11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oneCell">
    <xdr:from>
      <xdr:col>21</xdr:col>
      <xdr:colOff>0</xdr:colOff>
      <xdr:row>31</xdr:row>
      <xdr:rowOff>0</xdr:rowOff>
    </xdr:from>
    <xdr:to>
      <xdr:col>37</xdr:col>
      <xdr:colOff>498391</xdr:colOff>
      <xdr:row>53</xdr:row>
      <xdr:rowOff>25597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ADF873F6-DD2C-BC8B-E68F-C717047C2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36831" y="5522026"/>
          <a:ext cx="10315326" cy="3944454"/>
        </a:xfrm>
        <a:prstGeom prst="rect">
          <a:avLst/>
        </a:prstGeom>
      </xdr:spPr>
    </xdr:pic>
    <xdr:clientData/>
  </xdr:twoCellAnchor>
  <xdr:twoCellAnchor>
    <xdr:from>
      <xdr:col>38</xdr:col>
      <xdr:colOff>5145</xdr:colOff>
      <xdr:row>31</xdr:row>
      <xdr:rowOff>60960</xdr:rowOff>
    </xdr:from>
    <xdr:to>
      <xdr:col>40</xdr:col>
      <xdr:colOff>534884</xdr:colOff>
      <xdr:row>52</xdr:row>
      <xdr:rowOff>45720</xdr:rowOff>
    </xdr:to>
    <xdr:sp macro="" textlink="">
      <xdr:nvSpPr>
        <xdr:cNvPr id="18" name="Retângulo: Cantos Arredondados 17">
          <a:extLst>
            <a:ext uri="{FF2B5EF4-FFF2-40B4-BE49-F238E27FC236}">
              <a16:creationId xmlns:a16="http://schemas.microsoft.com/office/drawing/2014/main" id="{6CB3A837-6638-AD5C-B1A0-1A1437A7D694}"/>
            </a:ext>
          </a:extLst>
        </xdr:cNvPr>
        <xdr:cNvSpPr/>
      </xdr:nvSpPr>
      <xdr:spPr>
        <a:xfrm>
          <a:off x="24072470" y="5582986"/>
          <a:ext cx="1756856" cy="3725487"/>
        </a:xfrm>
        <a:prstGeom prst="roundRect">
          <a:avLst>
            <a:gd name="adj" fmla="val 444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solidFill>
                <a:schemeClr val="tx1">
                  <a:lumMod val="95000"/>
                  <a:lumOff val="5000"/>
                </a:schemeClr>
              </a:solidFill>
            </a:rPr>
            <a:t>De fato, o resultado não ficou tão bem ajustado com o anterior, porém, ainda assim é um</a:t>
          </a:r>
          <a:r>
            <a:rPr lang="pt-BR" sz="1100" b="0" baseline="0">
              <a:solidFill>
                <a:schemeClr val="tx1">
                  <a:lumMod val="95000"/>
                  <a:lumOff val="5000"/>
                </a:schemeClr>
              </a:solidFill>
            </a:rPr>
            <a:t> resultado interessante.</a:t>
          </a:r>
          <a:endParaRPr lang="pt-BR" sz="11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17</xdr:col>
      <xdr:colOff>579120</xdr:colOff>
      <xdr:row>56</xdr:row>
      <xdr:rowOff>130233</xdr:rowOff>
    </xdr:from>
    <xdr:to>
      <xdr:col>20</xdr:col>
      <xdr:colOff>495300</xdr:colOff>
      <xdr:row>77</xdr:row>
      <xdr:rowOff>114993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07CE2D87-0506-FC9D-BE91-63B481E2BFFF}"/>
            </a:ext>
          </a:extLst>
        </xdr:cNvPr>
        <xdr:cNvSpPr/>
      </xdr:nvSpPr>
      <xdr:spPr>
        <a:xfrm>
          <a:off x="11761717" y="10105506"/>
          <a:ext cx="1756856" cy="3725487"/>
        </a:xfrm>
        <a:prstGeom prst="roundRect">
          <a:avLst>
            <a:gd name="adj" fmla="val 444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solidFill>
                <a:schemeClr val="tx1">
                  <a:lumMod val="95000"/>
                  <a:lumOff val="5000"/>
                </a:schemeClr>
              </a:solidFill>
            </a:rPr>
            <a:t>Semelhante</a:t>
          </a:r>
          <a:r>
            <a:rPr lang="pt-BR" sz="1100" b="0" baseline="0">
              <a:solidFill>
                <a:schemeClr val="tx1">
                  <a:lumMod val="95000"/>
                  <a:lumOff val="5000"/>
                </a:schemeClr>
              </a:solidFill>
            </a:rPr>
            <a:t> ao modelo com janela de 7 anos, a previsão com janela de 8 anos também gera um resultado bem interessante.</a:t>
          </a:r>
        </a:p>
        <a:p>
          <a:pPr algn="l"/>
          <a:endParaRPr lang="pt-BR" sz="1100" b="0" baseline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pt-BR" sz="1100" b="0" baseline="0">
              <a:solidFill>
                <a:schemeClr val="tx1">
                  <a:lumMod val="95000"/>
                  <a:lumOff val="5000"/>
                </a:schemeClr>
              </a:solidFill>
            </a:rPr>
            <a:t>Entretanto, quando fazemos o teste de validação cruzada com janela fica de 8 anos, os resultado são bem ruins!</a:t>
          </a:r>
        </a:p>
        <a:p>
          <a:pPr algn="l"/>
          <a:endParaRPr lang="pt-BR" sz="1100" b="0" baseline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pt-BR" sz="1100" b="0" baseline="0">
              <a:solidFill>
                <a:schemeClr val="tx1">
                  <a:lumMod val="95000"/>
                  <a:lumOff val="5000"/>
                </a:schemeClr>
              </a:solidFill>
            </a:rPr>
            <a:t>Resta testar se, a partir de agora a série passou a ser descrita por essa regressão.</a:t>
          </a:r>
          <a:endParaRPr lang="pt-BR" sz="11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 editAs="oneCell">
    <xdr:from>
      <xdr:col>21</xdr:col>
      <xdr:colOff>0</xdr:colOff>
      <xdr:row>56</xdr:row>
      <xdr:rowOff>0</xdr:rowOff>
    </xdr:from>
    <xdr:to>
      <xdr:col>37</xdr:col>
      <xdr:colOff>498391</xdr:colOff>
      <xdr:row>78</xdr:row>
      <xdr:rowOff>25597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B53B6952-C514-3E14-1BCF-54A0BE606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36831" y="9975273"/>
          <a:ext cx="10315326" cy="3944454"/>
        </a:xfrm>
        <a:prstGeom prst="rect">
          <a:avLst/>
        </a:prstGeom>
        <a:ln>
          <a:solidFill>
            <a:srgbClr val="002060"/>
          </a:solidFill>
        </a:ln>
      </xdr:spPr>
    </xdr:pic>
    <xdr:clientData/>
  </xdr:twoCellAnchor>
  <xdr:twoCellAnchor>
    <xdr:from>
      <xdr:col>38</xdr:col>
      <xdr:colOff>44729</xdr:colOff>
      <xdr:row>56</xdr:row>
      <xdr:rowOff>130233</xdr:rowOff>
    </xdr:from>
    <xdr:to>
      <xdr:col>40</xdr:col>
      <xdr:colOff>574468</xdr:colOff>
      <xdr:row>77</xdr:row>
      <xdr:rowOff>114993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41339B7C-078B-9232-F1A5-133F0617301A}"/>
            </a:ext>
          </a:extLst>
        </xdr:cNvPr>
        <xdr:cNvSpPr/>
      </xdr:nvSpPr>
      <xdr:spPr>
        <a:xfrm>
          <a:off x="24112054" y="10105506"/>
          <a:ext cx="1756856" cy="3725487"/>
        </a:xfrm>
        <a:prstGeom prst="roundRect">
          <a:avLst>
            <a:gd name="adj" fmla="val 444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>
              <a:solidFill>
                <a:schemeClr val="tx1">
                  <a:lumMod val="95000"/>
                  <a:lumOff val="5000"/>
                </a:schemeClr>
              </a:solidFill>
            </a:rPr>
            <a:t>Curiosamente,</a:t>
          </a:r>
          <a:r>
            <a:rPr lang="pt-BR" sz="1100" b="0" baseline="0">
              <a:solidFill>
                <a:schemeClr val="tx1">
                  <a:lumMod val="95000"/>
                  <a:lumOff val="5000"/>
                </a:schemeClr>
              </a:solidFill>
            </a:rPr>
            <a:t> comparando com novos resultados de 2023, a regresão com essa janela oferece resultados ate melhores do que utilizando a janela de 7 anos.</a:t>
          </a:r>
        </a:p>
        <a:p>
          <a:pPr algn="l"/>
          <a:endParaRPr lang="pt-BR" sz="1100" b="0" baseline="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pt-BR" sz="1100" b="0" baseline="0">
              <a:solidFill>
                <a:schemeClr val="tx1">
                  <a:lumMod val="95000"/>
                  <a:lumOff val="5000"/>
                </a:schemeClr>
              </a:solidFill>
            </a:rPr>
            <a:t>Os resultados são bem interessantes e podem idnicar uma boas previsão.</a:t>
          </a:r>
          <a:endParaRPr lang="pt-BR" sz="1100" b="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ictor hugo" id="{FE5B1C5E-F008-41A9-9D7A-029929424DB4}" userId="c631a057fc5ada4c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2" dT="2024-06-04T00:19:01.36" personId="{FE5B1C5E-F008-41A9-9D7A-029929424DB4}" id="{CC46A99D-595F-4EFA-974E-118E6942BAB8}">
    <text>https://www.ibge.gov.br/estatisticas/economicas/precos-e-custos/9258-indice-nacional-de-precos-ao-consumidor.html?=&amp;t=series-historicas</text>
    <extLst>
      <x:ext xmlns:xltc2="http://schemas.microsoft.com/office/spreadsheetml/2020/threadedcomments2" uri="{F7C98A9C-CBB3-438F-8F68-D28B6AF4A901}">
        <xltc2:checksum>729322743</xltc2:checksum>
        <xltc2:hyperlink startIndex="0" length="135" url="https://www.ibge.gov.br/estatisticas/economicas/precos-e-custos/9258-indice-nacional-de-precos-ao-consumidor.html?=&amp;t=series-historicas"/>
      </x:ext>
    </extLst>
  </threadedComment>
  <threadedComment ref="X2" dT="2024-06-04T00:21:45.77" personId="{FE5B1C5E-F008-41A9-9D7A-029929424DB4}" id="{FAE6438D-CFD7-4429-88A2-A4A521280811}">
    <text>https://www.ibge.gov.br/estatisticas/economicas/precos-e-custos/9256-indice-nacional-de-precos-ao-consumidor-amplo.html?=&amp;t=series-historicas</text>
    <extLst>
      <x:ext xmlns:xltc2="http://schemas.microsoft.com/office/spreadsheetml/2020/threadedcomments2" uri="{F7C98A9C-CBB3-438F-8F68-D28B6AF4A901}">
        <xltc2:checksum>3732913522</xltc2:checksum>
        <xltc2:hyperlink startIndex="0" length="141" url="https://www.ibge.gov.br/estatisticas/economicas/precos-e-custos/9256-indice-nacional-de-precos-ao-consumidor-amplo.html?=&amp;t=series-historicas"/>
      </x:ext>
    </extLst>
  </threadedComment>
  <threadedComment ref="Z2" dT="2024-06-04T00:27:34.73" personId="{FE5B1C5E-F008-41A9-9D7A-029929424DB4}" id="{F6F2FD94-E686-44EA-AF0E-41DDBDB32F11}">
    <text>https://www.ibge.gov.br/estatisticas/economicas/industria/9018-pesquisa-anual-da-industria-da-construcao.html?=&amp;t=series-historicas</text>
    <extLst>
      <x:ext xmlns:xltc2="http://schemas.microsoft.com/office/spreadsheetml/2020/threadedcomments2" uri="{F7C98A9C-CBB3-438F-8F68-D28B6AF4A901}">
        <xltc2:checksum>2175992515</xltc2:checksum>
        <xltc2:hyperlink startIndex="0" length="131" url="https://www.ibge.gov.br/estatisticas/economicas/industria/9018-pesquisa-anual-da-industria-da-construcao.html?=&amp;t=series-historicas"/>
      </x:ext>
    </extLst>
  </threadedComment>
  <threadedComment ref="AB2" dT="2024-06-04T00:41:54.43" personId="{FE5B1C5E-F008-41A9-9D7A-029929424DB4}" id="{E4A0B7B3-06BA-4910-9E6E-E24F0E19741C}">
    <text>https://www.ibge.gov.br/estatisticas/economicas/precos-e-custos/9270-sistema-nacional-de-pesquisa-de-custos-e-indices-da-construcao-civil.html?=&amp;t=series-historicas</text>
    <extLst>
      <x:ext xmlns:xltc2="http://schemas.microsoft.com/office/spreadsheetml/2020/threadedcomments2" uri="{F7C98A9C-CBB3-438F-8F68-D28B6AF4A901}">
        <xltc2:checksum>2734153377</xltc2:checksum>
        <xltc2:hyperlink startIndex="0" length="164" url="https://www.ibge.gov.br/estatisticas/economicas/precos-e-custos/9270-sistema-nacional-de-pesquisa-de-custos-e-indices-da-construcao-civil.html?=&amp;t=series-historicas"/>
      </x:ext>
    </extLst>
  </threadedComment>
  <threadedComment ref="AD2" dT="2024-06-05T19:44:44.19" personId="{FE5B1C5E-F008-41A9-9D7A-029929424DB4}" id="{67A34750-138B-4D23-A049-B8E86515B10E}">
    <text>https://www.ibge.gov.br/estatisticas/economicas/industria/9294-pesquisa-industrial-mensal-producao-fisica-brasil.html?=&amp;t=series-historicas</text>
    <extLst>
      <x:ext xmlns:xltc2="http://schemas.microsoft.com/office/spreadsheetml/2020/threadedcomments2" uri="{F7C98A9C-CBB3-438F-8F68-D28B6AF4A901}">
        <xltc2:checksum>1290856751</xltc2:checksum>
        <xltc2:hyperlink startIndex="0" length="139" url="https://www.ibge.gov.br/estatisticas/economicas/industria/9294-pesquisa-industrial-mensal-producao-fisica-brasil.html?=&amp;t=series-historicas"/>
      </x:ext>
    </extLst>
  </threadedComment>
  <threadedComment ref="AF2" dT="2024-06-05T19:53:49.76" personId="{FE5B1C5E-F008-41A9-9D7A-029929424DB4}" id="{AEEE039B-32FF-49F8-9AB6-E22411376DAE}">
    <text>https://www.ibge.gov.br/estatisticas/economicas/comercio/9227-pesquisa-mensal-de-comercio.html?=&amp;t=series-historicas</text>
    <extLst>
      <x:ext xmlns:xltc2="http://schemas.microsoft.com/office/spreadsheetml/2020/threadedcomments2" uri="{F7C98A9C-CBB3-438F-8F68-D28B6AF4A901}">
        <xltc2:checksum>3602218918</xltc2:checksum>
        <xltc2:hyperlink startIndex="0" length="116" url="https://www.ibge.gov.br/estatisticas/economicas/comercio/9227-pesquisa-mensal-de-comercio.html?=&amp;t=series-historicas"/>
      </x:ext>
    </extLst>
  </threadedComment>
  <threadedComment ref="D13" dT="2024-07-09T23:12:11.09" personId="{FE5B1C5E-F008-41A9-9D7A-029929424DB4}" id="{C9967313-6AF9-4210-B2C0-6CA712F65699}">
    <text xml:space="preserve">O que aconteceu nesse ano que fez com que o crescimento acelerado dos anos anteriores desse uma freada brusca?
Conseguimos encontrar alguma variável que explique ou tenha relação com esse comportamento?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49F0-7C1D-4C2D-B732-A1BCF29860D9}">
  <dimension ref="A1:S26"/>
  <sheetViews>
    <sheetView zoomScale="85" zoomScaleNormal="85" workbookViewId="0">
      <selection activeCell="F7" sqref="F7"/>
    </sheetView>
  </sheetViews>
  <sheetFormatPr defaultRowHeight="14.4" x14ac:dyDescent="0.3"/>
  <cols>
    <col min="1" max="1" width="17.6640625" bestFit="1" customWidth="1"/>
    <col min="2" max="2" width="5" bestFit="1" customWidth="1"/>
    <col min="3" max="3" width="25.5546875" bestFit="1" customWidth="1"/>
    <col min="4" max="4" width="3.77734375" customWidth="1"/>
    <col min="5" max="5" width="12" bestFit="1" customWidth="1"/>
    <col min="6" max="6" width="23.6640625" bestFit="1" customWidth="1"/>
    <col min="7" max="7" width="12.33203125" bestFit="1" customWidth="1"/>
    <col min="8" max="8" width="12.109375" bestFit="1" customWidth="1"/>
    <col min="9" max="9" width="12" bestFit="1" customWidth="1"/>
    <col min="10" max="10" width="3.6640625" customWidth="1"/>
    <col min="11" max="11" width="13.21875" bestFit="1" customWidth="1"/>
  </cols>
  <sheetData>
    <row r="1" spans="1:19" ht="18" x14ac:dyDescent="0.35">
      <c r="C1" s="13" t="s">
        <v>14</v>
      </c>
      <c r="K1" s="14" t="s">
        <v>15</v>
      </c>
    </row>
    <row r="2" spans="1:19" ht="27.6" x14ac:dyDescent="0.3">
      <c r="C2" s="12" t="s">
        <v>0</v>
      </c>
      <c r="D2" s="12"/>
      <c r="E2" s="12" t="s">
        <v>1</v>
      </c>
      <c r="F2" s="12" t="s">
        <v>2</v>
      </c>
      <c r="G2" s="12" t="s">
        <v>3</v>
      </c>
      <c r="H2" s="12" t="s">
        <v>4</v>
      </c>
      <c r="I2" s="12" t="s">
        <v>5</v>
      </c>
      <c r="K2" s="2" t="s">
        <v>1</v>
      </c>
      <c r="L2" s="3" t="s">
        <v>6</v>
      </c>
      <c r="M2" s="3" t="s">
        <v>7</v>
      </c>
      <c r="N2" s="3" t="s">
        <v>8</v>
      </c>
      <c r="O2" s="4" t="s">
        <v>9</v>
      </c>
      <c r="P2" s="4" t="s">
        <v>10</v>
      </c>
      <c r="Q2" s="5" t="s">
        <v>11</v>
      </c>
      <c r="R2" s="5" t="s">
        <v>12</v>
      </c>
      <c r="S2" s="5" t="s">
        <v>13</v>
      </c>
    </row>
    <row r="3" spans="1:19" x14ac:dyDescent="0.3">
      <c r="B3">
        <v>2011</v>
      </c>
      <c r="C3" s="1">
        <v>1045.8483799999999</v>
      </c>
      <c r="D3" s="1"/>
      <c r="E3" s="1">
        <v>1615.8813729999999</v>
      </c>
      <c r="F3" s="1">
        <v>5246.2488540000004</v>
      </c>
      <c r="G3" s="1">
        <v>1356.7210170000001</v>
      </c>
      <c r="H3" s="1">
        <v>8231.4635870000002</v>
      </c>
      <c r="I3" s="1">
        <v>2754.770274</v>
      </c>
      <c r="K3" s="6">
        <v>2500</v>
      </c>
      <c r="L3" s="7">
        <v>195.8461994781</v>
      </c>
      <c r="M3" s="7">
        <v>400.63787755227997</v>
      </c>
      <c r="N3" s="6"/>
      <c r="O3" s="6">
        <v>2640</v>
      </c>
      <c r="P3" s="6"/>
      <c r="Q3" s="8">
        <v>189.32599999999999</v>
      </c>
      <c r="R3" s="9">
        <v>10187.959999999999</v>
      </c>
      <c r="S3" s="9">
        <v>3256.7</v>
      </c>
    </row>
    <row r="4" spans="1:19" x14ac:dyDescent="0.3">
      <c r="B4">
        <v>2012</v>
      </c>
      <c r="C4" s="1">
        <v>1191.924213</v>
      </c>
      <c r="D4" s="1"/>
      <c r="E4" s="1">
        <v>1713.0101970000001</v>
      </c>
      <c r="F4" s="1">
        <v>6454.0651969999999</v>
      </c>
      <c r="G4" s="1">
        <v>1910.9935109999999</v>
      </c>
      <c r="H4" s="1">
        <v>9693.9019859999989</v>
      </c>
      <c r="I4" s="1">
        <v>3961.642593</v>
      </c>
      <c r="K4" s="6">
        <v>2853</v>
      </c>
      <c r="L4" s="7">
        <v>237.44984863603997</v>
      </c>
      <c r="M4" s="7">
        <v>465.46392063873998</v>
      </c>
      <c r="N4" s="6"/>
      <c r="O4" s="6">
        <v>3961</v>
      </c>
      <c r="P4" s="6"/>
      <c r="Q4" s="8">
        <v>217.3</v>
      </c>
      <c r="R4" s="9">
        <v>11534.46</v>
      </c>
      <c r="S4" s="9">
        <v>3794.7</v>
      </c>
    </row>
    <row r="5" spans="1:19" x14ac:dyDescent="0.3">
      <c r="B5">
        <v>2013</v>
      </c>
      <c r="C5" s="1">
        <v>1330.8542259999999</v>
      </c>
      <c r="D5" s="1"/>
      <c r="E5" s="1">
        <v>1728.464776</v>
      </c>
      <c r="F5" s="1">
        <v>7491.1684969999997</v>
      </c>
      <c r="G5" s="1">
        <v>2101.0412980000001</v>
      </c>
      <c r="H5" s="1">
        <v>12785.075161000001</v>
      </c>
      <c r="I5" s="1">
        <v>5570.2285920000004</v>
      </c>
      <c r="K5" s="6">
        <v>2920</v>
      </c>
      <c r="L5" s="7">
        <v>292.89675964450998</v>
      </c>
      <c r="M5" s="7">
        <v>518</v>
      </c>
      <c r="N5" s="6"/>
      <c r="O5" s="6">
        <v>5570.2285928476003</v>
      </c>
      <c r="P5" s="6"/>
      <c r="Q5" s="8">
        <v>199.3</v>
      </c>
      <c r="R5" s="9">
        <v>13570</v>
      </c>
      <c r="S5" s="9">
        <v>4025</v>
      </c>
    </row>
    <row r="6" spans="1:19" x14ac:dyDescent="0.3">
      <c r="B6">
        <v>2014</v>
      </c>
      <c r="C6" s="1">
        <v>1504.020327</v>
      </c>
      <c r="D6" s="1"/>
      <c r="E6" s="1">
        <v>1630.7004159999999</v>
      </c>
      <c r="F6" s="1">
        <v>7973.1405320000003</v>
      </c>
      <c r="G6" s="1">
        <v>2177.0837649999999</v>
      </c>
      <c r="H6" s="1">
        <v>13386.653338</v>
      </c>
      <c r="I6" s="1">
        <v>5026.0882300000003</v>
      </c>
      <c r="K6" s="6">
        <v>2801</v>
      </c>
      <c r="L6" s="7">
        <v>348.31632049842</v>
      </c>
      <c r="M6" s="7">
        <v>588</v>
      </c>
      <c r="N6" s="6"/>
      <c r="O6" s="10">
        <v>5026.0882316652996</v>
      </c>
      <c r="P6" s="10"/>
      <c r="Q6" s="8">
        <v>198</v>
      </c>
      <c r="R6" s="9">
        <v>13968</v>
      </c>
      <c r="S6" s="9">
        <v>4217</v>
      </c>
    </row>
    <row r="7" spans="1:19" x14ac:dyDescent="0.3">
      <c r="B7">
        <v>2015</v>
      </c>
      <c r="C7" s="1">
        <v>1484.9839649999999</v>
      </c>
      <c r="D7" s="1"/>
      <c r="E7" s="1">
        <v>1479.2288289999999</v>
      </c>
      <c r="F7" s="1">
        <v>8067.5376759999999</v>
      </c>
      <c r="G7" s="1">
        <v>2284.1633710000001</v>
      </c>
      <c r="H7" s="1">
        <v>13306.646707</v>
      </c>
      <c r="I7" s="1">
        <v>4313.3529520000002</v>
      </c>
      <c r="K7" s="9">
        <v>2575</v>
      </c>
      <c r="L7" s="7">
        <v>389.53000377167001</v>
      </c>
      <c r="M7" s="9">
        <v>648</v>
      </c>
      <c r="N7" s="6"/>
      <c r="O7" s="10">
        <v>4313.3476872170104</v>
      </c>
      <c r="P7" s="10"/>
      <c r="Q7" s="8">
        <v>190.3</v>
      </c>
      <c r="R7" s="9">
        <v>15247</v>
      </c>
      <c r="S7" s="9">
        <v>4250</v>
      </c>
    </row>
    <row r="8" spans="1:19" x14ac:dyDescent="0.3">
      <c r="B8">
        <v>2016</v>
      </c>
      <c r="C8" s="1">
        <v>1424.929367</v>
      </c>
      <c r="D8" s="1"/>
      <c r="E8" s="1">
        <v>1210.3866419999999</v>
      </c>
      <c r="F8" s="1">
        <v>7797.7907269999996</v>
      </c>
      <c r="G8" s="1">
        <v>2439.0715649999997</v>
      </c>
      <c r="H8" s="1">
        <v>15087.989304000001</v>
      </c>
      <c r="I8" s="1">
        <v>6515.7528470000007</v>
      </c>
      <c r="K8" s="9">
        <v>2187.1383073060001</v>
      </c>
      <c r="L8" s="7">
        <v>430.42999785500001</v>
      </c>
      <c r="M8" s="9">
        <v>678.02694530400004</v>
      </c>
      <c r="N8" s="6">
        <v>0.6</v>
      </c>
      <c r="O8" s="10">
        <v>6515.7528487</v>
      </c>
      <c r="P8" s="10"/>
      <c r="Q8" s="8">
        <v>172.1</v>
      </c>
      <c r="R8" s="9">
        <v>15459</v>
      </c>
      <c r="S8" s="9">
        <v>4251</v>
      </c>
    </row>
    <row r="9" spans="1:19" x14ac:dyDescent="0.3">
      <c r="B9">
        <v>2017</v>
      </c>
      <c r="C9" s="1">
        <v>1459.448774</v>
      </c>
      <c r="D9" s="1"/>
      <c r="E9" s="1">
        <v>1011.633857</v>
      </c>
      <c r="F9" s="1">
        <v>9628.8631590000005</v>
      </c>
      <c r="G9" s="1">
        <v>2935.4995040000003</v>
      </c>
      <c r="H9" s="1">
        <v>16247.821013000001</v>
      </c>
      <c r="I9" s="1">
        <v>7213.5527849999999</v>
      </c>
      <c r="K9" s="6">
        <v>1888.2777571879999</v>
      </c>
      <c r="L9" s="7">
        <v>495.26859628</v>
      </c>
      <c r="M9" s="7">
        <v>731.74519810599998</v>
      </c>
      <c r="N9" s="6">
        <v>3</v>
      </c>
      <c r="O9" s="6">
        <v>7213.5527859479998</v>
      </c>
      <c r="P9" s="6"/>
      <c r="Q9" s="8">
        <v>173.5</v>
      </c>
      <c r="R9" s="9">
        <v>16414</v>
      </c>
      <c r="S9" s="9">
        <v>4368</v>
      </c>
    </row>
    <row r="10" spans="1:19" x14ac:dyDescent="0.3">
      <c r="B10">
        <v>2018</v>
      </c>
      <c r="C10" s="1">
        <v>2156.9280527732299</v>
      </c>
      <c r="D10" s="1"/>
      <c r="E10" s="1">
        <v>841.63534400000003</v>
      </c>
      <c r="F10" s="1">
        <v>11467.896326</v>
      </c>
      <c r="G10" s="1">
        <v>2966.7006190000002</v>
      </c>
      <c r="H10" s="1">
        <v>17373.686572999999</v>
      </c>
      <c r="I10" s="1">
        <v>6824.6169889999992</v>
      </c>
      <c r="K10" s="6">
        <v>1673.3432806129999</v>
      </c>
      <c r="L10" s="7">
        <v>561.46787542092</v>
      </c>
      <c r="M10" s="7">
        <v>834.40096616294079</v>
      </c>
      <c r="N10" s="6">
        <v>7.684593927109999</v>
      </c>
      <c r="O10" s="6">
        <v>4868</v>
      </c>
      <c r="P10" s="6"/>
      <c r="Q10" s="8">
        <v>180.7</v>
      </c>
      <c r="R10" s="9">
        <v>18881</v>
      </c>
      <c r="S10" s="9">
        <v>5284</v>
      </c>
    </row>
    <row r="11" spans="1:19" x14ac:dyDescent="0.3">
      <c r="B11">
        <v>2019</v>
      </c>
      <c r="C11" s="1">
        <v>2431.4998708889807</v>
      </c>
      <c r="D11" s="1"/>
      <c r="E11" s="1">
        <v>728.47492329150998</v>
      </c>
      <c r="F11" s="1">
        <v>13221</v>
      </c>
      <c r="G11" s="1">
        <v>3022.47522240226</v>
      </c>
      <c r="H11" s="1">
        <v>18823.8822129365</v>
      </c>
      <c r="I11" s="1">
        <v>4457.8344194808587</v>
      </c>
      <c r="K11" s="6">
        <v>1522.87061593151</v>
      </c>
      <c r="L11" s="7">
        <v>667.21468489085021</v>
      </c>
      <c r="M11" s="7">
        <v>1059.3851322151002</v>
      </c>
      <c r="N11" s="10">
        <v>29</v>
      </c>
      <c r="O11" s="6">
        <v>4457.8344194808587</v>
      </c>
      <c r="P11" s="6"/>
      <c r="Q11" s="8">
        <v>170</v>
      </c>
      <c r="R11" s="9">
        <v>23586</v>
      </c>
      <c r="S11" s="9">
        <v>5942</v>
      </c>
    </row>
    <row r="12" spans="1:19" x14ac:dyDescent="0.3">
      <c r="B12">
        <v>2020</v>
      </c>
      <c r="C12" s="1">
        <v>2930</v>
      </c>
      <c r="D12" s="1"/>
      <c r="E12" s="1">
        <v>469.36889167369026</v>
      </c>
      <c r="F12" s="1">
        <v>14254</v>
      </c>
      <c r="G12" s="1">
        <v>2464</v>
      </c>
      <c r="H12" s="1">
        <v>20980.357795041051</v>
      </c>
      <c r="I12" s="1">
        <v>4247.2660679721002</v>
      </c>
      <c r="K12" s="6">
        <v>1103.4000599466904</v>
      </c>
      <c r="L12" s="7">
        <v>811.43008302901069</v>
      </c>
      <c r="M12" s="7">
        <v>1125</v>
      </c>
      <c r="N12" s="10">
        <v>52.906830646989995</v>
      </c>
      <c r="O12" s="6">
        <v>4247.2660679721002</v>
      </c>
      <c r="P12" s="11">
        <v>150</v>
      </c>
      <c r="Q12" s="8">
        <v>191.1</v>
      </c>
      <c r="R12" s="9">
        <v>28460</v>
      </c>
      <c r="S12" s="9">
        <v>6763</v>
      </c>
    </row>
    <row r="13" spans="1:19" x14ac:dyDescent="0.3">
      <c r="B13">
        <v>2021</v>
      </c>
      <c r="C13" s="1">
        <v>2865</v>
      </c>
      <c r="D13" s="1"/>
      <c r="E13" s="1">
        <v>419</v>
      </c>
      <c r="F13" s="1">
        <v>15861</v>
      </c>
      <c r="G13" s="1">
        <v>3089</v>
      </c>
      <c r="H13" s="1">
        <v>26092</v>
      </c>
      <c r="I13" s="1">
        <v>4792.600538243134</v>
      </c>
      <c r="K13" s="6">
        <v>1061</v>
      </c>
      <c r="L13" s="7">
        <v>910.2060179987493</v>
      </c>
      <c r="M13" s="7">
        <v>1563</v>
      </c>
      <c r="N13" s="10">
        <v>125</v>
      </c>
      <c r="O13" s="6">
        <v>4841</v>
      </c>
      <c r="P13" s="11">
        <v>5204</v>
      </c>
      <c r="Q13" s="8">
        <v>97.846000000000004</v>
      </c>
      <c r="R13" s="9">
        <v>35655</v>
      </c>
      <c r="S13" s="9">
        <v>7880</v>
      </c>
    </row>
    <row r="14" spans="1:19" x14ac:dyDescent="0.3">
      <c r="B14">
        <v>2022</v>
      </c>
      <c r="C14" s="1">
        <v>3202</v>
      </c>
      <c r="D14" s="1"/>
      <c r="E14" s="1">
        <v>417</v>
      </c>
      <c r="F14" s="1">
        <v>20917</v>
      </c>
      <c r="G14" s="1">
        <v>3609</v>
      </c>
      <c r="H14" s="1">
        <v>32136</v>
      </c>
      <c r="I14" s="1">
        <v>5629</v>
      </c>
      <c r="K14" s="6">
        <v>1017</v>
      </c>
      <c r="L14" s="7">
        <v>983</v>
      </c>
      <c r="M14" s="7">
        <v>2042</v>
      </c>
      <c r="N14" s="10">
        <v>219</v>
      </c>
      <c r="O14" s="6">
        <v>5628</v>
      </c>
      <c r="P14" s="6">
        <v>10891</v>
      </c>
      <c r="Q14" s="8">
        <v>72</v>
      </c>
      <c r="R14" s="9">
        <v>40705</v>
      </c>
      <c r="S14" s="9">
        <v>8471</v>
      </c>
    </row>
    <row r="16" spans="1:19" x14ac:dyDescent="0.3">
      <c r="A16" t="s">
        <v>16</v>
      </c>
    </row>
    <row r="17" spans="1:11" x14ac:dyDescent="0.3">
      <c r="A17" t="s">
        <v>17</v>
      </c>
      <c r="C17" s="1">
        <f>5761260.25/1000</f>
        <v>5761.2602500000003</v>
      </c>
    </row>
    <row r="18" spans="1:11" x14ac:dyDescent="0.3">
      <c r="A18" t="s">
        <v>18</v>
      </c>
    </row>
    <row r="19" spans="1:11" x14ac:dyDescent="0.3">
      <c r="A19" t="s">
        <v>19</v>
      </c>
    </row>
    <row r="20" spans="1:11" x14ac:dyDescent="0.3">
      <c r="A20" t="s">
        <v>20</v>
      </c>
    </row>
    <row r="22" spans="1:11" x14ac:dyDescent="0.3">
      <c r="A22" t="s">
        <v>21</v>
      </c>
      <c r="F22" s="15"/>
    </row>
    <row r="23" spans="1:11" x14ac:dyDescent="0.3">
      <c r="A23" t="s">
        <v>22</v>
      </c>
    </row>
    <row r="24" spans="1:11" x14ac:dyDescent="0.3">
      <c r="A24" t="s">
        <v>23</v>
      </c>
    </row>
    <row r="25" spans="1:11" x14ac:dyDescent="0.3">
      <c r="A25" t="s">
        <v>24</v>
      </c>
    </row>
    <row r="26" spans="1:11" x14ac:dyDescent="0.3">
      <c r="A26" t="s">
        <v>25</v>
      </c>
      <c r="E26" s="15" cm="1">
        <f t="array" ref="E26">CORREL(_xlfn.RANK.AVG($C$3:$C$14,$C$3:$C$14,0),_xlfn.RANK.AVG(E3:E14,E3:E14,0))</f>
        <v>-0.86013986013986032</v>
      </c>
      <c r="F26" s="15" cm="1">
        <f t="array" ref="F26">CORREL(_xlfn.RANK.AVG($C$3:$C$14,$C$3:$C$14,0),_xlfn.RANK.AVG(F3:F14,F3:F14,0))</f>
        <v>0.96503496503496522</v>
      </c>
      <c r="G26" s="15" cm="1">
        <f t="array" ref="G26">CORREL(_xlfn.RANK.AVG($C$3:$C$14,$C$3:$C$14,0),_xlfn.RANK.AVG(G3:G14,G3:G14,0))</f>
        <v>0.85314685314685323</v>
      </c>
      <c r="H26" s="15" cm="1">
        <f t="array" ref="H26">CORREL(_xlfn.RANK.AVG($C$3:$C$14,$C$3:$C$14,0),_xlfn.RANK.AVG(H3:H14,H3:H14,0))</f>
        <v>0.9370629370629372</v>
      </c>
      <c r="I26" s="15" cm="1">
        <f t="array" ref="I26">CORREL(_xlfn.RANK.AVG($C$3:$C$14,$C$3:$C$14,0),_xlfn.RANK.AVG(I3:I14,I3:I14,0))</f>
        <v>0.20279720279720281</v>
      </c>
      <c r="K26" s="15" cm="1">
        <f t="array" ref="K26">CORREL(_xlfn.RANK.AVG($C$3:$C$14,$C$3:$C$14,0),_xlfn.RANK.AVG(K3:K14,K3:K14,0))</f>
        <v>-0.82517482517482543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2294-D43B-4A4A-A87D-9E1A3B9E39C7}">
  <dimension ref="A2:AN29"/>
  <sheetViews>
    <sheetView showGridLines="0" tabSelected="1" zoomScale="85" zoomScaleNormal="85" workbookViewId="0">
      <selection activeCell="A14" sqref="A14"/>
    </sheetView>
  </sheetViews>
  <sheetFormatPr defaultRowHeight="14.4" x14ac:dyDescent="0.3"/>
  <cols>
    <col min="1" max="1" width="14.44140625" bestFit="1" customWidth="1"/>
    <col min="2" max="2" width="17.6640625" style="16" bestFit="1" customWidth="1"/>
    <col min="3" max="3" width="24" style="16" bestFit="1" customWidth="1"/>
    <col min="4" max="5" width="6" style="16" customWidth="1"/>
    <col min="6" max="6" width="24" style="16" bestFit="1" customWidth="1"/>
    <col min="7" max="7" width="6.88671875" style="16" customWidth="1"/>
    <col min="8" max="8" width="8.44140625" style="16" bestFit="1" customWidth="1"/>
    <col min="9" max="9" width="21.77734375" style="16" bestFit="1" customWidth="1"/>
    <col min="10" max="10" width="11.6640625" bestFit="1" customWidth="1"/>
    <col min="12" max="12" width="21" bestFit="1" customWidth="1"/>
    <col min="13" max="13" width="18.77734375" bestFit="1" customWidth="1"/>
    <col min="14" max="14" width="4.6640625" customWidth="1"/>
    <col min="15" max="15" width="12.77734375" bestFit="1" customWidth="1"/>
    <col min="16" max="16" width="8.77734375" bestFit="1" customWidth="1"/>
    <col min="17" max="17" width="5.88671875" customWidth="1"/>
    <col min="18" max="18" width="12.6640625" bestFit="1" customWidth="1"/>
    <col min="19" max="19" width="8.77734375" bestFit="1" customWidth="1"/>
    <col min="21" max="21" width="6" customWidth="1"/>
    <col min="26" max="26" width="17.6640625" bestFit="1" customWidth="1"/>
    <col min="27" max="27" width="17.6640625" customWidth="1"/>
    <col min="28" max="28" width="14.33203125" bestFit="1" customWidth="1"/>
    <col min="29" max="29" width="14.33203125" customWidth="1"/>
    <col min="30" max="30" width="19.44140625" bestFit="1" customWidth="1"/>
    <col min="31" max="31" width="19.44140625" customWidth="1"/>
    <col min="32" max="32" width="16.109375" bestFit="1" customWidth="1"/>
  </cols>
  <sheetData>
    <row r="2" spans="1:40" x14ac:dyDescent="0.3">
      <c r="A2" t="s">
        <v>57</v>
      </c>
      <c r="B2" s="23" t="s">
        <v>31</v>
      </c>
      <c r="C2" s="23" t="s">
        <v>26</v>
      </c>
      <c r="D2" s="17" t="s">
        <v>29</v>
      </c>
      <c r="E2" s="17"/>
      <c r="F2" s="17" t="s">
        <v>27</v>
      </c>
      <c r="G2" s="17" t="s">
        <v>29</v>
      </c>
      <c r="H2" s="17"/>
      <c r="I2" s="17" t="s">
        <v>28</v>
      </c>
      <c r="J2" s="17" t="s">
        <v>29</v>
      </c>
      <c r="L2" s="17" t="s">
        <v>32</v>
      </c>
      <c r="M2" s="17" t="s">
        <v>33</v>
      </c>
      <c r="N2" s="17"/>
      <c r="O2" s="17"/>
      <c r="P2" s="17"/>
      <c r="Q2" s="17"/>
      <c r="V2" s="17" t="s">
        <v>35</v>
      </c>
      <c r="W2" s="17"/>
      <c r="X2" s="17" t="s">
        <v>36</v>
      </c>
      <c r="Y2" s="17"/>
      <c r="Z2" s="17" t="s">
        <v>37</v>
      </c>
      <c r="AA2" s="17"/>
      <c r="AB2" s="28" t="s">
        <v>38</v>
      </c>
      <c r="AD2" s="17" t="s">
        <v>39</v>
      </c>
      <c r="AE2" s="17"/>
      <c r="AF2" s="17" t="s">
        <v>40</v>
      </c>
    </row>
    <row r="3" spans="1:40" ht="15.6" x14ac:dyDescent="0.3">
      <c r="A3" s="38">
        <f t="shared" ref="A3:A13" si="0">C3</f>
        <v>1045.8483799999999</v>
      </c>
      <c r="B3" s="16">
        <v>2011</v>
      </c>
      <c r="C3" s="24">
        <v>1045.8483799999999</v>
      </c>
      <c r="D3" s="18" t="s">
        <v>30</v>
      </c>
      <c r="E3" s="18"/>
      <c r="F3" s="18">
        <f>'Dados BACEN'!S3-'Dados BACEN'!C3</f>
        <v>2210.8516199999999</v>
      </c>
      <c r="G3" s="18" t="s">
        <v>30</v>
      </c>
      <c r="H3" s="18"/>
      <c r="I3" s="18">
        <f>'Dados BACEN'!R3</f>
        <v>10187.959999999999</v>
      </c>
      <c r="J3" s="18" t="s">
        <v>30</v>
      </c>
      <c r="L3" s="26">
        <f>C3/F3</f>
        <v>0.4730522711424659</v>
      </c>
      <c r="M3" s="26">
        <f>C3/I3</f>
        <v>0.10265532844651923</v>
      </c>
      <c r="N3" s="26"/>
      <c r="O3" s="26"/>
      <c r="P3" s="26"/>
      <c r="Q3" s="26"/>
      <c r="V3" s="27">
        <v>6.08</v>
      </c>
      <c r="W3" s="27"/>
      <c r="X3" s="27">
        <v>6.5</v>
      </c>
      <c r="Y3" s="27"/>
      <c r="Z3">
        <v>93.375</v>
      </c>
      <c r="AA3" s="27"/>
      <c r="AB3" t="s">
        <v>30</v>
      </c>
      <c r="AC3" s="27"/>
      <c r="AD3">
        <v>1431.6440200000002</v>
      </c>
      <c r="AE3" s="27"/>
      <c r="AF3">
        <v>1050.4598000000001</v>
      </c>
      <c r="AG3" s="27"/>
      <c r="AH3" s="27"/>
      <c r="AI3" s="27"/>
      <c r="AJ3" s="27"/>
      <c r="AK3" s="27"/>
      <c r="AL3" s="27"/>
      <c r="AM3" s="27"/>
      <c r="AN3" s="27"/>
    </row>
    <row r="4" spans="1:40" ht="15.6" x14ac:dyDescent="0.3">
      <c r="A4" s="38">
        <f t="shared" si="0"/>
        <v>1191.924213</v>
      </c>
      <c r="B4" s="16">
        <v>2012</v>
      </c>
      <c r="C4" s="24">
        <v>1191.924213</v>
      </c>
      <c r="D4" s="19">
        <f t="shared" ref="D4:D15" si="1">C4/C3-1</f>
        <v>0.13967209376946221</v>
      </c>
      <c r="E4" s="19"/>
      <c r="F4" s="18">
        <f>'Dados BACEN'!S4-'Dados BACEN'!C4</f>
        <v>2602.7757869999996</v>
      </c>
      <c r="G4" s="19">
        <f t="shared" ref="G4:G15" si="2">F4/F3-1</f>
        <v>0.17727294018944595</v>
      </c>
      <c r="H4" s="37"/>
      <c r="I4" s="18">
        <f>'Dados BACEN'!R4</f>
        <v>11534.46</v>
      </c>
      <c r="J4" s="19">
        <f t="shared" ref="J4:J15" si="3">I4/I3-1</f>
        <v>0.13216581140876094</v>
      </c>
      <c r="L4" s="26">
        <f t="shared" ref="L4:L14" si="4">C4/F4</f>
        <v>0.45794348439587668</v>
      </c>
      <c r="M4" s="26">
        <f t="shared" ref="M4:M14" si="5">C4/I4</f>
        <v>0.10333593536238368</v>
      </c>
      <c r="N4" s="26"/>
      <c r="O4" s="33" t="s">
        <v>43</v>
      </c>
      <c r="P4" s="33"/>
      <c r="Q4" s="26"/>
      <c r="R4" s="34" t="s">
        <v>44</v>
      </c>
      <c r="S4" s="34"/>
      <c r="T4" s="31" t="s">
        <v>45</v>
      </c>
      <c r="U4" s="17"/>
      <c r="V4" s="27">
        <v>6.2</v>
      </c>
      <c r="W4" s="19">
        <f t="shared" ref="W4:AG14" si="6">V4/V3-1</f>
        <v>1.9736842105263275E-2</v>
      </c>
      <c r="X4" s="27">
        <v>5.84</v>
      </c>
      <c r="Y4" s="19">
        <f t="shared" si="6"/>
        <v>-0.10153846153846158</v>
      </c>
      <c r="Z4">
        <v>104.53400000000001</v>
      </c>
      <c r="AA4" s="19">
        <f t="shared" si="6"/>
        <v>0.11950736278447138</v>
      </c>
      <c r="AB4" t="s">
        <v>30</v>
      </c>
      <c r="AC4" s="19"/>
      <c r="AD4">
        <v>1397.4890200000002</v>
      </c>
      <c r="AE4" s="19">
        <f t="shared" si="6"/>
        <v>-2.3857187626851517E-2</v>
      </c>
      <c r="AF4">
        <v>1138.9462900000001</v>
      </c>
      <c r="AG4" s="19">
        <f t="shared" si="6"/>
        <v>8.4235960290912626E-2</v>
      </c>
    </row>
    <row r="5" spans="1:40" ht="15.6" x14ac:dyDescent="0.3">
      <c r="A5" s="38">
        <f t="shared" si="0"/>
        <v>1330.8542259999999</v>
      </c>
      <c r="B5" s="16">
        <v>2013</v>
      </c>
      <c r="C5" s="24">
        <v>1330.8542259999999</v>
      </c>
      <c r="D5" s="19">
        <f t="shared" si="1"/>
        <v>0.11655943514254274</v>
      </c>
      <c r="E5" s="19"/>
      <c r="F5" s="18">
        <f>'Dados BACEN'!S5-'Dados BACEN'!C5</f>
        <v>2694.1457740000001</v>
      </c>
      <c r="G5" s="19">
        <f t="shared" si="2"/>
        <v>3.5104824417210079E-2</v>
      </c>
      <c r="H5" s="37"/>
      <c r="I5" s="18">
        <f>'Dados BACEN'!R5</f>
        <v>13570</v>
      </c>
      <c r="J5" s="19">
        <f t="shared" si="3"/>
        <v>0.17647466808155743</v>
      </c>
      <c r="L5" s="26">
        <f t="shared" si="4"/>
        <v>0.49398003584048078</v>
      </c>
      <c r="M5" s="26">
        <f t="shared" si="5"/>
        <v>9.8073266470154741E-2</v>
      </c>
      <c r="N5" s="26"/>
      <c r="O5" s="17" t="s">
        <v>42</v>
      </c>
      <c r="P5" s="17" t="s">
        <v>41</v>
      </c>
      <c r="Q5" s="26"/>
      <c r="R5" s="17" t="s">
        <v>42</v>
      </c>
      <c r="S5" s="17" t="s">
        <v>41</v>
      </c>
      <c r="T5" s="32">
        <f>SQRT(AVERAGE(T6:T14))</f>
        <v>1.280541332296302</v>
      </c>
      <c r="U5" s="29"/>
      <c r="V5" s="27">
        <v>5.56</v>
      </c>
      <c r="W5" s="19">
        <f t="shared" si="6"/>
        <v>-0.10322580645161294</v>
      </c>
      <c r="X5" s="27">
        <v>5.91</v>
      </c>
      <c r="Y5" s="19">
        <f t="shared" si="6"/>
        <v>1.1986301369863117E-2</v>
      </c>
      <c r="Z5">
        <v>116.72</v>
      </c>
      <c r="AA5" s="19">
        <f t="shared" si="6"/>
        <v>0.11657451164214505</v>
      </c>
      <c r="AB5">
        <v>10257.580000000002</v>
      </c>
      <c r="AC5" s="19"/>
      <c r="AD5">
        <v>1427.2560800000001</v>
      </c>
      <c r="AE5" s="19">
        <f t="shared" si="6"/>
        <v>2.1300389179444101E-2</v>
      </c>
      <c r="AF5">
        <v>1187.52197</v>
      </c>
      <c r="AG5" s="19">
        <f t="shared" si="6"/>
        <v>4.2649667000539626E-2</v>
      </c>
    </row>
    <row r="6" spans="1:40" ht="15.6" x14ac:dyDescent="0.3">
      <c r="A6" s="38">
        <f t="shared" si="0"/>
        <v>1504.020327</v>
      </c>
      <c r="B6" s="16">
        <v>2014</v>
      </c>
      <c r="C6" s="24">
        <v>1504.020327</v>
      </c>
      <c r="D6" s="19">
        <f t="shared" si="1"/>
        <v>0.13011650533692642</v>
      </c>
      <c r="E6" s="19"/>
      <c r="F6" s="18">
        <f>'Dados BACEN'!S6-'Dados BACEN'!C6</f>
        <v>2712.9796729999998</v>
      </c>
      <c r="G6" s="19">
        <f t="shared" si="2"/>
        <v>6.9906755535491527E-3</v>
      </c>
      <c r="H6" s="37"/>
      <c r="I6" s="18">
        <f>'Dados BACEN'!R6</f>
        <v>13968</v>
      </c>
      <c r="J6" s="19">
        <f t="shared" si="3"/>
        <v>2.9329403095062601E-2</v>
      </c>
      <c r="L6" s="26">
        <f t="shared" si="4"/>
        <v>0.55437950456033513</v>
      </c>
      <c r="M6" s="26">
        <f t="shared" si="5"/>
        <v>0.10767614024914089</v>
      </c>
      <c r="N6" s="26"/>
      <c r="O6" s="26">
        <f>AVERAGE(L3:L5)</f>
        <v>0.47499193045960775</v>
      </c>
      <c r="P6" s="30">
        <f>(O6-L6)*100</f>
        <v>-7.9387574100727392</v>
      </c>
      <c r="Q6" s="26"/>
      <c r="R6" s="26">
        <f>AVERAGE(M4:M5)</f>
        <v>0.1007046009162692</v>
      </c>
      <c r="S6" s="30">
        <f>(R6-M6)*100</f>
        <v>-0.69715393328716879</v>
      </c>
      <c r="T6" s="29">
        <f>S6^2</f>
        <v>0.48602360669777017</v>
      </c>
      <c r="U6" s="29"/>
      <c r="V6" s="27">
        <v>6.23</v>
      </c>
      <c r="W6" s="19">
        <f t="shared" si="6"/>
        <v>0.1205035971223023</v>
      </c>
      <c r="X6" s="27">
        <v>6.41</v>
      </c>
      <c r="Y6" s="19">
        <f t="shared" si="6"/>
        <v>8.4602368866328215E-2</v>
      </c>
      <c r="Z6">
        <v>127.93300000000001</v>
      </c>
      <c r="AA6" s="19">
        <f t="shared" si="6"/>
        <v>9.6067511994516908E-2</v>
      </c>
      <c r="AB6">
        <v>10688.189999999999</v>
      </c>
      <c r="AC6" s="19">
        <f t="shared" si="6"/>
        <v>4.1979687216672668E-2</v>
      </c>
      <c r="AD6">
        <v>1385.3384000000001</v>
      </c>
      <c r="AE6" s="19">
        <f t="shared" si="6"/>
        <v>-2.9369417715144674E-2</v>
      </c>
      <c r="AF6">
        <v>1213.9541399999998</v>
      </c>
      <c r="AG6" s="19">
        <f t="shared" si="6"/>
        <v>2.2258257672487458E-2</v>
      </c>
    </row>
    <row r="7" spans="1:40" ht="15.6" x14ac:dyDescent="0.3">
      <c r="A7" s="38">
        <f t="shared" si="0"/>
        <v>1484.9839649999999</v>
      </c>
      <c r="B7" s="16">
        <v>2015</v>
      </c>
      <c r="C7" s="24">
        <v>1484.9839649999999</v>
      </c>
      <c r="D7" s="19">
        <f t="shared" si="1"/>
        <v>-1.2656984522257719E-2</v>
      </c>
      <c r="E7" s="19"/>
      <c r="F7" s="18">
        <f>'Dados BACEN'!S7-'Dados BACEN'!C7</f>
        <v>2765.0160350000001</v>
      </c>
      <c r="G7" s="19">
        <f t="shared" si="2"/>
        <v>1.9180520413726088E-2</v>
      </c>
      <c r="H7" s="37"/>
      <c r="I7" s="18">
        <f>'Dados BACEN'!R7</f>
        <v>15247</v>
      </c>
      <c r="J7" s="19">
        <f t="shared" si="3"/>
        <v>9.1566437571592108E-2</v>
      </c>
      <c r="L7" s="26">
        <f t="shared" si="4"/>
        <v>0.53706161056675383</v>
      </c>
      <c r="M7" s="26">
        <f t="shared" si="5"/>
        <v>9.7395157408014688E-2</v>
      </c>
      <c r="N7" s="26"/>
      <c r="O7" s="26">
        <f t="shared" ref="O7:O14" si="7">AVERAGE(L4:L6)</f>
        <v>0.50210100826556425</v>
      </c>
      <c r="P7" s="30">
        <f t="shared" ref="P7:P14" si="8">(O7-L7)*100</f>
        <v>-3.4960602301189581</v>
      </c>
      <c r="Q7" s="26"/>
      <c r="R7" s="26">
        <f t="shared" ref="R7:R14" si="9">AVERAGE(M5:M6)</f>
        <v>0.10287470335964782</v>
      </c>
      <c r="S7" s="30">
        <f t="shared" ref="S7:S14" si="10">(R7-M7)*100</f>
        <v>0.54795459516331357</v>
      </c>
      <c r="T7" s="29">
        <f t="shared" ref="T7:T14" si="11">S7^2</f>
        <v>0.3002542383605909</v>
      </c>
      <c r="U7" s="29"/>
      <c r="V7" s="27">
        <v>11.28</v>
      </c>
      <c r="W7" s="19">
        <f t="shared" si="6"/>
        <v>0.81059390048154079</v>
      </c>
      <c r="X7" s="27">
        <v>10.67</v>
      </c>
      <c r="Y7" s="19">
        <f t="shared" si="6"/>
        <v>0.66458658346333843</v>
      </c>
      <c r="Z7">
        <v>131.31800000000001</v>
      </c>
      <c r="AA7" s="19">
        <f t="shared" si="6"/>
        <v>2.6459162217723486E-2</v>
      </c>
      <c r="AB7">
        <v>11299.41</v>
      </c>
      <c r="AC7" s="19">
        <f t="shared" si="6"/>
        <v>5.7186483398966592E-2</v>
      </c>
      <c r="AD7">
        <v>1270.84835</v>
      </c>
      <c r="AE7" s="19">
        <f t="shared" si="6"/>
        <v>-8.2644103419063586E-2</v>
      </c>
      <c r="AF7">
        <v>1161.17732</v>
      </c>
      <c r="AG7" s="19">
        <f t="shared" si="6"/>
        <v>-4.347513490089483E-2</v>
      </c>
    </row>
    <row r="8" spans="1:40" ht="15.6" x14ac:dyDescent="0.3">
      <c r="A8" s="38">
        <f t="shared" si="0"/>
        <v>1424.929367</v>
      </c>
      <c r="B8" s="16">
        <v>2016</v>
      </c>
      <c r="C8" s="24">
        <v>1424.929367</v>
      </c>
      <c r="D8" s="19">
        <f t="shared" si="1"/>
        <v>-4.0441243417736139E-2</v>
      </c>
      <c r="E8" s="19"/>
      <c r="F8" s="18">
        <f>'Dados BACEN'!S8-'Dados BACEN'!C8</f>
        <v>2826.0706330000003</v>
      </c>
      <c r="G8" s="19">
        <f t="shared" si="2"/>
        <v>2.2081100878678983E-2</v>
      </c>
      <c r="H8" s="37"/>
      <c r="I8" s="18">
        <f>'Dados BACEN'!R8</f>
        <v>15459</v>
      </c>
      <c r="J8" s="19">
        <f t="shared" si="3"/>
        <v>1.3904374631074967E-2</v>
      </c>
      <c r="L8" s="26">
        <f t="shared" si="4"/>
        <v>0.50420868833252541</v>
      </c>
      <c r="M8" s="26">
        <f t="shared" si="5"/>
        <v>9.2174743967915126E-2</v>
      </c>
      <c r="N8" s="26"/>
      <c r="O8" s="26">
        <f t="shared" si="7"/>
        <v>0.52847371698918988</v>
      </c>
      <c r="P8" s="30">
        <f t="shared" si="8"/>
        <v>2.4265028656664467</v>
      </c>
      <c r="Q8" s="26"/>
      <c r="R8" s="26">
        <f t="shared" si="9"/>
        <v>0.1025356488285778</v>
      </c>
      <c r="S8" s="30">
        <f t="shared" si="10"/>
        <v>1.036090486066267</v>
      </c>
      <c r="T8" s="29">
        <f t="shared" si="11"/>
        <v>1.0734834953170334</v>
      </c>
      <c r="U8" s="29"/>
      <c r="V8" s="27">
        <v>6.58</v>
      </c>
      <c r="W8" s="19">
        <f t="shared" si="6"/>
        <v>-0.41666666666666663</v>
      </c>
      <c r="X8" s="27">
        <v>6.29</v>
      </c>
      <c r="Y8" s="19">
        <f t="shared" si="6"/>
        <v>-0.4104967197750703</v>
      </c>
      <c r="Z8">
        <v>126.943</v>
      </c>
      <c r="AA8" s="19">
        <f t="shared" si="6"/>
        <v>-3.3316072434852906E-2</v>
      </c>
      <c r="AB8">
        <v>12032.58</v>
      </c>
      <c r="AC8" s="19">
        <f t="shared" si="6"/>
        <v>6.4885688721800561E-2</v>
      </c>
      <c r="AD8">
        <v>1187.1987999999999</v>
      </c>
      <c r="AE8" s="19">
        <f t="shared" si="6"/>
        <v>-6.5821818944801769E-2</v>
      </c>
      <c r="AF8">
        <v>1088.7077000000002</v>
      </c>
      <c r="AG8" s="19">
        <f t="shared" si="6"/>
        <v>-6.2410468023953336E-2</v>
      </c>
    </row>
    <row r="9" spans="1:40" ht="15.6" x14ac:dyDescent="0.3">
      <c r="A9" s="38">
        <f t="shared" si="0"/>
        <v>1459.448774</v>
      </c>
      <c r="B9" s="16">
        <v>2017</v>
      </c>
      <c r="C9" s="24">
        <v>1459.448774</v>
      </c>
      <c r="D9" s="19">
        <f t="shared" si="1"/>
        <v>2.4225346041310214E-2</v>
      </c>
      <c r="E9" s="19"/>
      <c r="F9" s="18">
        <f>'Dados BACEN'!S9-'Dados BACEN'!C9</f>
        <v>2908.551226</v>
      </c>
      <c r="G9" s="19">
        <f t="shared" si="2"/>
        <v>2.9185609176527461E-2</v>
      </c>
      <c r="H9" s="37"/>
      <c r="I9" s="18">
        <f>'Dados BACEN'!R9</f>
        <v>16414</v>
      </c>
      <c r="J9" s="19">
        <f t="shared" si="3"/>
        <v>6.1776311533734418E-2</v>
      </c>
      <c r="L9" s="26">
        <f t="shared" si="4"/>
        <v>0.50177860405337071</v>
      </c>
      <c r="M9" s="26">
        <f t="shared" si="5"/>
        <v>8.8914875959546724E-2</v>
      </c>
      <c r="N9" s="26"/>
      <c r="O9" s="26">
        <f t="shared" si="7"/>
        <v>0.53188326781987139</v>
      </c>
      <c r="P9" s="30">
        <f t="shared" si="8"/>
        <v>3.0104663766500672</v>
      </c>
      <c r="Q9" s="26"/>
      <c r="R9" s="26">
        <f t="shared" si="9"/>
        <v>9.4784950687964914E-2</v>
      </c>
      <c r="S9" s="30">
        <f t="shared" si="10"/>
        <v>0.58700747284181898</v>
      </c>
      <c r="T9" s="29">
        <f t="shared" si="11"/>
        <v>0.34457777317213883</v>
      </c>
      <c r="U9" s="29"/>
      <c r="V9" s="27">
        <v>2.0699999999999998</v>
      </c>
      <c r="W9" s="19">
        <f t="shared" si="6"/>
        <v>-0.68541033434650456</v>
      </c>
      <c r="X9" s="27">
        <v>2.95</v>
      </c>
      <c r="Y9" s="19">
        <f t="shared" si="6"/>
        <v>-0.53100158982511925</v>
      </c>
      <c r="Z9">
        <v>126.283</v>
      </c>
      <c r="AA9" s="19">
        <f t="shared" si="6"/>
        <v>-5.1991838856809691E-3</v>
      </c>
      <c r="AB9">
        <v>12588.28</v>
      </c>
      <c r="AC9" s="19">
        <f t="shared" si="6"/>
        <v>4.6182946633224198E-2</v>
      </c>
      <c r="AD9">
        <v>1220.9001099999998</v>
      </c>
      <c r="AE9" s="19">
        <f t="shared" si="6"/>
        <v>2.8387250728353131E-2</v>
      </c>
      <c r="AF9">
        <v>1111.4539299999999</v>
      </c>
      <c r="AG9" s="19">
        <f t="shared" si="6"/>
        <v>2.0892871429126325E-2</v>
      </c>
    </row>
    <row r="10" spans="1:40" ht="15.6" x14ac:dyDescent="0.3">
      <c r="A10" s="38">
        <f t="shared" si="0"/>
        <v>2156.9280527732299</v>
      </c>
      <c r="B10" s="16">
        <v>2018</v>
      </c>
      <c r="C10" s="24">
        <v>2156.9280527732299</v>
      </c>
      <c r="D10" s="19">
        <f t="shared" si="1"/>
        <v>0.47790596778645811</v>
      </c>
      <c r="E10" s="19"/>
      <c r="F10" s="18">
        <f>'Dados BACEN'!S10-'Dados BACEN'!C10</f>
        <v>3127.0719472267701</v>
      </c>
      <c r="G10" s="19">
        <f t="shared" si="2"/>
        <v>7.5130435824330322E-2</v>
      </c>
      <c r="H10" s="37"/>
      <c r="I10" s="18">
        <f>'Dados BACEN'!R10</f>
        <v>18881</v>
      </c>
      <c r="J10" s="19">
        <f t="shared" si="3"/>
        <v>0.15029852564883628</v>
      </c>
      <c r="L10" s="26">
        <f t="shared" si="4"/>
        <v>0.68975965029717079</v>
      </c>
      <c r="M10" s="26">
        <f t="shared" si="5"/>
        <v>0.11423801984922567</v>
      </c>
      <c r="N10" s="26"/>
      <c r="O10" s="26">
        <f t="shared" si="7"/>
        <v>0.51434963431754999</v>
      </c>
      <c r="P10" s="30">
        <f t="shared" si="8"/>
        <v>-17.541001597962079</v>
      </c>
      <c r="Q10" s="26"/>
      <c r="R10" s="26">
        <f t="shared" si="9"/>
        <v>9.0544809963730932E-2</v>
      </c>
      <c r="S10" s="30">
        <f t="shared" si="10"/>
        <v>-2.3693209885494739</v>
      </c>
      <c r="T10" s="29">
        <f t="shared" si="11"/>
        <v>5.6136819467810559</v>
      </c>
      <c r="U10" s="29"/>
      <c r="V10" s="27">
        <v>3.43</v>
      </c>
      <c r="W10" s="19">
        <f t="shared" si="6"/>
        <v>0.65700483091787465</v>
      </c>
      <c r="X10" s="27">
        <v>3.75</v>
      </c>
      <c r="Y10" s="19">
        <f t="shared" si="6"/>
        <v>0.27118644067796605</v>
      </c>
      <c r="Z10">
        <v>124.614</v>
      </c>
      <c r="AA10" s="19">
        <f t="shared" si="6"/>
        <v>-1.321634741018185E-2</v>
      </c>
      <c r="AB10">
        <v>13098.759999999998</v>
      </c>
      <c r="AC10" s="19">
        <f t="shared" si="6"/>
        <v>4.0552005516241829E-2</v>
      </c>
      <c r="AD10">
        <v>1230.3205500000001</v>
      </c>
      <c r="AE10" s="19">
        <f t="shared" si="6"/>
        <v>7.7159793195533677E-3</v>
      </c>
      <c r="AF10">
        <v>1137.21388</v>
      </c>
      <c r="AG10" s="19">
        <f t="shared" si="6"/>
        <v>2.3176804098393955E-2</v>
      </c>
    </row>
    <row r="11" spans="1:40" ht="15.6" x14ac:dyDescent="0.3">
      <c r="A11" s="38">
        <f t="shared" si="0"/>
        <v>2431.4998708889807</v>
      </c>
      <c r="B11" s="16">
        <v>2019</v>
      </c>
      <c r="C11" s="24">
        <v>2431.4998708889807</v>
      </c>
      <c r="D11" s="19">
        <f t="shared" si="1"/>
        <v>0.12729762486176832</v>
      </c>
      <c r="E11" s="19"/>
      <c r="F11" s="18">
        <f>'Dados BACEN'!S11-'Dados BACEN'!C11</f>
        <v>3510.5001291110193</v>
      </c>
      <c r="G11" s="19">
        <f t="shared" si="2"/>
        <v>0.12261572114587604</v>
      </c>
      <c r="H11" s="37"/>
      <c r="I11" s="18">
        <f>'Dados BACEN'!R11</f>
        <v>23586</v>
      </c>
      <c r="J11" s="19">
        <f t="shared" si="3"/>
        <v>0.24919230972935758</v>
      </c>
      <c r="L11" s="26">
        <f t="shared" si="4"/>
        <v>0.69263631433186157</v>
      </c>
      <c r="M11" s="26">
        <f t="shared" si="5"/>
        <v>0.10309081111205719</v>
      </c>
      <c r="N11" s="26"/>
      <c r="O11" s="26">
        <f t="shared" si="7"/>
        <v>0.5652489808943556</v>
      </c>
      <c r="P11" s="30">
        <f t="shared" si="8"/>
        <v>-12.738733343750596</v>
      </c>
      <c r="Q11" s="26"/>
      <c r="R11" s="26">
        <f t="shared" si="9"/>
        <v>0.10157644790438619</v>
      </c>
      <c r="S11" s="30">
        <f t="shared" si="10"/>
        <v>-0.15143632076709962</v>
      </c>
      <c r="T11" s="29">
        <f t="shared" si="11"/>
        <v>2.2932959247475886E-2</v>
      </c>
      <c r="U11" s="29"/>
      <c r="V11" s="27">
        <v>4.4800000000000004</v>
      </c>
      <c r="W11" s="19">
        <f t="shared" si="6"/>
        <v>0.30612244897959195</v>
      </c>
      <c r="X11" s="27">
        <v>4.3099999999999996</v>
      </c>
      <c r="Y11" s="19">
        <f t="shared" si="6"/>
        <v>0.14933333333333332</v>
      </c>
      <c r="Z11">
        <v>125.066</v>
      </c>
      <c r="AA11" s="19">
        <f t="shared" si="6"/>
        <v>3.6272007960582719E-3</v>
      </c>
      <c r="AB11">
        <v>13680.15</v>
      </c>
      <c r="AC11" s="19">
        <f t="shared" si="6"/>
        <v>4.4385117369888594E-2</v>
      </c>
      <c r="AD11">
        <v>1216.81898</v>
      </c>
      <c r="AE11" s="19">
        <f t="shared" si="6"/>
        <v>-1.0974026240559986E-2</v>
      </c>
      <c r="AF11">
        <v>1158.1564800000001</v>
      </c>
      <c r="AG11" s="19">
        <f t="shared" si="6"/>
        <v>1.8415709101264222E-2</v>
      </c>
    </row>
    <row r="12" spans="1:40" ht="15.6" x14ac:dyDescent="0.3">
      <c r="A12" s="38">
        <f t="shared" si="0"/>
        <v>2930</v>
      </c>
      <c r="B12" s="16">
        <v>2020</v>
      </c>
      <c r="C12" s="24">
        <v>2930</v>
      </c>
      <c r="D12" s="19">
        <f t="shared" si="1"/>
        <v>0.20501754290809915</v>
      </c>
      <c r="E12" s="19"/>
      <c r="F12" s="18">
        <f>'Dados BACEN'!S12-'Dados BACEN'!C12</f>
        <v>3833</v>
      </c>
      <c r="G12" s="19">
        <f t="shared" si="2"/>
        <v>9.1867215219459064E-2</v>
      </c>
      <c r="H12" s="37"/>
      <c r="I12" s="18">
        <f>'Dados BACEN'!R12</f>
        <v>28460</v>
      </c>
      <c r="J12" s="19">
        <f t="shared" si="3"/>
        <v>0.20664801153226486</v>
      </c>
      <c r="L12" s="26">
        <f t="shared" si="4"/>
        <v>0.76441429689538221</v>
      </c>
      <c r="M12" s="26">
        <f t="shared" si="5"/>
        <v>0.10295151089248067</v>
      </c>
      <c r="N12" s="26"/>
      <c r="O12" s="26">
        <f t="shared" si="7"/>
        <v>0.62805818956080106</v>
      </c>
      <c r="P12" s="30">
        <f t="shared" si="8"/>
        <v>-13.635610733458115</v>
      </c>
      <c r="Q12" s="26"/>
      <c r="R12" s="26">
        <f t="shared" si="9"/>
        <v>0.10866441548064143</v>
      </c>
      <c r="S12" s="30">
        <f t="shared" si="10"/>
        <v>0.5712904588160761</v>
      </c>
      <c r="T12" s="29">
        <f t="shared" si="11"/>
        <v>0.32637278833428274</v>
      </c>
      <c r="U12" s="29"/>
      <c r="V12" s="27">
        <v>5.45</v>
      </c>
      <c r="W12" s="19">
        <f t="shared" si="6"/>
        <v>0.21651785714285698</v>
      </c>
      <c r="X12" s="27">
        <v>4.5199999999999996</v>
      </c>
      <c r="Y12" s="19">
        <f t="shared" si="6"/>
        <v>4.8723897911832958E-2</v>
      </c>
      <c r="Z12">
        <v>131.99</v>
      </c>
      <c r="AA12" s="19">
        <f t="shared" si="6"/>
        <v>5.5362768458254052E-2</v>
      </c>
      <c r="AB12">
        <v>14358.7</v>
      </c>
      <c r="AC12" s="19">
        <f t="shared" si="6"/>
        <v>4.9601064315815346E-2</v>
      </c>
      <c r="AD12">
        <v>1160.3477800000001</v>
      </c>
      <c r="AE12" s="19">
        <f t="shared" si="6"/>
        <v>-4.640887504894109E-2</v>
      </c>
      <c r="AF12">
        <v>1171.8437999999999</v>
      </c>
      <c r="AG12" s="19">
        <f t="shared" si="6"/>
        <v>1.1818195758831918E-2</v>
      </c>
    </row>
    <row r="13" spans="1:40" ht="15.6" x14ac:dyDescent="0.3">
      <c r="A13" s="38">
        <f t="shared" si="0"/>
        <v>2865</v>
      </c>
      <c r="B13" s="16">
        <v>2021</v>
      </c>
      <c r="C13" s="24">
        <v>2865</v>
      </c>
      <c r="D13" s="19">
        <f t="shared" si="1"/>
        <v>-2.2184300341296925E-2</v>
      </c>
      <c r="E13" s="19"/>
      <c r="F13" s="18">
        <f>'Dados BACEN'!S13-'Dados BACEN'!C13</f>
        <v>5015</v>
      </c>
      <c r="G13" s="19">
        <f t="shared" si="2"/>
        <v>0.30837464127315428</v>
      </c>
      <c r="H13" s="37"/>
      <c r="I13" s="18">
        <f>'Dados BACEN'!R13</f>
        <v>35655</v>
      </c>
      <c r="J13" s="19">
        <f t="shared" si="3"/>
        <v>0.25281096275474346</v>
      </c>
      <c r="L13" s="26">
        <f t="shared" si="4"/>
        <v>0.57128614157527413</v>
      </c>
      <c r="M13" s="26">
        <f t="shared" si="5"/>
        <v>8.0353386621792172E-2</v>
      </c>
      <c r="N13" s="26"/>
      <c r="O13" s="26">
        <f t="shared" si="7"/>
        <v>0.7156034205081383</v>
      </c>
      <c r="P13" s="30">
        <f t="shared" si="8"/>
        <v>14.431727893286418</v>
      </c>
      <c r="Q13" s="26"/>
      <c r="R13" s="26">
        <f t="shared" si="9"/>
        <v>0.10302116100226894</v>
      </c>
      <c r="S13" s="30">
        <f t="shared" si="10"/>
        <v>2.2667774380476762</v>
      </c>
      <c r="T13" s="29">
        <f t="shared" si="11"/>
        <v>5.1382799536419865</v>
      </c>
      <c r="U13" s="29"/>
      <c r="V13" s="27">
        <v>10.16</v>
      </c>
      <c r="W13" s="19">
        <f t="shared" si="6"/>
        <v>0.86422018348623841</v>
      </c>
      <c r="X13" s="27">
        <v>10.06</v>
      </c>
      <c r="Y13" s="19">
        <f t="shared" si="6"/>
        <v>1.2256637168141595</v>
      </c>
      <c r="Z13">
        <v>148.20099999999999</v>
      </c>
      <c r="AA13" s="19">
        <f t="shared" si="6"/>
        <v>0.12281991059928776</v>
      </c>
      <c r="AB13">
        <v>17032.39</v>
      </c>
      <c r="AC13" s="19">
        <f t="shared" si="6"/>
        <v>0.18620696859743568</v>
      </c>
      <c r="AD13">
        <v>1209.0516200000002</v>
      </c>
      <c r="AE13" s="19">
        <f t="shared" si="6"/>
        <v>4.1973484880541756E-2</v>
      </c>
      <c r="AF13">
        <v>1188.2176200000001</v>
      </c>
      <c r="AG13" s="19">
        <f t="shared" si="6"/>
        <v>1.397269840912263E-2</v>
      </c>
    </row>
    <row r="14" spans="1:40" ht="15.6" x14ac:dyDescent="0.3">
      <c r="A14" s="39" cm="1">
        <f t="array" ref="A14:A15">_xlfn.FORECAST.LINEAR($B14:$B15,$C6:$C13,$B6:$B13)</f>
        <v>3128.6617593920673</v>
      </c>
      <c r="B14" s="16">
        <v>2022</v>
      </c>
      <c r="C14" s="24">
        <v>3240.1428304485098</v>
      </c>
      <c r="D14" s="19">
        <f t="shared" si="1"/>
        <v>0.13093990591571014</v>
      </c>
      <c r="E14" s="19"/>
      <c r="F14" s="18">
        <f>'Dados BACEN'!S14-'Dados BACEN'!C14</f>
        <v>5269</v>
      </c>
      <c r="G14" s="19">
        <f t="shared" si="2"/>
        <v>5.0648055832502425E-2</v>
      </c>
      <c r="H14" s="37"/>
      <c r="I14" s="18">
        <f>'Dados BACEN'!R14</f>
        <v>40705</v>
      </c>
      <c r="J14" s="19">
        <f t="shared" si="3"/>
        <v>0.14163511428972098</v>
      </c>
      <c r="L14" s="26">
        <f t="shared" si="4"/>
        <v>0.6149445493354545</v>
      </c>
      <c r="M14" s="26">
        <f t="shared" si="5"/>
        <v>7.9600610009790199E-2</v>
      </c>
      <c r="N14" s="26"/>
      <c r="O14" s="26">
        <f t="shared" si="7"/>
        <v>0.67611225093417249</v>
      </c>
      <c r="P14" s="30">
        <f t="shared" si="8"/>
        <v>6.1167701598717983</v>
      </c>
      <c r="Q14" s="26"/>
      <c r="R14" s="26">
        <f t="shared" si="9"/>
        <v>9.165244875713642E-2</v>
      </c>
      <c r="S14" s="30">
        <f t="shared" si="10"/>
        <v>1.2051838747346222</v>
      </c>
      <c r="T14" s="29">
        <f t="shared" si="11"/>
        <v>1.4524681719203576</v>
      </c>
      <c r="U14" s="29"/>
      <c r="V14" s="27">
        <v>5.93</v>
      </c>
      <c r="W14" s="19">
        <f t="shared" si="6"/>
        <v>-0.41633858267716539</v>
      </c>
      <c r="X14" s="27">
        <v>5.79</v>
      </c>
      <c r="Y14" s="19">
        <f t="shared" si="6"/>
        <v>-0.42445328031809149</v>
      </c>
      <c r="Z14">
        <v>174.69</v>
      </c>
      <c r="AA14" s="19">
        <f t="shared" si="6"/>
        <v>0.17873698558039419</v>
      </c>
      <c r="AB14">
        <v>19422.260000000002</v>
      </c>
      <c r="AC14" s="19">
        <f t="shared" si="6"/>
        <v>0.14031325022501262</v>
      </c>
      <c r="AD14">
        <v>1200.8694599999999</v>
      </c>
      <c r="AE14" s="19">
        <f t="shared" si="6"/>
        <v>-6.7674199055292039E-3</v>
      </c>
      <c r="AF14">
        <v>1200</v>
      </c>
      <c r="AG14" s="19">
        <f t="shared" si="6"/>
        <v>9.9160118497483296E-3</v>
      </c>
    </row>
    <row r="15" spans="1:40" x14ac:dyDescent="0.3">
      <c r="A15" s="39">
        <v>3372.3418626830098</v>
      </c>
      <c r="B15" s="20">
        <v>2023</v>
      </c>
      <c r="C15" s="24">
        <v>3303.75075765773</v>
      </c>
      <c r="D15" s="19">
        <f>C15/C14-1</f>
        <v>1.9631210887211203E-2</v>
      </c>
      <c r="E15" s="19"/>
      <c r="F15" s="21">
        <f>5761260.25/1000</f>
        <v>5761.2602500000003</v>
      </c>
      <c r="G15" s="19">
        <f t="shared" si="2"/>
        <v>9.3425744923135268E-2</v>
      </c>
      <c r="H15" s="37"/>
      <c r="I15" s="21">
        <f>40628239.66/1000</f>
        <v>40628.239659999999</v>
      </c>
      <c r="J15" s="19">
        <f t="shared" si="3"/>
        <v>-1.8857717725095924E-3</v>
      </c>
      <c r="L15" s="16"/>
      <c r="M15" s="16"/>
      <c r="N15" s="16"/>
      <c r="O15" s="16"/>
      <c r="P15" s="16"/>
      <c r="Q15" s="16"/>
      <c r="S15" s="30"/>
      <c r="T15" s="29"/>
    </row>
    <row r="16" spans="1:40" x14ac:dyDescent="0.3">
      <c r="B16" s="22">
        <v>2024</v>
      </c>
      <c r="L16" s="17" t="s">
        <v>34</v>
      </c>
      <c r="M16" s="17" t="s">
        <v>34</v>
      </c>
      <c r="N16" s="17"/>
      <c r="O16" s="17"/>
      <c r="P16" s="17"/>
      <c r="Q16" s="17"/>
    </row>
    <row r="17" spans="2:32" x14ac:dyDescent="0.3">
      <c r="L17" s="26">
        <f>_xlfn.STDEV.S(L3:L14)</f>
        <v>9.8731453151685397E-2</v>
      </c>
      <c r="M17" s="26">
        <f>_xlfn.STDEV.S(M3:M14)</f>
        <v>1.0540424608095535E-2</v>
      </c>
      <c r="N17" s="26"/>
      <c r="O17" s="26"/>
      <c r="P17" s="26"/>
      <c r="Q17" s="26"/>
    </row>
    <row r="19" spans="2:32" x14ac:dyDescent="0.3">
      <c r="B19" s="17" t="s">
        <v>16</v>
      </c>
      <c r="C19" s="16" t="s">
        <v>30</v>
      </c>
      <c r="F19" s="25">
        <f>CORREL($C$11:$C$14,F11:F14)</f>
        <v>0.78032851168251782</v>
      </c>
      <c r="I19" s="25">
        <f>CORREL($C$11:$C$14,I11:I14)</f>
        <v>0.88205247981845958</v>
      </c>
      <c r="V19" s="25">
        <f t="shared" ref="V19:AF19" si="12">CORREL($C$11:$C$14,V11:V14)</f>
        <v>0.23662263474551831</v>
      </c>
      <c r="W19" s="25"/>
      <c r="X19" s="25">
        <f t="shared" si="12"/>
        <v>0.2082249655245143</v>
      </c>
      <c r="Y19" s="25"/>
      <c r="Z19" s="25">
        <f t="shared" si="12"/>
        <v>0.85934709569112189</v>
      </c>
      <c r="AA19" s="25"/>
      <c r="AB19" s="25">
        <f t="shared" si="12"/>
        <v>0.82939968216529758</v>
      </c>
      <c r="AC19" s="25"/>
      <c r="AD19" s="25">
        <f t="shared" si="12"/>
        <v>-0.37896349432409582</v>
      </c>
      <c r="AE19" s="25"/>
      <c r="AF19" s="25">
        <f t="shared" si="12"/>
        <v>0.8966992507376601</v>
      </c>
    </row>
    <row r="20" spans="2:32" x14ac:dyDescent="0.3">
      <c r="B20" s="17" t="s">
        <v>17</v>
      </c>
      <c r="C20" s="16" t="s">
        <v>30</v>
      </c>
      <c r="F20" s="25">
        <f>CORREL($C$9:$C$14,F9:F14)</f>
        <v>0.85637852222881816</v>
      </c>
      <c r="I20" s="25">
        <f>CORREL($C$9:$C$14,I9:I14)</f>
        <v>0.91145298030802391</v>
      </c>
      <c r="V20" s="25">
        <f t="shared" ref="V20:AF20" si="13">CORREL($C$9:$C$14,V9:V14)</f>
        <v>0.71207108956255238</v>
      </c>
      <c r="W20" s="25"/>
      <c r="X20" s="25">
        <f t="shared" si="13"/>
        <v>0.58816658340068984</v>
      </c>
      <c r="Y20" s="25"/>
      <c r="Z20" s="25">
        <f t="shared" si="13"/>
        <v>0.71942635079785755</v>
      </c>
      <c r="AA20" s="25"/>
      <c r="AB20" s="25">
        <f t="shared" si="13"/>
        <v>0.81799617924323864</v>
      </c>
      <c r="AC20" s="25"/>
      <c r="AD20" s="25">
        <f t="shared" si="13"/>
        <v>-0.59075946685331104</v>
      </c>
      <c r="AE20" s="25"/>
      <c r="AF20" s="25">
        <f t="shared" si="13"/>
        <v>0.97692991635494408</v>
      </c>
    </row>
    <row r="21" spans="2:32" x14ac:dyDescent="0.3">
      <c r="B21" s="17" t="s">
        <v>18</v>
      </c>
      <c r="C21" s="16" t="s">
        <v>30</v>
      </c>
      <c r="F21" s="25">
        <f>CORREL($C$7:$C$14,F7:F14)</f>
        <v>0.89584452418018889</v>
      </c>
      <c r="I21" s="25">
        <f>CORREL($C$7:$C$14,I7:I14)</f>
        <v>0.93662613204390666</v>
      </c>
      <c r="V21" s="25">
        <f t="shared" ref="V21:AF21" si="14">CORREL($C$7:$C$14,V7:V14)</f>
        <v>4.1266024374771795E-2</v>
      </c>
      <c r="W21" s="25"/>
      <c r="X21" s="25">
        <f t="shared" si="14"/>
        <v>-1.4605695117675821E-2</v>
      </c>
      <c r="Y21" s="25"/>
      <c r="Z21" s="25">
        <f t="shared" si="14"/>
        <v>0.68440577397178493</v>
      </c>
      <c r="AA21" s="25"/>
      <c r="AB21" s="25">
        <f t="shared" si="14"/>
        <v>0.8768328840497317</v>
      </c>
      <c r="AC21" s="25"/>
      <c r="AD21" s="25">
        <f t="shared" si="14"/>
        <v>-0.4850311657136766</v>
      </c>
      <c r="AE21" s="25"/>
      <c r="AF21" s="25">
        <f t="shared" si="14"/>
        <v>0.84154345957458376</v>
      </c>
    </row>
    <row r="22" spans="2:32" x14ac:dyDescent="0.3">
      <c r="B22" s="17" t="s">
        <v>19</v>
      </c>
      <c r="C22" s="16" t="s">
        <v>30</v>
      </c>
      <c r="F22" s="25">
        <f>CORREL($C$5:$C$14,F5:F14)</f>
        <v>0.91362453446880276</v>
      </c>
      <c r="I22" s="25">
        <f>CORREL($C$5:$C$14,I5:I14)</f>
        <v>0.94930083369438845</v>
      </c>
      <c r="V22" s="25">
        <f t="shared" ref="V22:AF22" si="15">CORREL($C$5:$C$14,V5:V14)</f>
        <v>5.9199462798141499E-2</v>
      </c>
      <c r="W22" s="25"/>
      <c r="X22" s="25">
        <f t="shared" si="15"/>
        <v>-1.9525308498421649E-2</v>
      </c>
      <c r="Y22" s="25"/>
      <c r="Z22" s="25">
        <f t="shared" si="15"/>
        <v>0.7301954994147718</v>
      </c>
      <c r="AA22" s="25"/>
      <c r="AB22" s="25">
        <f t="shared" si="15"/>
        <v>0.90614949918727017</v>
      </c>
      <c r="AC22" s="25"/>
      <c r="AD22" s="25">
        <f t="shared" si="15"/>
        <v>-0.59237162475321803</v>
      </c>
      <c r="AE22" s="25"/>
      <c r="AF22" s="25">
        <f t="shared" si="15"/>
        <v>0.38323719488980296</v>
      </c>
    </row>
    <row r="23" spans="2:32" x14ac:dyDescent="0.3">
      <c r="B23" s="17" t="s">
        <v>20</v>
      </c>
      <c r="C23" s="16" t="s">
        <v>30</v>
      </c>
      <c r="F23" s="25">
        <f>CORREL($C$3:$C$14,F3:F14)</f>
        <v>0.92889180016019302</v>
      </c>
      <c r="I23" s="25">
        <f>CORREL($C$3:$C$14,I3:I14)</f>
        <v>0.9594315560949338</v>
      </c>
      <c r="V23" s="25">
        <f>CORREL($C$3:$C$14,V3:V14)</f>
        <v>5.0202128614223213E-2</v>
      </c>
      <c r="W23" s="25"/>
      <c r="X23" s="25">
        <f>CORREL($C$3:$C$14,X3:X14)</f>
        <v>-2.8085973774430298E-2</v>
      </c>
      <c r="Y23" s="25"/>
      <c r="Z23" s="25">
        <f>CORREL($C$3:$C$14,Z3:Z14)</f>
        <v>0.80008541642693864</v>
      </c>
      <c r="AA23" s="25"/>
      <c r="AB23" s="25" t="s">
        <v>30</v>
      </c>
      <c r="AC23" s="25"/>
      <c r="AD23" s="25">
        <f t="shared" ref="AD23:AF23" si="16">CORREL($C$3:$C$14,AD3:AD14)</f>
        <v>-0.71044018897242545</v>
      </c>
      <c r="AE23" s="25"/>
      <c r="AF23" s="25">
        <f t="shared" si="16"/>
        <v>0.52991410201848199</v>
      </c>
    </row>
    <row r="24" spans="2:32" x14ac:dyDescent="0.3">
      <c r="B24" s="17"/>
      <c r="V24" s="16"/>
      <c r="W24" s="16"/>
      <c r="X24" s="16"/>
      <c r="Y24" s="16"/>
      <c r="Z24" s="16"/>
      <c r="AA24" s="16"/>
      <c r="AB24" s="16"/>
      <c r="AC24" s="16"/>
    </row>
    <row r="25" spans="2:32" x14ac:dyDescent="0.3">
      <c r="B25" s="17" t="s">
        <v>21</v>
      </c>
      <c r="C25" s="16" t="s">
        <v>30</v>
      </c>
      <c r="F25" s="25" cm="1">
        <f t="array" ref="F25">CORREL(_xlfn.RANK.AVG($C$11:$C$14,$C$11:$C$14,0),_xlfn.RANK.AVG(F11:F14,F11:F14,0))</f>
        <v>0.79999999999999982</v>
      </c>
      <c r="I25" s="25" cm="1">
        <f t="array" ref="I25">CORREL(_xlfn.RANK.AVG($C$11:$C$14,$C$11:$C$14,0),_xlfn.RANK.AVG(I11:I14,I11:I14,0))</f>
        <v>0.79999999999999982</v>
      </c>
      <c r="V25" s="25" cm="1">
        <f t="array" ref="V25">CORREL(_xlfn.RANK.AVG($C$11:$C$14,$C$11:$C$14,0),_xlfn.RANK.AVG(V11:V14,V11:V14,0))</f>
        <v>0.39999999999999991</v>
      </c>
      <c r="W25" s="25"/>
      <c r="X25" s="25" cm="1">
        <f t="array" ref="X25">CORREL(_xlfn.RANK.AVG($C$11:$C$14,$C$11:$C$14,0),_xlfn.RANK.AVG(X11:X14,X11:X14,0))</f>
        <v>0.39999999999999991</v>
      </c>
      <c r="Y25" s="25"/>
      <c r="Z25" s="25" cm="1">
        <f t="array" ref="Z25">CORREL(_xlfn.RANK.AVG($C$11:$C$14,$C$11:$C$14,0),_xlfn.RANK.AVG(Z11:Z14,Z11:Z14,0))</f>
        <v>0.79999999999999982</v>
      </c>
      <c r="AA25" s="25"/>
      <c r="AB25" s="25" cm="1">
        <f t="array" ref="AB25">CORREL(_xlfn.RANK.AVG($C$11:$C$14,$C$11:$C$14,0),_xlfn.RANK.AVG(AB11:AB14,AB11:AB14,0))</f>
        <v>0.79999999999999982</v>
      </c>
      <c r="AC25" s="25"/>
      <c r="AD25" s="25" cm="1">
        <f t="array" ref="AD25">CORREL(_xlfn.RANK.AVG($C$11:$C$14,$C$11:$C$14,0),_xlfn.RANK.AVG(AD11:AD14,AD11:AD14,0))</f>
        <v>-0.79999999999999982</v>
      </c>
      <c r="AE25" s="25"/>
      <c r="AF25" s="25" cm="1">
        <f t="array" ref="AF25">CORREL(_xlfn.RANK.AVG($C$11:$C$14,$C$11:$C$14,0),_xlfn.RANK.AVG(AF11:AF14,AF11:AF14,0))</f>
        <v>0.79999999999999982</v>
      </c>
    </row>
    <row r="26" spans="2:32" x14ac:dyDescent="0.3">
      <c r="B26" s="17" t="s">
        <v>22</v>
      </c>
      <c r="C26" s="16" t="s">
        <v>30</v>
      </c>
      <c r="F26" s="25" cm="1">
        <f t="array" ref="F26">CORREL(_xlfn.RANK.AVG($C$9:$C$14,$C$9:$C$14,0),_xlfn.RANK.AVG(F9:F14,F9:F14,0))</f>
        <v>0.94285714285714295</v>
      </c>
      <c r="I26" s="25" cm="1">
        <f t="array" ref="I26">CORREL(_xlfn.RANK.AVG($C$9:$C$14,$C$9:$C$14,0),_xlfn.RANK.AVG(I9:I14,I9:I14,0))</f>
        <v>0.94285714285714295</v>
      </c>
      <c r="V26" s="25" cm="1">
        <f t="array" ref="V26">CORREL(_xlfn.RANK.AVG($C$9:$C$14,$C$9:$C$14,0),_xlfn.RANK.AVG(V9:V14,V9:V14,0))</f>
        <v>0.82857142857142851</v>
      </c>
      <c r="W26" s="25"/>
      <c r="X26" s="25" cm="1">
        <f t="array" ref="X26">CORREL(_xlfn.RANK.AVG($C$9:$C$14,$C$9:$C$14,0),_xlfn.RANK.AVG(X9:X14,X9:X14,0))</f>
        <v>0.82857142857142851</v>
      </c>
      <c r="Y26" s="25"/>
      <c r="Z26" s="25" cm="1">
        <f t="array" ref="Z26">CORREL(_xlfn.RANK.AVG($C$9:$C$14,$C$9:$C$14,0),_xlfn.RANK.AVG(Z9:Z14,Z9:Z14,0))</f>
        <v>0.77142857142857146</v>
      </c>
      <c r="AA26" s="25"/>
      <c r="AB26" s="25" cm="1">
        <f t="array" ref="AB26">CORREL(_xlfn.RANK.AVG($C$9:$C$14,$C$9:$C$14,0),_xlfn.RANK.AVG(AB9:AB14,AB9:AB14,0))</f>
        <v>0.94285714285714295</v>
      </c>
      <c r="AC26" s="25"/>
      <c r="AD26" s="25" cm="1">
        <f t="array" ref="AD26">CORREL(_xlfn.RANK.AVG($C$9:$C$14,$C$9:$C$14,0),_xlfn.RANK.AVG(AD9:AD14,AD9:AD14,0))</f>
        <v>-0.88571428571428579</v>
      </c>
      <c r="AE26" s="25"/>
      <c r="AF26" s="25" cm="1">
        <f t="array" ref="AF26">CORREL(_xlfn.RANK.AVG($C$9:$C$14,$C$9:$C$14,0),_xlfn.RANK.AVG(AF9:AF14,AF9:AF14,0))</f>
        <v>0.94285714285714295</v>
      </c>
    </row>
    <row r="27" spans="2:32" x14ac:dyDescent="0.3">
      <c r="B27" s="17" t="s">
        <v>23</v>
      </c>
      <c r="C27" s="16" t="s">
        <v>30</v>
      </c>
      <c r="F27" s="25" cm="1">
        <f t="array" ref="F27">CORREL(_xlfn.RANK.AVG($C$7:$C$14,$C$7:$C$14,0),_xlfn.RANK.AVG(F7:F14,F7:F14,0))</f>
        <v>0.90476190476190477</v>
      </c>
      <c r="I27" s="25" cm="1">
        <f t="array" ref="I27">CORREL(_xlfn.RANK.AVG($C$7:$C$14,$C$7:$C$14,0),_xlfn.RANK.AVG(I7:I14,I7:I14,0))</f>
        <v>0.90476190476190477</v>
      </c>
      <c r="V27" s="25" cm="1">
        <f t="array" ref="V27">CORREL(_xlfn.RANK.AVG($C$7:$C$14,$C$7:$C$14,0),_xlfn.RANK.AVG(V7:V14,V7:V14,0))</f>
        <v>7.1428571428571425E-2</v>
      </c>
      <c r="W27" s="25"/>
      <c r="X27" s="25" cm="1">
        <f t="array" ref="X27">CORREL(_xlfn.RANK.AVG($C$7:$C$14,$C$7:$C$14,0),_xlfn.RANK.AVG(X7:X14,X7:X14,0))</f>
        <v>7.1428571428571425E-2</v>
      </c>
      <c r="Y27" s="25"/>
      <c r="Z27" s="25" cm="1">
        <f t="array" ref="Z27">CORREL(_xlfn.RANK.AVG($C$7:$C$14,$C$7:$C$14,0),_xlfn.RANK.AVG(Z7:Z14,Z7:Z14,0))</f>
        <v>0.59523809523809523</v>
      </c>
      <c r="AA27" s="25"/>
      <c r="AB27" s="25" cm="1">
        <f t="array" ref="AB27">CORREL(_xlfn.RANK.AVG($C$7:$C$14,$C$7:$C$14,0),_xlfn.RANK.AVG(AB7:AB14,AB7:AB14,0))</f>
        <v>0.90476190476190477</v>
      </c>
      <c r="AC27" s="25"/>
      <c r="AD27" s="25" cm="1">
        <f t="array" ref="AD27">CORREL(_xlfn.RANK.AVG($C$7:$C$14,$C$7:$C$14,0),_xlfn.RANK.AVG(AD7:AD14,AD7:AD14,0))</f>
        <v>-0.38095238095238093</v>
      </c>
      <c r="AE27" s="25"/>
      <c r="AF27" s="25" cm="1">
        <f t="array" ref="AF27">CORREL(_xlfn.RANK.AVG($C$7:$C$14,$C$7:$C$14,0),_xlfn.RANK.AVG(AF7:AF14,AF7:AF14,0))</f>
        <v>0.90476190476190477</v>
      </c>
    </row>
    <row r="28" spans="2:32" x14ac:dyDescent="0.3">
      <c r="B28" s="17" t="s">
        <v>24</v>
      </c>
      <c r="C28" s="16" t="s">
        <v>30</v>
      </c>
      <c r="F28" s="25" cm="1">
        <f t="array" ref="F28">CORREL(_xlfn.RANK.AVG($C$5:$C$14,$C$5:$C$14,0),_xlfn.RANK.AVG(F5:F14,F5:F14,0))</f>
        <v>0.87878787878787878</v>
      </c>
      <c r="I28" s="25" cm="1">
        <f t="array" ref="I28">CORREL(_xlfn.RANK.AVG($C$5:$C$14,$C$5:$C$14,0),_xlfn.RANK.AVG(I5:I14,I5:I14,0))</f>
        <v>0.87878787878787878</v>
      </c>
      <c r="V28" s="25" cm="1">
        <f t="array" ref="V28">CORREL(_xlfn.RANK.AVG($C$5:$C$14,$C$5:$C$14,0),_xlfn.RANK.AVG(V5:V14,V5:V14,0))</f>
        <v>-3.0303030303030304E-2</v>
      </c>
      <c r="W28" s="25"/>
      <c r="X28" s="25" cm="1">
        <f t="array" ref="X28">CORREL(_xlfn.RANK.AVG($C$5:$C$14,$C$5:$C$14,0),_xlfn.RANK.AVG(X5:X14,X5:X14,0))</f>
        <v>-0.10303030303030303</v>
      </c>
      <c r="Y28" s="25"/>
      <c r="Z28" s="25" cm="1">
        <f t="array" ref="Z28">CORREL(_xlfn.RANK.AVG($C$5:$C$14,$C$5:$C$14,0),_xlfn.RANK.AVG(Z5:Z14,Z5:Z14,0))</f>
        <v>0.67272727272727273</v>
      </c>
      <c r="AA28" s="25"/>
      <c r="AB28" s="25" cm="1">
        <f t="array" ref="AB28">CORREL(_xlfn.RANK.AVG($C$5:$C$14,$C$5:$C$14,0),_xlfn.RANK.AVG(AB5:AB14,AB5:AB14,0))</f>
        <v>0.87878787878787878</v>
      </c>
      <c r="AC28" s="25"/>
      <c r="AD28" s="25" cm="1">
        <f t="array" ref="AD28">CORREL(_xlfn.RANK.AVG($C$5:$C$14,$C$5:$C$14,0),_xlfn.RANK.AVG(AD5:AD14,AD5:AD14,0))</f>
        <v>-0.55151515151515151</v>
      </c>
      <c r="AE28" s="25"/>
      <c r="AF28" s="25" cm="1">
        <f t="array" ref="AF28">CORREL(_xlfn.RANK.AVG($C$5:$C$14,$C$5:$C$14,0),_xlfn.RANK.AVG(AF5:AF14,AF5:AF14,0))</f>
        <v>0.44242424242424239</v>
      </c>
    </row>
    <row r="29" spans="2:32" x14ac:dyDescent="0.3">
      <c r="B29" s="17" t="s">
        <v>25</v>
      </c>
      <c r="C29" s="16" t="s">
        <v>30</v>
      </c>
      <c r="F29" s="25" cm="1">
        <f t="array" ref="F29">CORREL(_xlfn.RANK.AVG($C$3:$C$14,$C$3:$C$14,0),_xlfn.RANK.AVG(F3:F14,F3:F14,0))</f>
        <v>0.93006993006993033</v>
      </c>
      <c r="G29" s="25"/>
      <c r="H29" s="25"/>
      <c r="I29" s="25" cm="1">
        <f t="array" ref="I29">CORREL(_xlfn.RANK.AVG($C$3:$C$14,$C$3:$C$14,0),_xlfn.RANK.AVG(I3:I14,I3:I14,0))</f>
        <v>0.93006993006993033</v>
      </c>
      <c r="V29" s="25" cm="1">
        <f t="array" ref="V29">CORREL(_xlfn.RANK.AVG($C$3:$C$14,$C$3:$C$14,0),_xlfn.RANK.AVG(V3:V14,V3:V14,0))</f>
        <v>-0.1398601398601399</v>
      </c>
      <c r="W29" s="25"/>
      <c r="X29" s="25" cm="1">
        <f t="array" ref="X29">CORREL(_xlfn.RANK.AVG($C$3:$C$14,$C$3:$C$14,0),_xlfn.RANK.AVG(X3:X14,X3:X14,0))</f>
        <v>-0.24475524475524479</v>
      </c>
      <c r="Y29" s="25"/>
      <c r="Z29" s="25" cm="1">
        <f t="array" ref="Z29">CORREL(_xlfn.RANK.AVG($C$3:$C$14,$C$3:$C$14,0),_xlfn.RANK.AVG(Z3:Z14,Z3:Z14,0))</f>
        <v>0.81118881118881125</v>
      </c>
      <c r="AA29" s="25"/>
      <c r="AB29" s="25" t="s">
        <v>30</v>
      </c>
      <c r="AC29" s="25"/>
      <c r="AD29" s="25" cm="1">
        <f t="array" ref="AD29">CORREL(_xlfn.RANK.AVG($C$3:$C$14,$C$3:$C$14,0),_xlfn.RANK.AVG(AD3:AD14,AD3:AD14,0))</f>
        <v>-0.73426573426573438</v>
      </c>
      <c r="AE29" s="25"/>
      <c r="AF29" s="25" cm="1">
        <f t="array" ref="AF29">CORREL(_xlfn.RANK.AVG($C$3:$C$14,$C$3:$C$14,0),_xlfn.RANK.AVG(AF3:AF14,AF3:AF14,0))</f>
        <v>0.60139860139860157</v>
      </c>
    </row>
  </sheetData>
  <mergeCells count="2">
    <mergeCell ref="O4:P4"/>
    <mergeCell ref="R4:S4"/>
  </mergeCells>
  <conditionalFormatting sqref="D4:E15">
    <cfRule type="cellIs" dxfId="21" priority="44" operator="lessThan">
      <formula>0</formula>
    </cfRule>
    <cfRule type="cellIs" dxfId="20" priority="45" operator="greaterThan">
      <formula>0</formula>
    </cfRule>
  </conditionalFormatting>
  <conditionalFormatting sqref="F19:F23">
    <cfRule type="colorScale" priority="39">
      <colorScale>
        <cfvo type="min"/>
        <cfvo type="max"/>
        <color rgb="FFFFEF9C"/>
        <color rgb="FF63BE7B"/>
      </colorScale>
    </cfRule>
  </conditionalFormatting>
  <conditionalFormatting sqref="F25:F29">
    <cfRule type="colorScale" priority="41">
      <colorScale>
        <cfvo type="min"/>
        <cfvo type="max"/>
        <color rgb="FFFFEF9C"/>
        <color rgb="FF63BE7B"/>
      </colorScale>
    </cfRule>
  </conditionalFormatting>
  <conditionalFormatting sqref="G4:G15">
    <cfRule type="cellIs" dxfId="19" priority="46" operator="lessThan">
      <formula>0</formula>
    </cfRule>
    <cfRule type="cellIs" dxfId="18" priority="47" operator="greaterThan">
      <formula>0</formula>
    </cfRule>
  </conditionalFormatting>
  <conditionalFormatting sqref="I19:I23">
    <cfRule type="colorScale" priority="38">
      <colorScale>
        <cfvo type="min"/>
        <cfvo type="max"/>
        <color rgb="FFFFEF9C"/>
        <color rgb="FF63BE7B"/>
      </colorScale>
    </cfRule>
  </conditionalFormatting>
  <conditionalFormatting sqref="I25:I29">
    <cfRule type="colorScale" priority="40">
      <colorScale>
        <cfvo type="min"/>
        <cfvo type="max"/>
        <color rgb="FFFFEF9C"/>
        <color rgb="FF63BE7B"/>
      </colorScale>
    </cfRule>
  </conditionalFormatting>
  <conditionalFormatting sqref="J4:J15">
    <cfRule type="cellIs" dxfId="17" priority="42" operator="lessThan">
      <formula>0</formula>
    </cfRule>
    <cfRule type="cellIs" dxfId="16" priority="43" operator="greaterThan">
      <formula>0</formula>
    </cfRule>
  </conditionalFormatting>
  <conditionalFormatting sqref="L3:L14">
    <cfRule type="colorScale" priority="37">
      <colorScale>
        <cfvo type="min"/>
        <cfvo type="max"/>
        <color rgb="FFFCFCFF"/>
        <color rgb="FF63BE7B"/>
      </colorScale>
    </cfRule>
  </conditionalFormatting>
  <conditionalFormatting sqref="M3:Q3 M5:N14 M4:O4 Q4:Q14">
    <cfRule type="colorScale" priority="36">
      <colorScale>
        <cfvo type="min"/>
        <cfvo type="max"/>
        <color rgb="FFFCFCFF"/>
        <color rgb="FF63BE7B"/>
      </colorScale>
    </cfRule>
  </conditionalFormatting>
  <conditionalFormatting sqref="P6:P1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R4">
    <cfRule type="colorScale" priority="13">
      <colorScale>
        <cfvo type="min"/>
        <cfvo type="max"/>
        <color rgb="FFFCFCFF"/>
        <color rgb="FF63BE7B"/>
      </colorScale>
    </cfRule>
  </conditionalFormatting>
  <conditionalFormatting sqref="S6:U14 S15:T15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13" priority="18" operator="lessThan">
      <formula>0</formula>
    </cfRule>
    <cfRule type="cellIs" dxfId="12" priority="19" operator="greaterThan">
      <formula>0</formula>
    </cfRule>
  </conditionalFormatting>
  <conditionalFormatting sqref="V19:W23">
    <cfRule type="colorScale" priority="34">
      <colorScale>
        <cfvo type="min"/>
        <cfvo type="max"/>
        <color rgb="FFFFEF9C"/>
        <color rgb="FF63BE7B"/>
      </colorScale>
    </cfRule>
  </conditionalFormatting>
  <conditionalFormatting sqref="V25:W29">
    <cfRule type="colorScale" priority="35">
      <colorScale>
        <cfvo type="min"/>
        <cfvo type="max"/>
        <color rgb="FFFFEF9C"/>
        <color rgb="FF63BE7B"/>
      </colorScale>
    </cfRule>
  </conditionalFormatting>
  <conditionalFormatting sqref="X19:Y23">
    <cfRule type="colorScale" priority="32">
      <colorScale>
        <cfvo type="min"/>
        <cfvo type="max"/>
        <color rgb="FFFFEF9C"/>
        <color rgb="FF63BE7B"/>
      </colorScale>
    </cfRule>
  </conditionalFormatting>
  <conditionalFormatting sqref="X25:Y29">
    <cfRule type="colorScale" priority="33">
      <colorScale>
        <cfvo type="min"/>
        <cfvo type="max"/>
        <color rgb="FFFFEF9C"/>
        <color rgb="FF63BE7B"/>
      </colorScale>
    </cfRule>
  </conditionalFormatting>
  <conditionalFormatting sqref="Z19:AA23">
    <cfRule type="colorScale" priority="30">
      <colorScale>
        <cfvo type="min"/>
        <cfvo type="max"/>
        <color rgb="FFFFEF9C"/>
        <color rgb="FF63BE7B"/>
      </colorScale>
    </cfRule>
  </conditionalFormatting>
  <conditionalFormatting sqref="Z25:AA29">
    <cfRule type="colorScale" priority="31">
      <colorScale>
        <cfvo type="min"/>
        <cfvo type="max"/>
        <color rgb="FFFFEF9C"/>
        <color rgb="FF63BE7B"/>
      </colorScale>
    </cfRule>
  </conditionalFormatting>
  <conditionalFormatting sqref="AB19:AC23">
    <cfRule type="colorScale" priority="28">
      <colorScale>
        <cfvo type="min"/>
        <cfvo type="max"/>
        <color rgb="FFFFEF9C"/>
        <color rgb="FF63BE7B"/>
      </colorScale>
    </cfRule>
  </conditionalFormatting>
  <conditionalFormatting sqref="AB25:AC29">
    <cfRule type="colorScale" priority="29">
      <colorScale>
        <cfvo type="min"/>
        <cfvo type="max"/>
        <color rgb="FFFFEF9C"/>
        <color rgb="FF63BE7B"/>
      </colorScale>
    </cfRule>
  </conditionalFormatting>
  <conditionalFormatting sqref="AD19:AE22">
    <cfRule type="colorScale" priority="27">
      <colorScale>
        <cfvo type="min"/>
        <cfvo type="max"/>
        <color rgb="FFFFEF9C"/>
        <color rgb="FF63BE7B"/>
      </colorScale>
    </cfRule>
  </conditionalFormatting>
  <conditionalFormatting sqref="AD25:AE28">
    <cfRule type="colorScale" priority="26">
      <colorScale>
        <cfvo type="min"/>
        <cfvo type="max"/>
        <color rgb="FFFFEF9C"/>
        <color rgb="FF63BE7B"/>
      </colorScale>
    </cfRule>
  </conditionalFormatting>
  <conditionalFormatting sqref="AD23:AF23">
    <cfRule type="colorScale" priority="20">
      <colorScale>
        <cfvo type="min"/>
        <cfvo type="max"/>
        <color rgb="FFFFEF9C"/>
        <color rgb="FF63BE7B"/>
      </colorScale>
    </cfRule>
  </conditionalFormatting>
  <conditionalFormatting sqref="AD29:AF29">
    <cfRule type="colorScale" priority="21">
      <colorScale>
        <cfvo type="min"/>
        <cfvo type="max"/>
        <color rgb="FFFFEF9C"/>
        <color rgb="FF63BE7B"/>
      </colorScale>
    </cfRule>
  </conditionalFormatting>
  <conditionalFormatting sqref="AF19:AF22">
    <cfRule type="colorScale" priority="25">
      <colorScale>
        <cfvo type="min"/>
        <cfvo type="max"/>
        <color rgb="FFFFEF9C"/>
        <color rgb="FF63BE7B"/>
      </colorScale>
    </cfRule>
  </conditionalFormatting>
  <conditionalFormatting sqref="AF25:AF28">
    <cfRule type="colorScale" priority="24">
      <colorScale>
        <cfvo type="min"/>
        <cfvo type="max"/>
        <color rgb="FFFFEF9C"/>
        <color rgb="FF63BE7B"/>
      </colorScale>
    </cfRule>
  </conditionalFormatting>
  <conditionalFormatting sqref="W4:W14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Y4:Y14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AA4:AA14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AC4:AC14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AE4:AE14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AG4:AG14">
    <cfRule type="cellIs" dxfId="1" priority="1" operator="lessThan">
      <formula>0</formula>
    </cfRule>
    <cfRule type="cellIs" dxfId="0" priority="2" operator="greaterThan">
      <formula>0</formula>
    </cfRule>
  </conditionalFormatting>
  <pageMargins left="0.511811024" right="0.511811024" top="0.78740157499999996" bottom="0.78740157499999996" header="0.31496062000000002" footer="0.31496062000000002"/>
  <ignoredErrors>
    <ignoredError sqref="V19:V29" formulaRange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B26E-748B-42A7-8F6D-DD6275DB2D38}">
  <dimension ref="C2:J30"/>
  <sheetViews>
    <sheetView showGridLines="0" topLeftCell="A17" zoomScale="77" workbookViewId="0">
      <selection activeCell="AQ69" sqref="AQ69"/>
    </sheetView>
  </sheetViews>
  <sheetFormatPr defaultRowHeight="14.4" x14ac:dyDescent="0.3"/>
  <cols>
    <col min="3" max="4" width="8.88671875" style="16"/>
    <col min="5" max="5" width="10.44140625" bestFit="1" customWidth="1"/>
    <col min="6" max="6" width="16.33203125" bestFit="1" customWidth="1"/>
    <col min="7" max="7" width="5.21875" customWidth="1"/>
    <col min="8" max="8" width="12" bestFit="1" customWidth="1"/>
    <col min="9" max="9" width="11.88671875" bestFit="1" customWidth="1"/>
  </cols>
  <sheetData>
    <row r="2" spans="3:10" x14ac:dyDescent="0.3">
      <c r="D2" s="16" t="s">
        <v>52</v>
      </c>
      <c r="E2" t="s">
        <v>51</v>
      </c>
      <c r="F2" t="s">
        <v>53</v>
      </c>
      <c r="H2" t="s">
        <v>55</v>
      </c>
      <c r="I2" t="s">
        <v>56</v>
      </c>
      <c r="J2" t="s">
        <v>54</v>
      </c>
    </row>
    <row r="3" spans="3:10" x14ac:dyDescent="0.3">
      <c r="C3" s="16" t="s">
        <v>46</v>
      </c>
      <c r="D3" s="16">
        <v>1500</v>
      </c>
      <c r="E3" s="36">
        <f>1-(D3-$D$8)/D3</f>
        <v>0.9916666666666667</v>
      </c>
      <c r="F3">
        <f>E3*D3</f>
        <v>1487.5</v>
      </c>
      <c r="H3">
        <f>F3*E3</f>
        <v>1475.1041666666667</v>
      </c>
      <c r="I3" s="36">
        <f>E3</f>
        <v>0.9916666666666667</v>
      </c>
      <c r="J3">
        <f>SUM(H3:H6)/SUM(I3:I6)</f>
        <v>1487.5000000000002</v>
      </c>
    </row>
    <row r="4" spans="3:10" x14ac:dyDescent="0.3">
      <c r="C4" s="16" t="s">
        <v>47</v>
      </c>
      <c r="D4" s="16">
        <v>1400</v>
      </c>
      <c r="E4" s="36">
        <f>1-(D4-$D$8)/D4</f>
        <v>1.0625</v>
      </c>
      <c r="F4">
        <f t="shared" ref="F4:F6" si="0">E4*D4</f>
        <v>1487.5</v>
      </c>
      <c r="H4">
        <f t="shared" ref="H4:H6" si="1">F4*E4</f>
        <v>1580.46875</v>
      </c>
      <c r="I4" s="36">
        <f t="shared" ref="I4:I6" si="2">E4</f>
        <v>1.0625</v>
      </c>
    </row>
    <row r="5" spans="3:10" x14ac:dyDescent="0.3">
      <c r="C5" s="16" t="s">
        <v>48</v>
      </c>
      <c r="D5" s="16">
        <v>1600</v>
      </c>
      <c r="E5" s="36">
        <f t="shared" ref="E5:E6" si="3">1-(D5-$D$8)/D5</f>
        <v>0.9296875</v>
      </c>
      <c r="F5">
        <f t="shared" si="0"/>
        <v>1487.5</v>
      </c>
      <c r="H5">
        <f t="shared" si="1"/>
        <v>1382.91015625</v>
      </c>
      <c r="I5" s="36">
        <f t="shared" si="2"/>
        <v>0.9296875</v>
      </c>
    </row>
    <row r="6" spans="3:10" x14ac:dyDescent="0.3">
      <c r="C6" s="16" t="s">
        <v>49</v>
      </c>
      <c r="D6" s="16">
        <v>1450</v>
      </c>
      <c r="E6" s="36">
        <f t="shared" si="3"/>
        <v>1.0258620689655173</v>
      </c>
      <c r="F6">
        <f t="shared" si="0"/>
        <v>1487.5000000000002</v>
      </c>
      <c r="H6">
        <f t="shared" si="1"/>
        <v>1525.9698275862072</v>
      </c>
      <c r="I6" s="36">
        <f t="shared" si="2"/>
        <v>1.0258620689655173</v>
      </c>
    </row>
    <row r="8" spans="3:10" x14ac:dyDescent="0.3">
      <c r="C8" s="16" t="s">
        <v>50</v>
      </c>
      <c r="D8" s="35">
        <f>AVERAGE(D3:D6)</f>
        <v>1487.5</v>
      </c>
      <c r="E8" s="36"/>
    </row>
    <row r="9" spans="3:10" x14ac:dyDescent="0.3">
      <c r="D9" s="35"/>
      <c r="E9" s="36"/>
    </row>
    <row r="10" spans="3:10" x14ac:dyDescent="0.3">
      <c r="D10" s="35"/>
      <c r="E10" s="36"/>
    </row>
    <row r="11" spans="3:10" x14ac:dyDescent="0.3">
      <c r="D11" s="35"/>
      <c r="E11" s="36"/>
    </row>
    <row r="12" spans="3:10" x14ac:dyDescent="0.3">
      <c r="D12" s="35"/>
      <c r="E12" s="36"/>
    </row>
    <row r="13" spans="3:10" x14ac:dyDescent="0.3">
      <c r="D13" s="35"/>
      <c r="E13" s="36"/>
    </row>
    <row r="14" spans="3:10" x14ac:dyDescent="0.3">
      <c r="D14" s="35"/>
      <c r="E14" s="36"/>
    </row>
    <row r="15" spans="3:10" x14ac:dyDescent="0.3">
      <c r="D15" s="35"/>
      <c r="E15" s="36"/>
    </row>
    <row r="16" spans="3:10" x14ac:dyDescent="0.3">
      <c r="D16" s="35"/>
      <c r="E16" s="36"/>
    </row>
    <row r="17" spans="4:5" x14ac:dyDescent="0.3">
      <c r="D17" s="35"/>
      <c r="E17" s="36"/>
    </row>
    <row r="18" spans="4:5" x14ac:dyDescent="0.3">
      <c r="D18" s="35"/>
      <c r="E18" s="36"/>
    </row>
    <row r="19" spans="4:5" x14ac:dyDescent="0.3">
      <c r="D19" s="35"/>
      <c r="E19" s="36"/>
    </row>
    <row r="20" spans="4:5" x14ac:dyDescent="0.3">
      <c r="D20" s="35"/>
      <c r="E20" s="36"/>
    </row>
    <row r="21" spans="4:5" x14ac:dyDescent="0.3">
      <c r="D21" s="35"/>
      <c r="E21" s="36"/>
    </row>
    <row r="22" spans="4:5" x14ac:dyDescent="0.3">
      <c r="D22" s="35"/>
      <c r="E22" s="36"/>
    </row>
    <row r="23" spans="4:5" x14ac:dyDescent="0.3">
      <c r="D23" s="35"/>
      <c r="E23" s="36"/>
    </row>
    <row r="24" spans="4:5" x14ac:dyDescent="0.3">
      <c r="D24" s="35"/>
      <c r="E24" s="36"/>
    </row>
    <row r="25" spans="4:5" x14ac:dyDescent="0.3">
      <c r="D25" s="35"/>
      <c r="E25" s="36"/>
    </row>
    <row r="26" spans="4:5" x14ac:dyDescent="0.3">
      <c r="D26" s="35"/>
      <c r="E26" s="36"/>
    </row>
    <row r="27" spans="4:5" x14ac:dyDescent="0.3">
      <c r="D27" s="35"/>
      <c r="E27" s="36"/>
    </row>
    <row r="28" spans="4:5" x14ac:dyDescent="0.3">
      <c r="D28" s="35"/>
      <c r="E28" s="36"/>
    </row>
    <row r="29" spans="4:5" x14ac:dyDescent="0.3">
      <c r="D29" s="35"/>
      <c r="E29" s="36"/>
    </row>
    <row r="30" spans="4:5" x14ac:dyDescent="0.3">
      <c r="D30" s="35"/>
      <c r="E30" s="36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BACEN</vt:lpstr>
      <vt:lpstr>Análises - Corr. Bol. Intra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>victor hugo</cp:lastModifiedBy>
  <dcterms:created xsi:type="dcterms:W3CDTF">2024-06-03T23:17:24Z</dcterms:created>
  <dcterms:modified xsi:type="dcterms:W3CDTF">2024-07-15T01:14:09Z</dcterms:modified>
</cp:coreProperties>
</file>