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70" windowWidth="13095" windowHeight="7620"/>
  </bookViews>
  <sheets>
    <sheet name="Actual" sheetId="1" r:id="rId1"/>
  </sheets>
  <calcPr calcId="145621"/>
</workbook>
</file>

<file path=xl/calcChain.xml><?xml version="1.0" encoding="utf-8"?>
<calcChain xmlns="http://schemas.openxmlformats.org/spreadsheetml/2006/main">
  <c r="E26" i="1" l="1"/>
  <c r="D26" i="1"/>
  <c r="D25" i="1"/>
  <c r="C25" i="1"/>
  <c r="M9" i="1"/>
  <c r="F24" i="1"/>
  <c r="E24" i="1"/>
  <c r="I20" i="1" l="1"/>
  <c r="I19" i="1"/>
  <c r="F18" i="1" l="1"/>
  <c r="E9" i="1" l="1"/>
  <c r="B19" i="1"/>
  <c r="C18" i="1"/>
  <c r="B18" i="1"/>
  <c r="K9" i="1"/>
  <c r="J9" i="1"/>
  <c r="H9" i="1"/>
  <c r="G9" i="1"/>
  <c r="F9" i="1"/>
  <c r="D9" i="1"/>
  <c r="C9" i="1"/>
  <c r="E4" i="1"/>
  <c r="E3" i="1"/>
  <c r="L12" i="1" s="1"/>
  <c r="L13" i="1" s="1"/>
  <c r="E2" i="1"/>
  <c r="M12" i="1" l="1"/>
  <c r="M13" i="1" s="1"/>
  <c r="E27" i="1"/>
  <c r="C17" i="1"/>
  <c r="B17" i="1"/>
  <c r="B20" i="1" s="1"/>
  <c r="B21" i="1" s="1"/>
  <c r="K11" i="1" s="1"/>
  <c r="C26" i="1" l="1"/>
  <c r="B25" i="1"/>
  <c r="D27" i="1"/>
  <c r="K12" i="1" l="1"/>
  <c r="K13" i="1" s="1"/>
  <c r="C27" i="1" l="1"/>
  <c r="J11" i="1"/>
  <c r="B26" i="1" s="1"/>
  <c r="F26" i="1" s="1"/>
  <c r="F25" i="1"/>
  <c r="J12" i="1" l="1"/>
  <c r="J13" i="1" s="1"/>
  <c r="C19" i="1"/>
  <c r="C20" i="1" s="1"/>
  <c r="C21" i="1" s="1"/>
  <c r="F17" i="1" s="1"/>
  <c r="F19" i="1" s="1"/>
  <c r="F20" i="1" s="1"/>
  <c r="H11" i="1" l="1"/>
  <c r="H12" i="1" s="1"/>
  <c r="H13" i="1" s="1"/>
  <c r="B27" i="1"/>
  <c r="F27" i="1" s="1"/>
  <c r="F28" i="1" s="1"/>
  <c r="B29" i="1" s="1"/>
  <c r="G11" i="1" l="1"/>
  <c r="F11" i="1" s="1"/>
  <c r="F12" i="1" s="1"/>
  <c r="F13" i="1" s="1"/>
  <c r="G12" i="1" l="1"/>
  <c r="G13" i="1" s="1"/>
  <c r="E11" i="1"/>
  <c r="E12" i="1" s="1"/>
  <c r="E13" i="1" s="1"/>
  <c r="D11" i="1" l="1"/>
  <c r="D12" i="1" s="1"/>
  <c r="D13" i="1" s="1"/>
  <c r="C11" i="1" l="1"/>
  <c r="C12" i="1" s="1"/>
  <c r="C13" i="1" s="1"/>
</calcChain>
</file>

<file path=xl/sharedStrings.xml><?xml version="1.0" encoding="utf-8"?>
<sst xmlns="http://schemas.openxmlformats.org/spreadsheetml/2006/main" count="66" uniqueCount="57">
  <si>
    <t>Constants:</t>
  </si>
  <si>
    <t>LE_nand3</t>
  </si>
  <si>
    <t>LE_nand2</t>
  </si>
  <si>
    <t>LE_inv</t>
  </si>
  <si>
    <t>Ratio_nand3</t>
  </si>
  <si>
    <t>Ratio_nand2</t>
  </si>
  <si>
    <t>Ratio_inv</t>
  </si>
  <si>
    <t>Stage</t>
  </si>
  <si>
    <t>C_PreDec</t>
  </si>
  <si>
    <t>C_WL</t>
  </si>
  <si>
    <t>Type</t>
  </si>
  <si>
    <t>Cin</t>
  </si>
  <si>
    <t>Nand3</t>
  </si>
  <si>
    <t>Inv</t>
  </si>
  <si>
    <t>Nand2</t>
  </si>
  <si>
    <t>Cside</t>
  </si>
  <si>
    <t>Cload</t>
  </si>
  <si>
    <t>LE</t>
  </si>
  <si>
    <t>Branching</t>
  </si>
  <si>
    <t>TotalSize(λ)</t>
  </si>
  <si>
    <t>PmosSize</t>
  </si>
  <si>
    <t>NmosSize</t>
  </si>
  <si>
    <t>First Stages</t>
  </si>
  <si>
    <t>PathLE</t>
  </si>
  <si>
    <t>PathB</t>
  </si>
  <si>
    <t>TotalFO</t>
  </si>
  <si>
    <t>PE</t>
  </si>
  <si>
    <t>SE</t>
  </si>
  <si>
    <t>All Stages/Last Stages</t>
  </si>
  <si>
    <t>Delay(Tinv)</t>
  </si>
  <si>
    <t>Delay(SE)</t>
  </si>
  <si>
    <t>Delay(Par)</t>
  </si>
  <si>
    <t>SimdelayR</t>
  </si>
  <si>
    <t>SimdelayF</t>
  </si>
  <si>
    <t>SimR(FO4)</t>
  </si>
  <si>
    <t>Delay(FO4)</t>
  </si>
  <si>
    <t>SimF(FO4)</t>
  </si>
  <si>
    <t>FO4(ps)</t>
  </si>
  <si>
    <t>Total</t>
  </si>
  <si>
    <t>Cj</t>
  </si>
  <si>
    <t>Cg</t>
  </si>
  <si>
    <t>λ</t>
  </si>
  <si>
    <t>fF</t>
  </si>
  <si>
    <t>Power total</t>
  </si>
  <si>
    <t>f (Ghz)</t>
  </si>
  <si>
    <t>mW</t>
  </si>
  <si>
    <t>Vdd (V)</t>
  </si>
  <si>
    <t>Cgate (fF/μm)</t>
  </si>
  <si>
    <t>Lambda (μm)</t>
  </si>
  <si>
    <r>
      <rPr>
        <b/>
        <sz val="11"/>
        <color rgb="FF000000"/>
        <rFont val="Times New Roman"/>
        <family val="1"/>
      </rPr>
      <t>γ</t>
    </r>
    <r>
      <rPr>
        <b/>
        <sz val="11"/>
        <color rgb="FF000000"/>
        <rFont val="Times New Roman"/>
        <family val="1"/>
      </rPr>
      <t>_nand3</t>
    </r>
  </si>
  <si>
    <t>γ_nand2</t>
  </si>
  <si>
    <t>γ_inv</t>
  </si>
  <si>
    <r>
      <t>τ</t>
    </r>
    <r>
      <rPr>
        <b/>
        <sz val="11"/>
        <color rgb="FF000000"/>
        <rFont val="Times New Roman"/>
        <family val="1"/>
      </rPr>
      <t>_inv (ps)</t>
    </r>
  </si>
  <si>
    <t>10 (inv)</t>
  </si>
  <si>
    <t>9 (nand2)</t>
  </si>
  <si>
    <t>8 (inv)</t>
  </si>
  <si>
    <t>7 (nand2)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</si>
</sst>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#############"/>
  </numFmts>
  <fonts count="6" x14ac:knownFonts="1">
    <font>
      <sz val="10"/>
      <color rgb="FF000000"/>
      <name val="Arial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11" borderId="0" applyNumberFormat="0" applyBorder="0" applyAlignment="0" applyProtection="0"/>
  </cellStyleXfs>
  <cellXfs count="20"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3" fillId="5" borderId="0" xfId="0" applyFont="1" applyFill="1" applyAlignment="1"/>
    <xf numFmtId="0" fontId="4" fillId="4" borderId="0" xfId="0" applyFont="1" applyFill="1" applyAlignment="1"/>
    <xf numFmtId="0" fontId="4" fillId="9" borderId="0" xfId="0" applyFont="1" applyFill="1" applyAlignment="1"/>
    <xf numFmtId="0" fontId="4" fillId="3" borderId="0" xfId="0" applyFont="1" applyFill="1" applyAlignment="1"/>
    <xf numFmtId="0" fontId="3" fillId="10" borderId="0" xfId="0" applyFont="1" applyFill="1" applyAlignment="1"/>
    <xf numFmtId="0" fontId="4" fillId="8" borderId="0" xfId="0" applyFont="1" applyFill="1" applyAlignment="1"/>
    <xf numFmtId="0" fontId="3" fillId="7" borderId="0" xfId="0" applyFont="1" applyFill="1" applyAlignment="1"/>
    <xf numFmtId="11" fontId="4" fillId="6" borderId="0" xfId="0" applyNumberFormat="1" applyFont="1" applyFill="1" applyAlignment="1"/>
    <xf numFmtId="164" fontId="4" fillId="0" borderId="0" xfId="0" applyNumberFormat="1" applyFont="1" applyAlignment="1"/>
    <xf numFmtId="0" fontId="2" fillId="0" borderId="0" xfId="0" applyFont="1" applyAlignment="1"/>
    <xf numFmtId="0" fontId="2" fillId="4" borderId="0" xfId="0" applyFont="1" applyFill="1" applyAlignment="1"/>
    <xf numFmtId="0" fontId="1" fillId="0" borderId="0" xfId="0" applyFont="1" applyAlignment="1"/>
    <xf numFmtId="0" fontId="1" fillId="5" borderId="0" xfId="0" applyFont="1" applyFill="1" applyAlignment="1"/>
    <xf numFmtId="0" fontId="4" fillId="0" borderId="0" xfId="0" applyNumberFormat="1" applyFont="1" applyAlignment="1"/>
    <xf numFmtId="0" fontId="5" fillId="11" borderId="0" xfId="1" applyAlignme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B6" sqref="B5:B6"/>
    </sheetView>
  </sheetViews>
  <sheetFormatPr defaultColWidth="9.85546875" defaultRowHeight="15" customHeight="1" x14ac:dyDescent="0.25"/>
  <cols>
    <col min="1" max="1" width="12.7109375" style="2" customWidth="1"/>
    <col min="2" max="2" width="11.42578125" style="2" customWidth="1"/>
    <col min="3" max="3" width="11.85546875" style="2" customWidth="1"/>
    <col min="4" max="4" width="10.140625" style="2" customWidth="1"/>
    <col min="5" max="6" width="12.28515625" style="2" customWidth="1"/>
    <col min="7" max="7" width="11" style="2" bestFit="1" customWidth="1"/>
    <col min="8" max="8" width="9.140625" style="2"/>
    <col min="9" max="9" width="9.7109375" style="2" customWidth="1"/>
    <col min="10" max="10" width="9.140625" style="2"/>
    <col min="11" max="13" width="8" style="2" customWidth="1"/>
    <col min="14" max="14" width="9.140625" style="2"/>
    <col min="15" max="16384" width="9.85546875" style="2"/>
  </cols>
  <sheetData>
    <row r="1" spans="1:16" ht="15" customHeight="1" x14ac:dyDescent="0.25">
      <c r="A1" s="2" t="s">
        <v>0</v>
      </c>
    </row>
    <row r="2" spans="1:16" x14ac:dyDescent="0.25">
      <c r="A2" s="3" t="s">
        <v>1</v>
      </c>
      <c r="B2" s="2">
        <v>1.2</v>
      </c>
      <c r="D2" s="3" t="s">
        <v>4</v>
      </c>
      <c r="E2" s="2">
        <f>3/(3+1.78)</f>
        <v>0.62761506276150625</v>
      </c>
      <c r="G2" s="16" t="s">
        <v>49</v>
      </c>
      <c r="H2" s="2">
        <v>1.93</v>
      </c>
      <c r="J2" s="16" t="s">
        <v>52</v>
      </c>
      <c r="K2" s="1">
        <v>6.0170000000000003</v>
      </c>
      <c r="M2" s="16" t="s">
        <v>47</v>
      </c>
      <c r="N2" s="1">
        <v>1.4</v>
      </c>
    </row>
    <row r="3" spans="1:16" x14ac:dyDescent="0.25">
      <c r="A3" s="3" t="s">
        <v>2</v>
      </c>
      <c r="B3" s="2">
        <v>1.1000000000000001</v>
      </c>
      <c r="D3" s="3" t="s">
        <v>5</v>
      </c>
      <c r="E3" s="2">
        <f>3/(3+1.39)</f>
        <v>0.68337129840546706</v>
      </c>
      <c r="G3" s="16" t="s">
        <v>50</v>
      </c>
      <c r="H3" s="2">
        <v>1.44</v>
      </c>
      <c r="J3" s="3" t="s">
        <v>37</v>
      </c>
      <c r="K3" s="2">
        <v>19.7</v>
      </c>
      <c r="M3" s="16" t="s">
        <v>48</v>
      </c>
      <c r="N3" s="2">
        <v>2.1999999999999999E-2</v>
      </c>
      <c r="P3" s="18"/>
    </row>
    <row r="4" spans="1:16" x14ac:dyDescent="0.25">
      <c r="A4" s="3" t="s">
        <v>3</v>
      </c>
      <c r="B4" s="2">
        <v>1</v>
      </c>
      <c r="D4" s="3" t="s">
        <v>6</v>
      </c>
      <c r="E4" s="2">
        <f>3/4</f>
        <v>0.75</v>
      </c>
      <c r="G4" s="16" t="s">
        <v>51</v>
      </c>
      <c r="H4" s="2">
        <v>0.85699999999999998</v>
      </c>
      <c r="L4" s="1"/>
      <c r="M4" s="16" t="s">
        <v>46</v>
      </c>
      <c r="N4" s="2">
        <v>1</v>
      </c>
    </row>
    <row r="5" spans="1:16" x14ac:dyDescent="0.25">
      <c r="L5" s="1"/>
      <c r="M5" s="16" t="s">
        <v>44</v>
      </c>
      <c r="N5" s="18">
        <v>1</v>
      </c>
    </row>
    <row r="7" spans="1:16" ht="15" customHeight="1" x14ac:dyDescent="0.25">
      <c r="A7" s="4" t="s">
        <v>7</v>
      </c>
      <c r="B7" s="4">
        <v>0</v>
      </c>
      <c r="C7" s="4">
        <v>1</v>
      </c>
      <c r="D7" s="4">
        <v>2</v>
      </c>
      <c r="E7" s="4">
        <v>3</v>
      </c>
      <c r="F7" s="4">
        <v>4</v>
      </c>
      <c r="G7" s="4">
        <v>5</v>
      </c>
      <c r="H7" s="4">
        <v>6</v>
      </c>
      <c r="I7" s="4" t="s">
        <v>8</v>
      </c>
      <c r="J7" s="4">
        <v>7</v>
      </c>
      <c r="K7" s="4">
        <v>8</v>
      </c>
      <c r="L7" s="4">
        <v>9</v>
      </c>
      <c r="M7" s="4">
        <v>10</v>
      </c>
      <c r="N7" s="4" t="s">
        <v>9</v>
      </c>
    </row>
    <row r="8" spans="1:16" x14ac:dyDescent="0.25">
      <c r="A8" s="5" t="s">
        <v>10</v>
      </c>
      <c r="B8" s="6" t="s">
        <v>11</v>
      </c>
      <c r="C8" s="6" t="s">
        <v>12</v>
      </c>
      <c r="D8" s="6" t="s">
        <v>13</v>
      </c>
      <c r="E8" s="6" t="s">
        <v>14</v>
      </c>
      <c r="F8" s="6" t="s">
        <v>13</v>
      </c>
      <c r="G8" s="6" t="s">
        <v>13</v>
      </c>
      <c r="H8" s="6" t="s">
        <v>13</v>
      </c>
      <c r="I8" s="6" t="s">
        <v>15</v>
      </c>
      <c r="J8" s="6" t="s">
        <v>14</v>
      </c>
      <c r="K8" s="6" t="s">
        <v>13</v>
      </c>
      <c r="L8" s="15" t="s">
        <v>14</v>
      </c>
      <c r="M8" s="15" t="s">
        <v>13</v>
      </c>
      <c r="N8" s="6" t="s">
        <v>16</v>
      </c>
    </row>
    <row r="9" spans="1:16" x14ac:dyDescent="0.25">
      <c r="A9" s="5" t="s">
        <v>17</v>
      </c>
      <c r="B9" s="6"/>
      <c r="C9" s="6">
        <f>B2</f>
        <v>1.2</v>
      </c>
      <c r="D9" s="6">
        <f>B4</f>
        <v>1</v>
      </c>
      <c r="E9" s="6">
        <f>B3</f>
        <v>1.1000000000000001</v>
      </c>
      <c r="F9" s="6">
        <f>B4</f>
        <v>1</v>
      </c>
      <c r="G9" s="6">
        <f>B4</f>
        <v>1</v>
      </c>
      <c r="H9" s="6">
        <f>B4</f>
        <v>1</v>
      </c>
      <c r="I9" s="6"/>
      <c r="J9" s="6">
        <f>B3</f>
        <v>1.1000000000000001</v>
      </c>
      <c r="K9" s="6">
        <f>B4</f>
        <v>1</v>
      </c>
      <c r="L9" s="19">
        <v>1</v>
      </c>
      <c r="M9" s="6">
        <f>B4</f>
        <v>1</v>
      </c>
      <c r="N9" s="6"/>
    </row>
    <row r="10" spans="1:16" x14ac:dyDescent="0.25">
      <c r="A10" s="5" t="s">
        <v>18</v>
      </c>
      <c r="B10" s="7">
        <v>2</v>
      </c>
      <c r="C10" s="7">
        <v>1</v>
      </c>
      <c r="D10" s="7">
        <v>4</v>
      </c>
      <c r="E10" s="7">
        <v>1</v>
      </c>
      <c r="F10" s="7">
        <v>1</v>
      </c>
      <c r="G10" s="7">
        <v>1</v>
      </c>
      <c r="H10" s="7">
        <v>16</v>
      </c>
      <c r="I10" s="7"/>
      <c r="J10" s="7">
        <v>1</v>
      </c>
      <c r="K10" s="7">
        <v>1</v>
      </c>
      <c r="L10" s="7">
        <v>1</v>
      </c>
      <c r="M10" s="7">
        <v>1</v>
      </c>
      <c r="N10" s="7"/>
    </row>
    <row r="11" spans="1:16" x14ac:dyDescent="0.25">
      <c r="A11" s="17" t="s">
        <v>19</v>
      </c>
      <c r="B11" s="7">
        <v>24</v>
      </c>
      <c r="C11" s="8">
        <f>((D11*C9)*C10)/$C$21</f>
        <v>12.000000000000007</v>
      </c>
      <c r="D11" s="8">
        <f>((E11*D9)*D10)/$C$21</f>
        <v>36.34634039017498</v>
      </c>
      <c r="E11" s="8">
        <f>((F11*E9)*E10)/$C$21</f>
        <v>33.026411493961611</v>
      </c>
      <c r="F11" s="8">
        <f>((G11*F9)*F10)/$C$21</f>
        <v>109.12629036595595</v>
      </c>
      <c r="G11" s="8">
        <f>((H11*G9)*G10)/$C$21</f>
        <v>396.63412951581057</v>
      </c>
      <c r="H11" s="8">
        <f>(((J11*H9)*H10)+I11)/$C$21</f>
        <v>1441.6199081742393</v>
      </c>
      <c r="I11" s="7">
        <v>732</v>
      </c>
      <c r="J11" s="8">
        <f>((K11*J9)*J10)/$B$21</f>
        <v>281.73504934846045</v>
      </c>
      <c r="K11" s="8">
        <f>((N11*K9)*K10)/$B$21</f>
        <v>907.85631061876427</v>
      </c>
      <c r="L11" s="8">
        <v>20</v>
      </c>
      <c r="M11" s="8">
        <v>32</v>
      </c>
      <c r="N11" s="7">
        <v>3218</v>
      </c>
    </row>
    <row r="12" spans="1:16" x14ac:dyDescent="0.25">
      <c r="A12" s="9" t="s">
        <v>20</v>
      </c>
      <c r="B12" s="10"/>
      <c r="C12" s="10">
        <f>FLOOR((C11*$E$2),1)</f>
        <v>7</v>
      </c>
      <c r="D12" s="10">
        <f>FLOOR((D11*$E$4),1)</f>
        <v>27</v>
      </c>
      <c r="E12" s="10">
        <f>FLOOR((E11*$E$3),1)</f>
        <v>22</v>
      </c>
      <c r="F12" s="10">
        <f>FLOOR((F11*$E$4),1)</f>
        <v>81</v>
      </c>
      <c r="G12" s="10">
        <f>FLOOR((G11*$E$4),1)</f>
        <v>297</v>
      </c>
      <c r="H12" s="10">
        <f>FLOOR((H11*$E$4),1)</f>
        <v>1081</v>
      </c>
      <c r="I12" s="10"/>
      <c r="J12" s="10">
        <f>FLOOR((J11*$E$3),1)</f>
        <v>192</v>
      </c>
      <c r="K12" s="10">
        <f>FLOOR((K11*$E$4),1)</f>
        <v>680</v>
      </c>
      <c r="L12" s="10">
        <f>FLOOR((L11*$E$3),1)</f>
        <v>13</v>
      </c>
      <c r="M12" s="10">
        <f>FLOOR((M11*$E$4),1)</f>
        <v>24</v>
      </c>
      <c r="N12" s="10"/>
    </row>
    <row r="13" spans="1:16" x14ac:dyDescent="0.25">
      <c r="A13" s="9" t="s">
        <v>21</v>
      </c>
      <c r="B13" s="10"/>
      <c r="C13" s="10">
        <f t="shared" ref="C13:H13" si="0">FLOOR(C11,1)-C12</f>
        <v>5</v>
      </c>
      <c r="D13" s="10">
        <f t="shared" si="0"/>
        <v>9</v>
      </c>
      <c r="E13" s="10">
        <f t="shared" si="0"/>
        <v>11</v>
      </c>
      <c r="F13" s="10">
        <f t="shared" si="0"/>
        <v>28</v>
      </c>
      <c r="G13" s="10">
        <f t="shared" si="0"/>
        <v>99</v>
      </c>
      <c r="H13" s="10">
        <f t="shared" si="0"/>
        <v>360</v>
      </c>
      <c r="I13" s="10"/>
      <c r="J13" s="10">
        <f>FLOOR(J11,1)-J12</f>
        <v>89</v>
      </c>
      <c r="K13" s="10">
        <f>FLOOR(K11,1)-K12</f>
        <v>227</v>
      </c>
      <c r="L13" s="10">
        <f>FLOOR(L11,1)-L12</f>
        <v>7</v>
      </c>
      <c r="M13" s="10">
        <f>FLOOR(M11,1)-M12</f>
        <v>8</v>
      </c>
      <c r="N13" s="10"/>
    </row>
    <row r="14" spans="1:16" x14ac:dyDescent="0.25">
      <c r="A14" s="3"/>
    </row>
    <row r="15" spans="1:16" x14ac:dyDescent="0.25">
      <c r="A15" s="11"/>
      <c r="B15" s="8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6" x14ac:dyDescent="0.25">
      <c r="A16" s="3"/>
      <c r="B16" s="3" t="s">
        <v>28</v>
      </c>
      <c r="C16" s="3" t="s">
        <v>22</v>
      </c>
    </row>
    <row r="17" spans="1:9" x14ac:dyDescent="0.25">
      <c r="A17" s="3" t="s">
        <v>23</v>
      </c>
      <c r="B17" s="13">
        <f>PRODUCT(C9:N9)</f>
        <v>1.4520000000000002</v>
      </c>
      <c r="C17" s="2">
        <f>PRODUCT(C9:H9)</f>
        <v>1.32</v>
      </c>
      <c r="E17" s="3" t="s">
        <v>30</v>
      </c>
      <c r="F17" s="2">
        <f>(2*$B$21+6*$C$21)*LN(2)</f>
        <v>20.029896131616347</v>
      </c>
      <c r="H17" s="3" t="s">
        <v>32</v>
      </c>
      <c r="I17" s="2">
        <v>165.26300000000001</v>
      </c>
    </row>
    <row r="18" spans="1:9" x14ac:dyDescent="0.25">
      <c r="A18" s="3" t="s">
        <v>24</v>
      </c>
      <c r="B18" s="2">
        <f>PRODUCT(B10:N10)</f>
        <v>128</v>
      </c>
      <c r="C18" s="2">
        <f>PRODUCT(B10:G10)</f>
        <v>8</v>
      </c>
      <c r="E18" s="3" t="s">
        <v>31</v>
      </c>
      <c r="F18" s="2">
        <f>(1*$H$2+2*$H$3+5*$H$4)*LN(2)</f>
        <v>6.3041736071927019</v>
      </c>
      <c r="H18" s="3" t="s">
        <v>33</v>
      </c>
      <c r="I18" s="2">
        <v>159.7809</v>
      </c>
    </row>
    <row r="19" spans="1:9" x14ac:dyDescent="0.25">
      <c r="A19" s="3" t="s">
        <v>25</v>
      </c>
      <c r="B19" s="2">
        <f>$N$11/$B$11</f>
        <v>134.08333333333334</v>
      </c>
      <c r="C19" s="2">
        <f>(($J$11*$H$10)+$I$11)/$B$11</f>
        <v>218.32336623230697</v>
      </c>
      <c r="E19" s="3" t="s">
        <v>29</v>
      </c>
      <c r="F19" s="2">
        <f>SUM(F17:F18)</f>
        <v>26.334069738809049</v>
      </c>
      <c r="H19" s="3" t="s">
        <v>34</v>
      </c>
      <c r="I19" s="2">
        <f>I17/($K$3)</f>
        <v>8.3889847715736039</v>
      </c>
    </row>
    <row r="20" spans="1:9" x14ac:dyDescent="0.25">
      <c r="A20" s="3" t="s">
        <v>26</v>
      </c>
      <c r="B20" s="2">
        <f>PRODUCT(B17:B19)</f>
        <v>24920.192000000006</v>
      </c>
      <c r="C20" s="2">
        <f>PRODUCT(C17:C19)</f>
        <v>2305.4947474131618</v>
      </c>
      <c r="E20" s="3" t="s">
        <v>35</v>
      </c>
      <c r="F20" s="2">
        <f>F19/(5*LN(2))</f>
        <v>7.5984063637207866</v>
      </c>
      <c r="H20" s="3" t="s">
        <v>36</v>
      </c>
      <c r="I20" s="2">
        <f>I18/($K$3)</f>
        <v>8.1107055837563458</v>
      </c>
    </row>
    <row r="21" spans="1:9" x14ac:dyDescent="0.25">
      <c r="A21" s="3" t="s">
        <v>27</v>
      </c>
      <c r="B21" s="2">
        <f>POWER(B20,(1/K7))</f>
        <v>3.5446137922494803</v>
      </c>
      <c r="C21" s="2">
        <f>POWER(C20,(1/H7))</f>
        <v>3.634634039017496</v>
      </c>
    </row>
    <row r="22" spans="1:9" x14ac:dyDescent="0.25">
      <c r="A22" s="3"/>
    </row>
    <row r="23" spans="1:9" ht="15" customHeight="1" x14ac:dyDescent="0.25">
      <c r="A23" s="14"/>
      <c r="B23" s="16" t="s">
        <v>56</v>
      </c>
      <c r="C23" s="16" t="s">
        <v>55</v>
      </c>
      <c r="D23" s="16" t="s">
        <v>54</v>
      </c>
      <c r="E23" s="16" t="s">
        <v>53</v>
      </c>
      <c r="F23" s="16" t="s">
        <v>38</v>
      </c>
    </row>
    <row r="24" spans="1:9" ht="15" customHeight="1" x14ac:dyDescent="0.25">
      <c r="A24" s="16" t="s">
        <v>16</v>
      </c>
      <c r="B24" s="2">
        <v>0</v>
      </c>
      <c r="C24" s="2">
        <v>0</v>
      </c>
      <c r="D24" s="2">
        <v>0</v>
      </c>
      <c r="E24" s="2">
        <f>N11/4</f>
        <v>804.5</v>
      </c>
      <c r="F24" s="2">
        <f>SUM(B24:E24)</f>
        <v>804.5</v>
      </c>
    </row>
    <row r="25" spans="1:9" ht="15" customHeight="1" x14ac:dyDescent="0.25">
      <c r="A25" s="16" t="s">
        <v>40</v>
      </c>
      <c r="B25" s="2">
        <f>FLOOR(K11,1)</f>
        <v>907</v>
      </c>
      <c r="C25" s="2">
        <f t="shared" ref="C25:D25" si="1">FLOOR(L11,1)</f>
        <v>20</v>
      </c>
      <c r="D25" s="2">
        <f t="shared" si="1"/>
        <v>32</v>
      </c>
      <c r="E25" s="2">
        <v>0</v>
      </c>
      <c r="F25" s="2">
        <f t="shared" ref="F25:F27" si="2">SUM(B25:E25)</f>
        <v>959</v>
      </c>
    </row>
    <row r="26" spans="1:9" ht="15" customHeight="1" x14ac:dyDescent="0.25">
      <c r="A26" s="16" t="s">
        <v>39</v>
      </c>
      <c r="B26" s="2">
        <f>FLOOR(J11,1)*$H$3</f>
        <v>404.64</v>
      </c>
      <c r="C26" s="2">
        <f>FLOOR(K11,1)*$H$4</f>
        <v>777.29899999999998</v>
      </c>
      <c r="D26" s="2">
        <f>FLOOR(L11,1)*$H$3</f>
        <v>28.799999999999997</v>
      </c>
      <c r="E26" s="2">
        <f>FLOOR(M11,1)*$H$4</f>
        <v>27.423999999999999</v>
      </c>
      <c r="F26" s="2">
        <f t="shared" si="2"/>
        <v>1238.1629999999998</v>
      </c>
    </row>
    <row r="27" spans="1:9" ht="15" customHeight="1" x14ac:dyDescent="0.25">
      <c r="A27" s="16" t="s">
        <v>38</v>
      </c>
      <c r="B27" s="2">
        <f>SUM(B24:B26)</f>
        <v>1311.6399999999999</v>
      </c>
      <c r="C27" s="2">
        <f t="shared" ref="C27:E27" si="3">SUM(C24:C26)</f>
        <v>797.29899999999998</v>
      </c>
      <c r="D27" s="2">
        <f t="shared" si="3"/>
        <v>60.8</v>
      </c>
      <c r="E27" s="2">
        <f t="shared" si="3"/>
        <v>831.92399999999998</v>
      </c>
      <c r="F27" s="16">
        <f t="shared" si="2"/>
        <v>3001.663</v>
      </c>
      <c r="G27" s="16" t="s">
        <v>41</v>
      </c>
    </row>
    <row r="28" spans="1:9" ht="15" customHeight="1" x14ac:dyDescent="0.25">
      <c r="A28" s="14"/>
      <c r="F28" s="16">
        <f>F27*$N$2*$N$3</f>
        <v>92.451220399999997</v>
      </c>
      <c r="G28" s="16" t="s">
        <v>42</v>
      </c>
    </row>
    <row r="29" spans="1:9" ht="15" customHeight="1" x14ac:dyDescent="0.25">
      <c r="A29" s="16" t="s">
        <v>43</v>
      </c>
      <c r="B29" s="16">
        <f>F28*$N$5*($N$4^2)</f>
        <v>92.451220399999997</v>
      </c>
      <c r="C29" s="16" t="s">
        <v>45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Nightingale, Reed</dc:creator>
  <cp:lastModifiedBy>Reed Nightingale</cp:lastModifiedBy>
  <dcterms:created xsi:type="dcterms:W3CDTF">2013-02-27T04:00:45Z</dcterms:created>
  <dcterms:modified xsi:type="dcterms:W3CDTF">2013-03-10T01:32:19Z</dcterms:modified>
</cp:coreProperties>
</file>