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30" yWindow="-90" windowWidth="14805" windowHeight="13770" tabRatio="390" activeTab="2"/>
  </bookViews>
  <sheets>
    <sheet name="block" sheetId="1" r:id="rId1"/>
    <sheet name="block+s8" sheetId="2" r:id="rId2"/>
    <sheet name="block+resize" sheetId="3" r:id="rId3"/>
  </sheets>
  <definedNames>
    <definedName name="__shared_1_0_2">SUM(#REF!)</definedName>
    <definedName name="__shared_1_0_3">SUM(#REF!)</definedName>
  </definedNames>
  <calcPr calcId="144525"/>
</workbook>
</file>

<file path=xl/calcChain.xml><?xml version="1.0" encoding="utf-8"?>
<calcChain xmlns="http://schemas.openxmlformats.org/spreadsheetml/2006/main">
  <c r="D25" i="1" l="1"/>
  <c r="D29" i="3"/>
  <c r="E30" i="3"/>
  <c r="D30" i="3"/>
  <c r="C30" i="3"/>
  <c r="B30" i="3"/>
  <c r="C29" i="3"/>
  <c r="B29" i="3"/>
  <c r="B31" i="3" s="1"/>
  <c r="E28" i="3"/>
  <c r="F28" i="3"/>
  <c r="M24" i="1"/>
  <c r="E26" i="1"/>
  <c r="D26" i="1"/>
  <c r="C26" i="1"/>
  <c r="B26" i="1"/>
  <c r="B25" i="1"/>
  <c r="C25" i="1"/>
  <c r="E24" i="1"/>
  <c r="D18" i="3"/>
  <c r="E18" i="3"/>
  <c r="F18" i="3"/>
  <c r="G18" i="3"/>
  <c r="H18" i="3"/>
  <c r="I18" i="3"/>
  <c r="J18" i="3"/>
  <c r="K18" i="3"/>
  <c r="L18" i="3"/>
  <c r="M18" i="3"/>
  <c r="C18" i="3"/>
  <c r="D31" i="3" l="1"/>
  <c r="F30" i="3"/>
  <c r="C31" i="3"/>
  <c r="F29" i="3"/>
  <c r="E31" i="3"/>
  <c r="S15" i="3"/>
  <c r="S16" i="3" s="1"/>
  <c r="I16" i="3"/>
  <c r="I17" i="3" s="1"/>
  <c r="T13" i="3"/>
  <c r="M28" i="3"/>
  <c r="I24" i="3"/>
  <c r="I23" i="3"/>
  <c r="B23" i="3"/>
  <c r="C22" i="3"/>
  <c r="B22" i="3"/>
  <c r="M9" i="3"/>
  <c r="M16" i="3" s="1"/>
  <c r="M17" i="3" s="1"/>
  <c r="L9" i="3"/>
  <c r="L16" i="3" s="1"/>
  <c r="L17" i="3" s="1"/>
  <c r="K9" i="3"/>
  <c r="K16" i="3" s="1"/>
  <c r="K17" i="3" s="1"/>
  <c r="J9" i="3"/>
  <c r="J16" i="3" s="1"/>
  <c r="J17" i="3" s="1"/>
  <c r="H9" i="3"/>
  <c r="H16" i="3" s="1"/>
  <c r="H17" i="3" s="1"/>
  <c r="G9" i="3"/>
  <c r="G16" i="3" s="1"/>
  <c r="G17" i="3" s="1"/>
  <c r="F9" i="3"/>
  <c r="F16" i="3" s="1"/>
  <c r="F17" i="3" s="1"/>
  <c r="E9" i="3"/>
  <c r="E16" i="3" s="1"/>
  <c r="E17" i="3" s="1"/>
  <c r="D9" i="3"/>
  <c r="D16" i="3" s="1"/>
  <c r="D17" i="3" s="1"/>
  <c r="C9" i="3"/>
  <c r="C16" i="3" s="1"/>
  <c r="C17" i="3" s="1"/>
  <c r="E3" i="3"/>
  <c r="E2" i="3"/>
  <c r="F17" i="1"/>
  <c r="D27" i="1"/>
  <c r="C27" i="1"/>
  <c r="B27" i="1"/>
  <c r="F26" i="1"/>
  <c r="F25" i="1"/>
  <c r="E27" i="1"/>
  <c r="I20" i="1"/>
  <c r="I19" i="1"/>
  <c r="B19" i="1"/>
  <c r="C18" i="1"/>
  <c r="B18" i="1"/>
  <c r="M9" i="1"/>
  <c r="L9" i="1"/>
  <c r="K9" i="1"/>
  <c r="J9" i="1"/>
  <c r="H9" i="1"/>
  <c r="G9" i="1"/>
  <c r="F9" i="1"/>
  <c r="E9" i="1"/>
  <c r="D9" i="1"/>
  <c r="C9" i="1"/>
  <c r="T18" i="1" s="1"/>
  <c r="E3" i="1"/>
  <c r="E2" i="1"/>
  <c r="F31" i="3" l="1"/>
  <c r="F32" i="3" s="1"/>
  <c r="S9" i="3"/>
  <c r="C21" i="3"/>
  <c r="N28" i="3"/>
  <c r="B21" i="3"/>
  <c r="B24" i="3" s="1"/>
  <c r="F22" i="3"/>
  <c r="S10" i="3" s="1"/>
  <c r="F27" i="1"/>
  <c r="F28" i="1" s="1"/>
  <c r="B29" i="1" s="1"/>
  <c r="C17" i="1"/>
  <c r="Q18" i="1"/>
  <c r="F24" i="1"/>
  <c r="N24" i="1"/>
  <c r="B17" i="1"/>
  <c r="B20" i="1" s="1"/>
  <c r="B21" i="1" s="1"/>
  <c r="F18" i="1"/>
  <c r="B25" i="3" l="1"/>
  <c r="M11" i="1"/>
  <c r="M14" i="3" l="1"/>
  <c r="M15" i="3" s="1"/>
  <c r="L14" i="3"/>
  <c r="L15" i="3" s="1"/>
  <c r="L11" i="1"/>
  <c r="M12" i="1"/>
  <c r="M13" i="1" s="1"/>
  <c r="K14" i="3" l="1"/>
  <c r="K15" i="3" s="1"/>
  <c r="L12" i="1"/>
  <c r="L13" i="1" s="1"/>
  <c r="K11" i="1"/>
  <c r="M29" i="3" l="1"/>
  <c r="C23" i="3"/>
  <c r="C24" i="3" s="1"/>
  <c r="J14" i="3"/>
  <c r="J15" i="3" s="1"/>
  <c r="J11" i="1"/>
  <c r="K13" i="1"/>
  <c r="K12" i="1"/>
  <c r="C25" i="3" l="1"/>
  <c r="L29" i="3"/>
  <c r="M25" i="1"/>
  <c r="C19" i="1"/>
  <c r="C20" i="1" s="1"/>
  <c r="C21" i="1" s="1"/>
  <c r="J12" i="1"/>
  <c r="J13" i="1" s="1"/>
  <c r="F21" i="3" l="1"/>
  <c r="F23" i="3" s="1"/>
  <c r="F24" i="3" s="1"/>
  <c r="F25" i="3" s="1"/>
  <c r="X21" i="3"/>
  <c r="M30" i="3"/>
  <c r="M31" i="3" s="1"/>
  <c r="S11" i="3"/>
  <c r="S12" i="3" s="1"/>
  <c r="S13" i="3" s="1"/>
  <c r="H14" i="3"/>
  <c r="H15" i="3" s="1"/>
  <c r="K29" i="3"/>
  <c r="G14" i="3"/>
  <c r="G15" i="3" s="1"/>
  <c r="L30" i="3"/>
  <c r="L31" i="3" s="1"/>
  <c r="T17" i="1"/>
  <c r="T19" i="1" s="1"/>
  <c r="T20" i="1" s="1"/>
  <c r="T21" i="1" s="1"/>
  <c r="V17" i="1"/>
  <c r="Q17" i="1"/>
  <c r="Q19" i="1" s="1"/>
  <c r="Q20" i="1" s="1"/>
  <c r="Q21" i="1" s="1"/>
  <c r="F19" i="1"/>
  <c r="F20" i="1" s="1"/>
  <c r="F21" i="1" s="1"/>
  <c r="H11" i="1"/>
  <c r="K30" i="3" l="1"/>
  <c r="K31" i="3" s="1"/>
  <c r="J29" i="3"/>
  <c r="F14" i="3"/>
  <c r="F15" i="3" s="1"/>
  <c r="M26" i="1"/>
  <c r="M27" i="1" s="1"/>
  <c r="G11" i="1"/>
  <c r="L25" i="1"/>
  <c r="H12" i="1"/>
  <c r="H13" i="1" s="1"/>
  <c r="E14" i="3" l="1"/>
  <c r="E15" i="3" s="1"/>
  <c r="J30" i="3"/>
  <c r="N30" i="3" s="1"/>
  <c r="N29" i="3"/>
  <c r="K25" i="1"/>
  <c r="G12" i="1"/>
  <c r="G13" i="1" s="1"/>
  <c r="L26" i="1"/>
  <c r="L27" i="1" s="1"/>
  <c r="F11" i="1"/>
  <c r="J31" i="3" l="1"/>
  <c r="N31" i="3" s="1"/>
  <c r="N32" i="3" s="1"/>
  <c r="B33" i="3" s="1"/>
  <c r="D14" i="3"/>
  <c r="D15" i="3" s="1"/>
  <c r="K27" i="1"/>
  <c r="K26" i="1"/>
  <c r="E11" i="1"/>
  <c r="J25" i="1"/>
  <c r="F13" i="1"/>
  <c r="F12" i="1"/>
  <c r="N25" i="1" l="1"/>
  <c r="E13" i="1"/>
  <c r="E12" i="1"/>
  <c r="J26" i="1"/>
  <c r="N26" i="1" s="1"/>
  <c r="D11" i="1"/>
  <c r="C11" i="1" l="1"/>
  <c r="D12" i="1"/>
  <c r="D13" i="1" s="1"/>
  <c r="J27" i="1"/>
  <c r="N27" i="1" s="1"/>
  <c r="N28" i="1" s="1"/>
  <c r="C12" i="1" l="1"/>
  <c r="C13" i="1" s="1"/>
  <c r="D27" i="2"/>
  <c r="C27" i="2"/>
  <c r="B27" i="2"/>
  <c r="F27" i="2" s="1"/>
  <c r="F28" i="2" s="1"/>
  <c r="L26" i="2"/>
  <c r="F26" i="2"/>
  <c r="K25" i="2"/>
  <c r="F25" i="2"/>
  <c r="M24" i="2"/>
  <c r="N24" i="2" s="1"/>
  <c r="E24" i="2"/>
  <c r="E27" i="2" s="1"/>
  <c r="I20" i="2"/>
  <c r="I19" i="2"/>
  <c r="B19" i="2"/>
  <c r="C18" i="2"/>
  <c r="B18" i="2"/>
  <c r="K9" i="2"/>
  <c r="J9" i="2"/>
  <c r="I9" i="2"/>
  <c r="H9" i="2"/>
  <c r="F9" i="2"/>
  <c r="E9" i="2"/>
  <c r="D9" i="2"/>
  <c r="C9" i="2"/>
  <c r="F18" i="2" s="1"/>
  <c r="E4" i="2"/>
  <c r="E3" i="2"/>
  <c r="E2" i="2"/>
  <c r="B17" i="2" l="1"/>
  <c r="B20" i="2" s="1"/>
  <c r="B21" i="2" s="1"/>
  <c r="C17" i="2"/>
  <c r="F24" i="2"/>
  <c r="K11" i="2" l="1"/>
  <c r="J11" i="2" l="1"/>
  <c r="K12" i="2"/>
  <c r="K13" i="2" s="1"/>
  <c r="I11" i="2" l="1"/>
  <c r="J12" i="2"/>
  <c r="J13" i="2" s="1"/>
  <c r="H11" i="2" l="1"/>
  <c r="I12" i="2"/>
  <c r="I13" i="2" s="1"/>
  <c r="H12" i="2" l="1"/>
  <c r="H13" i="2" s="1"/>
  <c r="L25" i="2"/>
  <c r="L27" i="2" s="1"/>
  <c r="M26" i="2"/>
  <c r="C19" i="2"/>
  <c r="C20" i="2" s="1"/>
  <c r="C21" i="2" s="1"/>
  <c r="F17" i="2" s="1"/>
  <c r="F19" i="2" s="1"/>
  <c r="F20" i="2" s="1"/>
  <c r="M25" i="2"/>
  <c r="M27" i="2" s="1"/>
  <c r="F11" i="2"/>
  <c r="F12" i="2" l="1"/>
  <c r="F13" i="2" s="1"/>
  <c r="J25" i="2"/>
  <c r="E11" i="2"/>
  <c r="K26" i="2"/>
  <c r="K27" i="2" s="1"/>
  <c r="N25" i="2" l="1"/>
  <c r="E12" i="2"/>
  <c r="E13" i="2" s="1"/>
  <c r="D11" i="2"/>
  <c r="J26" i="2"/>
  <c r="N26" i="2" s="1"/>
  <c r="J27" i="2" l="1"/>
  <c r="N27" i="2" s="1"/>
  <c r="N28" i="2" s="1"/>
  <c r="B29" i="2" s="1"/>
  <c r="C11" i="2"/>
  <c r="D12" i="2"/>
  <c r="D13" i="2" s="1"/>
  <c r="C13" i="2" l="1"/>
  <c r="C12" i="2"/>
</calcChain>
</file>

<file path=xl/sharedStrings.xml><?xml version="1.0" encoding="utf-8"?>
<sst xmlns="http://schemas.openxmlformats.org/spreadsheetml/2006/main" count="254" uniqueCount="78">
  <si>
    <t>Constants:</t>
  </si>
  <si>
    <t>LE_nand3</t>
  </si>
  <si>
    <t>Ratio_nand3</t>
  </si>
  <si>
    <t>γ_nand3</t>
  </si>
  <si>
    <t>τ_inv (ps)</t>
  </si>
  <si>
    <t>Cgate (fF/μm)</t>
  </si>
  <si>
    <t>LE_nand2</t>
  </si>
  <si>
    <t>Ratio_nand2</t>
  </si>
  <si>
    <t>γ_nand2</t>
  </si>
  <si>
    <t>FO4(ps)</t>
  </si>
  <si>
    <t>Lambda (μm)</t>
  </si>
  <si>
    <t>LE_inv</t>
  </si>
  <si>
    <t>Ratio_inv</t>
  </si>
  <si>
    <t>γ_inv</t>
  </si>
  <si>
    <t>Vdd (V)</t>
  </si>
  <si>
    <t>f (Ghz)</t>
  </si>
  <si>
    <t>Predecoder</t>
  </si>
  <si>
    <t>Decoder</t>
  </si>
  <si>
    <t>Blocker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</si>
  <si>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</si>
  <si>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</si>
  <si>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</si>
  <si>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</si>
  <si>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</si>
  <si>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</si>
  <si>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</si>
  <si>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</si>
  <si>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</si>
  <si>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</si>
  <si>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</si>
  <si>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</si>
  <si>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</si>
  <si>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</si>
  <si>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</si>
  <si>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All Stages/Last Stages</t>
  </si>
  <si>
    <t>First Stages</t>
  </si>
  <si>
    <t>PathLE</t>
  </si>
  <si>
    <t>Delay(SE)</t>
  </si>
  <si>
    <t>SimdelayR</t>
  </si>
  <si>
    <t>PathB</t>
  </si>
  <si>
    <t>Delay(Par)</t>
  </si>
  <si>
    <t>SimdelayF</t>
  </si>
  <si>
    <t>TotalFO</t>
  </si>
  <si>
    <t>Delay(Tinv)</t>
  </si>
  <si>
    <t>SimR(FO4)</t>
  </si>
  <si>
    <t>PE</t>
  </si>
  <si>
    <t>Delay(FO4)</t>
  </si>
  <si>
    <t>SimF(FO4)</t>
  </si>
  <si>
    <t>SE</t>
  </si>
  <si>
    <t>7 (nand2)</t>
  </si>
  <si>
    <t>8 (inv)</t>
  </si>
  <si>
    <t>9 (nand2)</t>
  </si>
  <si>
    <t>10 (inv)</t>
  </si>
  <si>
    <t>Total</t>
  </si>
  <si>
    <t>Totes</t>
  </si>
  <si>
    <t>Cg</t>
  </si>
  <si>
    <t>Cj</t>
  </si>
  <si>
    <t>λ</t>
  </si>
  <si>
    <t>fF</t>
  </si>
  <si>
    <t>Power total</t>
  </si>
  <si>
    <r>
      <t>μ</t>
    </r>
    <r>
      <rPr>
        <b/>
        <sz val="11"/>
        <color rgb="FF000000"/>
        <rFont val="Times New Roman"/>
        <family val="1"/>
        <charset val="1"/>
      </rPr>
      <t>W</t>
    </r>
  </si>
  <si>
    <t>\</t>
  </si>
  <si>
    <t>Delay 1-6</t>
  </si>
  <si>
    <t>D(t)</t>
  </si>
  <si>
    <t>D(F04)</t>
  </si>
  <si>
    <t>D(ps)</t>
  </si>
  <si>
    <t>Delay 1-8</t>
  </si>
  <si>
    <t>D(Par)</t>
  </si>
  <si>
    <t>dse formula: =((M7-H7)*$B$21+H7*$C$21)*LN(2)</t>
  </si>
  <si>
    <t>DSE</t>
  </si>
  <si>
    <t>y</t>
  </si>
  <si>
    <t>D(Ps)</t>
  </si>
  <si>
    <t>Target</t>
  </si>
  <si>
    <t>f</t>
  </si>
  <si>
    <t>TotalSize-Original(λ)</t>
  </si>
  <si>
    <t>TotalSize-New(λ)</t>
  </si>
  <si>
    <t>Savings</t>
  </si>
  <si>
    <t>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</si>
</sst>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6">
    <font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Ubuntu"/>
      <charset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7B7B7"/>
      </patternFill>
    </fill>
    <fill>
      <patternFill patternType="solid">
        <fgColor rgb="FFD9D9D9"/>
        <bgColor rgb="FFD8D8D8"/>
      </patternFill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B7B7B7"/>
        <bgColor rgb="FFBFBFBF"/>
      </patternFill>
    </fill>
    <fill>
      <patternFill patternType="solid">
        <fgColor rgb="FFB7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0" xfId="0" applyFont="1" applyFill="1" applyAlignment="1"/>
    <xf numFmtId="0" fontId="1" fillId="5" borderId="0" xfId="0" applyFont="1" applyFill="1" applyAlignment="1"/>
    <xf numFmtId="11" fontId="1" fillId="5" borderId="0" xfId="0" applyNumberFormat="1" applyFont="1" applyFill="1" applyAlignment="1"/>
    <xf numFmtId="164" fontId="1" fillId="0" borderId="0" xfId="0" applyNumberFormat="1" applyFont="1" applyAlignment="1"/>
    <xf numFmtId="0" fontId="3" fillId="0" borderId="0" xfId="0" applyFont="1" applyAlignment="1"/>
    <xf numFmtId="0" fontId="4" fillId="7" borderId="0" xfId="0" applyFont="1" applyFill="1" applyAlignment="1"/>
    <xf numFmtId="0" fontId="5" fillId="0" borderId="0" xfId="0" applyFont="1" applyAlignment="1"/>
    <xf numFmtId="2" fontId="1" fillId="5" borderId="0" xfId="0" applyNumberFormat="1" applyFont="1" applyFill="1" applyAlignme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115" zoomScaleNormal="115" workbookViewId="0">
      <selection activeCell="D26" sqref="D26"/>
    </sheetView>
  </sheetViews>
  <sheetFormatPr defaultRowHeight="15"/>
  <cols>
    <col min="1" max="1" width="9.140625" style="1"/>
    <col min="2" max="2" width="22.42578125" style="1" bestFit="1" customWidth="1"/>
    <col min="3" max="1025" width="9.140625" style="1"/>
  </cols>
  <sheetData>
    <row r="1" spans="1:19" customFormat="1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9" customFormat="1">
      <c r="A2" s="2" t="s">
        <v>1</v>
      </c>
      <c r="B2" s="1">
        <v>1.2</v>
      </c>
      <c r="C2" s="1"/>
      <c r="D2" s="2" t="s">
        <v>2</v>
      </c>
      <c r="E2" s="1">
        <f>3/(3+1.78)</f>
        <v>0.62761506276150625</v>
      </c>
      <c r="F2" s="1"/>
      <c r="G2" s="2" t="s">
        <v>3</v>
      </c>
      <c r="H2" s="1">
        <v>1.93</v>
      </c>
      <c r="I2" s="1"/>
      <c r="J2" s="2" t="s">
        <v>4</v>
      </c>
      <c r="K2" s="3">
        <v>6.0170000000000003</v>
      </c>
      <c r="L2" s="1"/>
      <c r="M2" s="2" t="s">
        <v>5</v>
      </c>
      <c r="N2" s="3">
        <v>1.4</v>
      </c>
    </row>
    <row r="3" spans="1:19" customFormat="1">
      <c r="A3" s="2" t="s">
        <v>6</v>
      </c>
      <c r="B3" s="1">
        <v>1.1000000000000001</v>
      </c>
      <c r="C3" s="1"/>
      <c r="D3" s="2" t="s">
        <v>7</v>
      </c>
      <c r="E3" s="1">
        <f>3/(3+1.39)</f>
        <v>0.68337129840546706</v>
      </c>
      <c r="F3" s="1"/>
      <c r="G3" s="2" t="s">
        <v>8</v>
      </c>
      <c r="H3" s="1">
        <v>1.44</v>
      </c>
      <c r="I3" s="1"/>
      <c r="J3" s="2" t="s">
        <v>9</v>
      </c>
      <c r="K3" s="1">
        <v>19.7</v>
      </c>
      <c r="L3" s="1"/>
      <c r="M3" s="2" t="s">
        <v>10</v>
      </c>
      <c r="N3" s="1">
        <v>2.1999999999999999E-2</v>
      </c>
    </row>
    <row r="4" spans="1:19" customFormat="1">
      <c r="A4" s="2" t="s">
        <v>11</v>
      </c>
      <c r="B4" s="1">
        <v>1</v>
      </c>
      <c r="C4" s="1"/>
      <c r="D4" s="2" t="s">
        <v>12</v>
      </c>
      <c r="E4" s="1">
        <v>0.75</v>
      </c>
      <c r="F4" s="1"/>
      <c r="G4" s="2" t="s">
        <v>13</v>
      </c>
      <c r="H4" s="1">
        <v>0.85699999999999998</v>
      </c>
      <c r="I4" s="1"/>
      <c r="J4" s="1"/>
      <c r="K4" s="1"/>
      <c r="L4" s="3"/>
      <c r="M4" s="2" t="s">
        <v>14</v>
      </c>
      <c r="N4" s="1">
        <v>1</v>
      </c>
    </row>
    <row r="5" spans="1:19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"/>
      <c r="M5" s="2" t="s">
        <v>15</v>
      </c>
      <c r="N5" s="1">
        <v>1</v>
      </c>
      <c r="R5" t="s">
        <v>68</v>
      </c>
    </row>
    <row r="6" spans="1:19" customFormat="1" ht="15" customHeight="1">
      <c r="A6" s="1"/>
      <c r="B6" s="1"/>
      <c r="C6" s="19" t="s">
        <v>16</v>
      </c>
      <c r="D6" s="19"/>
      <c r="E6" s="19"/>
      <c r="F6" s="19"/>
      <c r="G6" s="19"/>
      <c r="H6" s="19"/>
      <c r="I6" s="1"/>
      <c r="J6" s="19" t="s">
        <v>17</v>
      </c>
      <c r="K6" s="19"/>
      <c r="L6" s="19" t="s">
        <v>18</v>
      </c>
      <c r="M6" s="19"/>
      <c r="N6" s="1"/>
      <c r="S6">
        <v>20.327000000000002</v>
      </c>
    </row>
    <row r="7" spans="1:19" customFormat="1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20</v>
      </c>
      <c r="J7" s="4">
        <v>7</v>
      </c>
      <c r="K7" s="4">
        <v>8</v>
      </c>
      <c r="L7" s="4">
        <v>9</v>
      </c>
      <c r="M7" s="4">
        <v>10</v>
      </c>
      <c r="N7" s="4" t="s">
        <v>21</v>
      </c>
    </row>
    <row r="8" spans="1:19" customFormat="1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25</v>
      </c>
      <c r="H8" s="6" t="s">
        <v>25</v>
      </c>
      <c r="I8" s="6" t="s">
        <v>27</v>
      </c>
      <c r="J8" s="6" t="s">
        <v>26</v>
      </c>
      <c r="K8" s="6" t="s">
        <v>25</v>
      </c>
      <c r="L8" s="6" t="s">
        <v>26</v>
      </c>
      <c r="M8" s="6" t="s">
        <v>25</v>
      </c>
      <c r="N8" s="6" t="s">
        <v>28</v>
      </c>
    </row>
    <row r="9" spans="1:19" customFormat="1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6">
        <f>B3</f>
        <v>1.1000000000000001</v>
      </c>
      <c r="M9" s="6">
        <f>B4</f>
        <v>1</v>
      </c>
      <c r="N9" s="6"/>
    </row>
    <row r="10" spans="1:19" customFormat="1">
      <c r="A10" s="5" t="s">
        <v>30</v>
      </c>
      <c r="B10" s="7">
        <v>2</v>
      </c>
      <c r="C10" s="7">
        <v>1</v>
      </c>
      <c r="D10" s="7">
        <v>4</v>
      </c>
      <c r="E10" s="7">
        <v>1</v>
      </c>
      <c r="F10" s="7">
        <v>1</v>
      </c>
      <c r="G10" s="7">
        <v>1</v>
      </c>
      <c r="H10" s="7">
        <v>16</v>
      </c>
      <c r="I10" s="7"/>
      <c r="J10" s="7">
        <v>1</v>
      </c>
      <c r="K10" s="7">
        <v>1</v>
      </c>
      <c r="L10" s="7">
        <v>4</v>
      </c>
      <c r="M10" s="7">
        <v>1</v>
      </c>
      <c r="N10" s="7"/>
    </row>
    <row r="11" spans="1:19" customFormat="1">
      <c r="A11" s="5" t="s">
        <v>31</v>
      </c>
      <c r="B11" s="7">
        <v>24</v>
      </c>
      <c r="C11" s="8">
        <f>((D11*C9)*C10)/$C$21</f>
        <v>11.999999999999995</v>
      </c>
      <c r="D11" s="8">
        <f>((E11*D9)*D10)/$C$21</f>
        <v>30.35354180178415</v>
      </c>
      <c r="E11" s="8">
        <f>((F11*E9)*E10)/$C$21</f>
        <v>23.033437497816454</v>
      </c>
      <c r="F11" s="8">
        <f>((G11*F9)*F10)/$C$21</f>
        <v>63.558764357159497</v>
      </c>
      <c r="G11" s="8">
        <f>((H11*G9)*G10)/$C$21</f>
        <v>192.92336107847899</v>
      </c>
      <c r="H11" s="8">
        <f>(((J11*H9)*H10)+I11)/$C$21</f>
        <v>585.59073050363111</v>
      </c>
      <c r="I11" s="7">
        <v>732</v>
      </c>
      <c r="J11" s="8">
        <f>((K11*J9)*J10)/$B$21</f>
        <v>65.342204481745569</v>
      </c>
      <c r="K11" s="8">
        <f>((L11*K9)*K10)/$B$21</f>
        <v>165.04239002663363</v>
      </c>
      <c r="L11" s="8">
        <f>((M11*L9)*L10)/$B$21</f>
        <v>458.55339277150404</v>
      </c>
      <c r="M11" s="8">
        <f>((N11*M9)*M10)/$B$21</f>
        <v>289.55538192384284</v>
      </c>
      <c r="N11" s="7">
        <v>804.5</v>
      </c>
    </row>
    <row r="12" spans="1:19" customFormat="1">
      <c r="A12" s="9" t="s">
        <v>32</v>
      </c>
      <c r="B12" s="10"/>
      <c r="C12" s="16">
        <f>FLOOR((C11*$E$2),1)</f>
        <v>7</v>
      </c>
      <c r="D12" s="16">
        <f>FLOOR((D11*$E$4),1)</f>
        <v>22</v>
      </c>
      <c r="E12" s="16">
        <f>FLOOR((E11*$E$3),1)</f>
        <v>15</v>
      </c>
      <c r="F12" s="16">
        <f>FLOOR((F11*$E$4),1)</f>
        <v>47</v>
      </c>
      <c r="G12" s="16">
        <f>FLOOR((G11*$E$4),1)</f>
        <v>144</v>
      </c>
      <c r="H12" s="16">
        <f>FLOOR((H11*$E$4),1)</f>
        <v>439</v>
      </c>
      <c r="I12" s="10"/>
      <c r="J12" s="16">
        <f>FLOOR((J11*$E$3),1)</f>
        <v>44</v>
      </c>
      <c r="K12" s="16">
        <f>FLOOR((K11*$E$4),1)</f>
        <v>123</v>
      </c>
      <c r="L12" s="16">
        <f>FLOOR((L11*$E$3),1)</f>
        <v>313</v>
      </c>
      <c r="M12" s="16">
        <f>FLOOR((M11*$E$4),1)</f>
        <v>217</v>
      </c>
      <c r="N12" s="10"/>
    </row>
    <row r="13" spans="1:19" customFormat="1">
      <c r="A13" s="9" t="s">
        <v>33</v>
      </c>
      <c r="B13" s="10"/>
      <c r="C13" s="16">
        <f t="shared" ref="C13:H13" si="0">FLOOR(C11,1)-C12</f>
        <v>5</v>
      </c>
      <c r="D13" s="16">
        <f t="shared" si="0"/>
        <v>8</v>
      </c>
      <c r="E13" s="16">
        <f t="shared" si="0"/>
        <v>8</v>
      </c>
      <c r="F13" s="16">
        <f t="shared" si="0"/>
        <v>16</v>
      </c>
      <c r="G13" s="16">
        <f t="shared" si="0"/>
        <v>48</v>
      </c>
      <c r="H13" s="16">
        <f t="shared" si="0"/>
        <v>146</v>
      </c>
      <c r="I13" s="10"/>
      <c r="J13" s="16">
        <f t="shared" ref="J13:M13" si="1">FLOOR(J11,1)-J12</f>
        <v>21</v>
      </c>
      <c r="K13" s="16">
        <f t="shared" si="1"/>
        <v>42</v>
      </c>
      <c r="L13" s="16">
        <f t="shared" si="1"/>
        <v>145</v>
      </c>
      <c r="M13" s="16">
        <f t="shared" si="1"/>
        <v>72</v>
      </c>
      <c r="N13" s="10"/>
    </row>
    <row r="14" spans="1:19" customForma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9" customFormat="1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9" customFormat="1">
      <c r="A16" s="2"/>
      <c r="B16" s="2" t="s">
        <v>34</v>
      </c>
      <c r="C16" s="2" t="s">
        <v>35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22" customFormat="1">
      <c r="A17" s="2" t="s">
        <v>36</v>
      </c>
      <c r="B17" s="14">
        <f>PRODUCT(C9:N9)</f>
        <v>1.5972000000000004</v>
      </c>
      <c r="C17" s="1">
        <f>PRODUCT(C9:H9)</f>
        <v>1.32</v>
      </c>
      <c r="D17" s="1"/>
      <c r="E17" s="2" t="s">
        <v>37</v>
      </c>
      <c r="F17" s="1">
        <f>(1*C21*B2+4*C21*B4+1*C21*B3+2*B21*B3+2*B21*B4)*LN(2)</f>
        <v>21.343389072923731</v>
      </c>
      <c r="G17" s="1"/>
      <c r="H17" s="2" t="s">
        <v>38</v>
      </c>
      <c r="I17" s="1">
        <v>165.26300000000001</v>
      </c>
      <c r="J17" s="1"/>
      <c r="K17" s="1"/>
      <c r="L17" s="1"/>
      <c r="M17" s="1"/>
      <c r="N17" s="1"/>
      <c r="O17" s="1"/>
      <c r="P17" s="17" t="s">
        <v>62</v>
      </c>
      <c r="Q17" s="1">
        <f>6*C21*LN(2)</f>
        <v>12.623683151949079</v>
      </c>
      <c r="R17" s="1"/>
      <c r="S17" s="17" t="s">
        <v>66</v>
      </c>
      <c r="T17" s="1">
        <f>(6*C21+2*B21)*LN(2)</f>
        <v>16.475360182128696</v>
      </c>
      <c r="U17" s="1"/>
      <c r="V17" s="1">
        <f>(6*C21+4*B21)*LN(2)</f>
        <v>20.327037212308316</v>
      </c>
    </row>
    <row r="18" spans="1:22" customFormat="1">
      <c r="A18" s="2" t="s">
        <v>39</v>
      </c>
      <c r="B18" s="1">
        <f>PRODUCT(B10:N10)</f>
        <v>512</v>
      </c>
      <c r="C18" s="1">
        <f>PRODUCT(B10:G10)</f>
        <v>8</v>
      </c>
      <c r="D18" s="1"/>
      <c r="E18" s="2" t="s">
        <v>40</v>
      </c>
      <c r="F18" s="1">
        <f>(COUNTIF(C8:M8,"Nand3")*$H$2*C9+COUNTIF(C8:M8,"Nand2")*$H$3*B3+COUNTIF(C8:M8,"Inv")*$H$4*B4)*LN(2)</f>
        <v>8.4633270746369327</v>
      </c>
      <c r="G18" s="1"/>
      <c r="H18" s="2" t="s">
        <v>41</v>
      </c>
      <c r="I18" s="1">
        <v>159.7809</v>
      </c>
      <c r="J18" s="1"/>
      <c r="K18" s="1"/>
      <c r="L18" s="1"/>
      <c r="M18" s="1"/>
      <c r="N18" s="1"/>
      <c r="O18" s="1"/>
      <c r="P18" s="1" t="s">
        <v>67</v>
      </c>
      <c r="Q18" s="1">
        <f>(COUNTIF(C8:H8,"Nand3")*$H$2*C9+COUNTIF(C8:H8,"Nand2")*$H$3*B3+COUNTIF(C8:H8,"Inv")*$H$4*B4)*LN(2)</f>
        <v>5.0793825391432783</v>
      </c>
      <c r="R18" s="1"/>
      <c r="S18" s="1" t="s">
        <v>67</v>
      </c>
      <c r="T18" s="1">
        <f>(COUNTIF(C8:K8,"Nand3")*$H$2*C9+COUNTIF(C8:K8,"Nand2")*$H$3*B3+COUNTIF(C8:K8,"Inv")*$H$4*B4)*LN(2)</f>
        <v>6.7713548068901055</v>
      </c>
      <c r="U18" s="1"/>
      <c r="V18" s="1"/>
    </row>
    <row r="19" spans="1:22" customFormat="1">
      <c r="A19" s="2" t="s">
        <v>42</v>
      </c>
      <c r="B19" s="1">
        <f>$N$11/$B$11</f>
        <v>33.520833333333336</v>
      </c>
      <c r="C19" s="1">
        <f>(($J$11*$H$10)+$I$11)/$B$11</f>
        <v>74.061469654497046</v>
      </c>
      <c r="D19" s="1"/>
      <c r="E19" s="2" t="s">
        <v>43</v>
      </c>
      <c r="F19" s="1">
        <f>SUM(F17:F18)</f>
        <v>29.806716147560664</v>
      </c>
      <c r="G19" s="1"/>
      <c r="H19" s="2" t="s">
        <v>44</v>
      </c>
      <c r="I19" s="1">
        <f>I17/($K$3)</f>
        <v>8.3889847715736039</v>
      </c>
      <c r="J19" s="1"/>
      <c r="K19" s="1"/>
      <c r="L19" s="1"/>
      <c r="M19" s="1"/>
      <c r="N19" s="1"/>
      <c r="O19" s="1"/>
      <c r="P19" s="1" t="s">
        <v>63</v>
      </c>
      <c r="Q19" s="1">
        <f>SUM(Q17:Q18)</f>
        <v>17.703065691092355</v>
      </c>
      <c r="R19" s="1"/>
      <c r="S19" s="1" t="s">
        <v>63</v>
      </c>
      <c r="T19" s="1">
        <f>SUM(T17:T18)</f>
        <v>23.246714989018802</v>
      </c>
      <c r="U19" s="1"/>
      <c r="V19" s="1"/>
    </row>
    <row r="20" spans="1:22" customFormat="1">
      <c r="A20" s="2" t="s">
        <v>45</v>
      </c>
      <c r="B20" s="1">
        <f>PRODUCT(B17:B19)</f>
        <v>27412.211200000009</v>
      </c>
      <c r="C20" s="1">
        <f>PRODUCT(C17:C19)</f>
        <v>782.08911955148881</v>
      </c>
      <c r="D20" s="1"/>
      <c r="E20" s="2" t="s">
        <v>46</v>
      </c>
      <c r="F20" s="1">
        <f>F19/(5*LN(2))</f>
        <v>8.6004003142541521</v>
      </c>
      <c r="G20" s="1"/>
      <c r="H20" s="2" t="s">
        <v>47</v>
      </c>
      <c r="I20" s="1">
        <f>I18/($K$3)</f>
        <v>8.1107055837563458</v>
      </c>
      <c r="J20" s="1"/>
      <c r="K20" s="1"/>
      <c r="L20" s="1"/>
      <c r="M20" s="1"/>
      <c r="N20" s="1"/>
      <c r="O20" s="1"/>
      <c r="P20" s="1" t="s">
        <v>64</v>
      </c>
      <c r="Q20" s="1">
        <f>Q19/(5*LN(2))</f>
        <v>5.1080250162140981</v>
      </c>
      <c r="R20" s="1"/>
      <c r="S20" s="1" t="s">
        <v>64</v>
      </c>
      <c r="T20" s="1">
        <f>T19/(5*LN(2))</f>
        <v>6.7075840863233118</v>
      </c>
      <c r="U20" s="1"/>
      <c r="V20" s="1"/>
    </row>
    <row r="21" spans="1:22" customFormat="1">
      <c r="A21" s="2" t="s">
        <v>48</v>
      </c>
      <c r="B21" s="1">
        <f>POWER(B20,(1/M7))</f>
        <v>2.7783976752730326</v>
      </c>
      <c r="C21" s="1">
        <f>POWER(C20,(1/H7))</f>
        <v>3.0353541801784161</v>
      </c>
      <c r="D21" s="1"/>
      <c r="E21" s="1"/>
      <c r="F21" s="1">
        <f>F20*21.2</f>
        <v>182.32848666218803</v>
      </c>
      <c r="G21" s="1"/>
      <c r="H21" s="1"/>
      <c r="I21" s="1"/>
      <c r="J21" s="1"/>
      <c r="K21" s="1"/>
      <c r="L21" s="1"/>
      <c r="M21" s="1"/>
      <c r="N21" s="1"/>
      <c r="O21" s="1"/>
      <c r="P21" s="1" t="s">
        <v>65</v>
      </c>
      <c r="Q21" s="1">
        <f>Q20*21.2</f>
        <v>108.29013034373888</v>
      </c>
      <c r="R21" s="1"/>
      <c r="S21" s="1" t="s">
        <v>65</v>
      </c>
      <c r="T21" s="1">
        <f>T20*21.2</f>
        <v>142.20078263005419</v>
      </c>
      <c r="U21" s="1"/>
      <c r="V21" s="1"/>
    </row>
    <row r="22" spans="1:22" customForma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 ht="15" customHeight="1">
      <c r="A23" s="1"/>
      <c r="B23" s="2" t="s">
        <v>49</v>
      </c>
      <c r="C23" s="2" t="s">
        <v>50</v>
      </c>
      <c r="D23" s="2" t="s">
        <v>51</v>
      </c>
      <c r="E23" s="2" t="s">
        <v>52</v>
      </c>
      <c r="F23" s="2" t="s">
        <v>53</v>
      </c>
      <c r="G23" s="1"/>
      <c r="H23" s="1"/>
      <c r="I23" s="1"/>
      <c r="J23" s="2">
        <v>3</v>
      </c>
      <c r="K23" s="2">
        <v>4</v>
      </c>
      <c r="L23" s="2">
        <v>5</v>
      </c>
      <c r="M23" s="2">
        <v>6</v>
      </c>
      <c r="N23" s="2" t="s">
        <v>54</v>
      </c>
      <c r="O23" s="1"/>
      <c r="P23" s="1"/>
      <c r="Q23" s="1"/>
      <c r="R23" s="1"/>
      <c r="S23" s="1"/>
      <c r="T23" s="1"/>
      <c r="U23" s="1"/>
      <c r="V23" s="1"/>
    </row>
    <row r="24" spans="1:22" customFormat="1" ht="15" customHeight="1">
      <c r="A24" s="2" t="s">
        <v>28</v>
      </c>
      <c r="B24" s="1">
        <v>0</v>
      </c>
      <c r="C24" s="1">
        <v>0</v>
      </c>
      <c r="D24" s="1">
        <v>0</v>
      </c>
      <c r="E24" s="1">
        <f>N11</f>
        <v>804.5</v>
      </c>
      <c r="F24" s="1">
        <f>SUM(B24:E24)</f>
        <v>804.5</v>
      </c>
      <c r="G24" s="1"/>
      <c r="H24" s="1"/>
      <c r="I24" s="2" t="s">
        <v>28</v>
      </c>
      <c r="J24" s="1">
        <v>0</v>
      </c>
      <c r="K24" s="1">
        <v>0</v>
      </c>
      <c r="L24" s="1">
        <v>0</v>
      </c>
      <c r="M24" s="1">
        <f>I11</f>
        <v>732</v>
      </c>
      <c r="N24" s="1">
        <f>SUM(J24:M24)</f>
        <v>732</v>
      </c>
      <c r="O24" s="1"/>
      <c r="P24" s="1"/>
      <c r="Q24" s="1"/>
      <c r="R24" s="1"/>
      <c r="S24" s="1"/>
      <c r="T24" s="1"/>
      <c r="U24" s="1"/>
      <c r="V24" s="1"/>
    </row>
    <row r="25" spans="1:22" customFormat="1" ht="15" customHeight="1">
      <c r="A25" s="2" t="s">
        <v>55</v>
      </c>
      <c r="B25" s="1">
        <f t="shared" ref="B25:C25" si="2">K11</f>
        <v>165.04239002663363</v>
      </c>
      <c r="C25" s="1">
        <f t="shared" si="2"/>
        <v>458.55339277150404</v>
      </c>
      <c r="D25" s="1">
        <f>M11*L10</f>
        <v>1158.2215276953714</v>
      </c>
      <c r="E25" s="1">
        <v>0</v>
      </c>
      <c r="F25" s="1">
        <f>SUM(B25:E25)</f>
        <v>1781.817310493509</v>
      </c>
      <c r="G25" s="1"/>
      <c r="H25" s="1"/>
      <c r="I25" s="2" t="s">
        <v>55</v>
      </c>
      <c r="J25" s="1">
        <f>F11</f>
        <v>63.558764357159497</v>
      </c>
      <c r="K25" s="1">
        <f>G11</f>
        <v>192.92336107847899</v>
      </c>
      <c r="L25" s="1">
        <f>H11</f>
        <v>585.59073050363111</v>
      </c>
      <c r="M25" s="1">
        <f>16*J11</f>
        <v>1045.4752717079291</v>
      </c>
      <c r="N25" s="1">
        <f>SUM(J25:M25)</f>
        <v>1887.5481276471987</v>
      </c>
      <c r="O25" s="1"/>
      <c r="P25" s="1"/>
      <c r="Q25" s="1"/>
      <c r="R25" s="1"/>
      <c r="S25" s="1"/>
      <c r="T25" s="1"/>
      <c r="U25" s="1"/>
      <c r="V25" s="1"/>
    </row>
    <row r="26" spans="1:22" customFormat="1" ht="15" customHeight="1">
      <c r="A26" s="2" t="s">
        <v>56</v>
      </c>
      <c r="B26" s="1">
        <f>J11*H3</f>
        <v>94.092774453713616</v>
      </c>
      <c r="C26" s="1">
        <f>K11*H4</f>
        <v>141.441328252825</v>
      </c>
      <c r="D26" s="1">
        <f>L11*H3</f>
        <v>660.31688559096574</v>
      </c>
      <c r="E26" s="1">
        <f>M11*H4</f>
        <v>248.1489623087333</v>
      </c>
      <c r="F26" s="1">
        <f>SUM(B26:E26)</f>
        <v>1143.9999506062377</v>
      </c>
      <c r="G26" s="1"/>
      <c r="H26" s="1"/>
      <c r="I26" s="2" t="s">
        <v>56</v>
      </c>
      <c r="J26" s="1">
        <f>H2*E11</f>
        <v>44.454534370785758</v>
      </c>
      <c r="K26" s="1">
        <f>H4*F11</f>
        <v>54.46986105408569</v>
      </c>
      <c r="L26" s="1">
        <f>H4*G11</f>
        <v>165.3353204442565</v>
      </c>
      <c r="M26" s="1">
        <f>H4*H11</f>
        <v>501.85125604161186</v>
      </c>
      <c r="N26" s="1">
        <f>SUM(J26:M26)</f>
        <v>766.11097191073986</v>
      </c>
      <c r="O26" s="1"/>
      <c r="P26" s="1"/>
      <c r="Q26" s="1"/>
      <c r="R26" s="1"/>
      <c r="S26" s="1"/>
      <c r="T26" s="1"/>
      <c r="U26" s="1"/>
      <c r="V26" s="1"/>
    </row>
    <row r="27" spans="1:22" customFormat="1" ht="15" customHeight="1">
      <c r="A27" s="2" t="s">
        <v>53</v>
      </c>
      <c r="B27" s="1">
        <f>SUM(B24:B26)</f>
        <v>259.13516448034727</v>
      </c>
      <c r="C27" s="1">
        <f>SUM(C24:C26)</f>
        <v>599.99472102432901</v>
      </c>
      <c r="D27" s="1">
        <f>SUM(D24:D26)</f>
        <v>1818.5384132863371</v>
      </c>
      <c r="E27" s="1">
        <f>SUM(E24:E26)</f>
        <v>1052.6489623087332</v>
      </c>
      <c r="F27" s="2">
        <f>SUM(B27:E27)</f>
        <v>3730.3172610997467</v>
      </c>
      <c r="G27" s="2" t="s">
        <v>57</v>
      </c>
      <c r="H27" s="1"/>
      <c r="I27" s="2" t="s">
        <v>53</v>
      </c>
      <c r="J27" s="1">
        <f>SUM(J24:J26)</f>
        <v>108.01329872794525</v>
      </c>
      <c r="K27" s="1">
        <f>SUM(K24:K26)</f>
        <v>247.39322213256469</v>
      </c>
      <c r="L27" s="1">
        <f>SUM(L24:L26)</f>
        <v>750.92605094788757</v>
      </c>
      <c r="M27" s="1">
        <f>SUM(M24:M26)</f>
        <v>2279.3265277495411</v>
      </c>
      <c r="N27" s="2">
        <f>SUM(J27:M27)</f>
        <v>3385.6590995579386</v>
      </c>
      <c r="O27" s="2" t="s">
        <v>57</v>
      </c>
      <c r="P27" s="1"/>
      <c r="Q27" s="1"/>
      <c r="R27" s="1"/>
      <c r="S27" s="1"/>
      <c r="T27" s="1"/>
      <c r="U27" s="1"/>
      <c r="V27" s="1"/>
    </row>
    <row r="28" spans="1:22" customFormat="1" ht="15" customHeight="1">
      <c r="A28" s="1"/>
      <c r="B28" s="1"/>
      <c r="C28" s="1"/>
      <c r="D28" s="1"/>
      <c r="E28" s="1"/>
      <c r="F28" s="2">
        <f>F27*$N$2*$N$3</f>
        <v>114.89377164187218</v>
      </c>
      <c r="G28" s="2" t="s">
        <v>58</v>
      </c>
      <c r="H28" s="1"/>
      <c r="I28" s="1"/>
      <c r="J28" s="1"/>
      <c r="K28" s="1"/>
      <c r="L28" s="1"/>
      <c r="M28" s="1"/>
      <c r="N28" s="2">
        <f>N27*$N$2*$N$3</f>
        <v>104.27830026638449</v>
      </c>
      <c r="O28" s="2" t="s">
        <v>58</v>
      </c>
      <c r="P28" s="1"/>
      <c r="Q28" s="1"/>
      <c r="R28" s="1"/>
      <c r="S28" s="1"/>
      <c r="T28" s="1"/>
      <c r="U28" s="1"/>
      <c r="V28" s="1"/>
    </row>
    <row r="29" spans="1:22" customFormat="1" ht="15" customHeight="1">
      <c r="A29" s="2" t="s">
        <v>59</v>
      </c>
      <c r="B29" s="2">
        <f>(F28*2+N28)*$N$5*($N$4^2)</f>
        <v>334.06584355012887</v>
      </c>
      <c r="C29" s="15" t="s">
        <v>60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mergeCells count="3">
    <mergeCell ref="C6:H6"/>
    <mergeCell ref="J6:K6"/>
    <mergeCell ref="L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zoomScale="85" zoomScaleNormal="85" workbookViewId="0">
      <selection activeCell="J11" sqref="J11"/>
    </sheetView>
  </sheetViews>
  <sheetFormatPr defaultRowHeight="15"/>
  <cols>
    <col min="1" max="1" width="12.85546875" style="1"/>
    <col min="2" max="2" width="11.5703125" style="1"/>
    <col min="3" max="3" width="12" style="1"/>
    <col min="4" max="4" width="12.7109375" style="1" bestFit="1" customWidth="1"/>
    <col min="5" max="6" width="12.42578125" style="1"/>
    <col min="7" max="7" width="11.140625" style="1"/>
    <col min="8" max="8" width="9.28515625" style="1"/>
    <col min="9" max="9" width="9.85546875" style="1"/>
    <col min="10" max="10" width="9.28515625" style="1"/>
    <col min="11" max="13" width="8.140625" style="1"/>
    <col min="14" max="14" width="9.28515625" style="1"/>
    <col min="15" max="1025" width="10" style="1"/>
  </cols>
  <sheetData>
    <row r="1" spans="1:14" ht="15" customHeight="1">
      <c r="A1" s="1" t="s">
        <v>0</v>
      </c>
    </row>
    <row r="2" spans="1:14">
      <c r="A2" s="2" t="s">
        <v>1</v>
      </c>
      <c r="B2" s="1">
        <v>1.2</v>
      </c>
      <c r="D2" s="2" t="s">
        <v>2</v>
      </c>
      <c r="E2" s="1">
        <f>3/(3+1.78)</f>
        <v>0.62761506276150625</v>
      </c>
      <c r="G2" s="2" t="s">
        <v>3</v>
      </c>
      <c r="H2" s="1">
        <v>1.93</v>
      </c>
      <c r="J2" s="2" t="s">
        <v>4</v>
      </c>
      <c r="K2" s="3">
        <v>6.0170000000000003</v>
      </c>
      <c r="M2" s="2" t="s">
        <v>5</v>
      </c>
      <c r="N2" s="3">
        <v>1.4</v>
      </c>
    </row>
    <row r="3" spans="1:14">
      <c r="A3" s="2" t="s">
        <v>6</v>
      </c>
      <c r="B3" s="1">
        <v>1.1000000000000001</v>
      </c>
      <c r="D3" s="2" t="s">
        <v>7</v>
      </c>
      <c r="E3" s="1">
        <f>3/(3+1.39)</f>
        <v>0.68337129840546706</v>
      </c>
      <c r="G3" s="2" t="s">
        <v>8</v>
      </c>
      <c r="H3" s="1">
        <v>1.44</v>
      </c>
      <c r="J3" s="2" t="s">
        <v>9</v>
      </c>
      <c r="K3" s="1">
        <v>19.7</v>
      </c>
      <c r="M3" s="2" t="s">
        <v>10</v>
      </c>
      <c r="N3" s="1">
        <v>2.1999999999999999E-2</v>
      </c>
    </row>
    <row r="4" spans="1:14">
      <c r="A4" s="2" t="s">
        <v>11</v>
      </c>
      <c r="B4" s="1">
        <v>1</v>
      </c>
      <c r="D4" s="2" t="s">
        <v>12</v>
      </c>
      <c r="E4" s="1">
        <f>3/4</f>
        <v>0.75</v>
      </c>
      <c r="G4" s="2" t="s">
        <v>13</v>
      </c>
      <c r="H4" s="1">
        <v>0.85699999999999998</v>
      </c>
      <c r="L4" s="3"/>
      <c r="M4" s="2" t="s">
        <v>14</v>
      </c>
      <c r="N4" s="1">
        <v>1</v>
      </c>
    </row>
    <row r="5" spans="1:14">
      <c r="L5" s="3"/>
      <c r="M5" s="2" t="s">
        <v>15</v>
      </c>
      <c r="N5" s="1">
        <v>1</v>
      </c>
    </row>
    <row r="6" spans="1:14" ht="15" customHeight="1">
      <c r="C6" s="19" t="s">
        <v>16</v>
      </c>
      <c r="D6" s="19"/>
      <c r="E6" s="19"/>
      <c r="F6" s="19"/>
      <c r="G6" s="19"/>
      <c r="H6" s="19"/>
      <c r="J6" s="19" t="s">
        <v>17</v>
      </c>
      <c r="K6" s="19"/>
      <c r="L6" s="19" t="s">
        <v>18</v>
      </c>
      <c r="M6" s="19"/>
    </row>
    <row r="7" spans="1:14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 t="s">
        <v>20</v>
      </c>
      <c r="H7" s="4">
        <v>5</v>
      </c>
      <c r="I7" s="4">
        <v>6</v>
      </c>
      <c r="J7" s="4">
        <v>7</v>
      </c>
      <c r="K7" s="4">
        <v>8</v>
      </c>
      <c r="L7" s="4" t="s">
        <v>21</v>
      </c>
    </row>
    <row r="8" spans="1:14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27</v>
      </c>
      <c r="H8" s="6" t="s">
        <v>26</v>
      </c>
      <c r="I8" s="6" t="s">
        <v>25</v>
      </c>
      <c r="J8" s="6" t="s">
        <v>26</v>
      </c>
      <c r="K8" s="6" t="s">
        <v>25</v>
      </c>
      <c r="L8" s="6" t="s">
        <v>28</v>
      </c>
    </row>
    <row r="9" spans="1:14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/>
      <c r="H9" s="6">
        <f>B3</f>
        <v>1.1000000000000001</v>
      </c>
      <c r="I9" s="6">
        <f>B4</f>
        <v>1</v>
      </c>
      <c r="J9" s="6">
        <f>B3</f>
        <v>1.1000000000000001</v>
      </c>
      <c r="K9" s="6">
        <f>B4</f>
        <v>1</v>
      </c>
      <c r="L9" s="6"/>
    </row>
    <row r="10" spans="1:14">
      <c r="A10" s="5" t="s">
        <v>30</v>
      </c>
      <c r="B10" s="7">
        <v>2</v>
      </c>
      <c r="C10" s="7">
        <v>1</v>
      </c>
      <c r="D10" s="7">
        <v>4</v>
      </c>
      <c r="E10" s="7">
        <v>1</v>
      </c>
      <c r="F10" s="7">
        <v>16</v>
      </c>
      <c r="G10" s="7"/>
      <c r="H10" s="7">
        <v>1</v>
      </c>
      <c r="I10" s="7">
        <v>1</v>
      </c>
      <c r="J10" s="7">
        <v>4</v>
      </c>
      <c r="K10" s="7">
        <v>1</v>
      </c>
      <c r="L10" s="7"/>
    </row>
    <row r="11" spans="1:14">
      <c r="A11" s="5" t="s">
        <v>31</v>
      </c>
      <c r="B11" s="7">
        <v>24</v>
      </c>
      <c r="C11" s="8">
        <f>((D11*C9)*C10)/$C$21</f>
        <v>12.000000000000004</v>
      </c>
      <c r="D11" s="8">
        <f>((E11*D9)*D10)/$C$21</f>
        <v>46.992250155249906</v>
      </c>
      <c r="E11" s="8">
        <f>((F11*E9)*E10)/$C$21</f>
        <v>55.206789366339606</v>
      </c>
      <c r="F11" s="8">
        <f>((H11*F9*F10)+G11)/C21</f>
        <v>235.84465965192913</v>
      </c>
      <c r="G11" s="7">
        <v>732</v>
      </c>
      <c r="H11" s="8">
        <f>((I11*H9)*H10)/$B$21</f>
        <v>23.517945275895165</v>
      </c>
      <c r="I11" s="8">
        <f>((J11*I9)*I10)/$B$21</f>
        <v>76.691935609531939</v>
      </c>
      <c r="J11" s="8">
        <f>((K11*J9)*J10)/$B$21</f>
        <v>275.10134114146126</v>
      </c>
      <c r="K11" s="8">
        <f>((L11*K9)*K10)/$B$21</f>
        <v>224.27612290752907</v>
      </c>
      <c r="L11" s="7">
        <v>804.5</v>
      </c>
    </row>
    <row r="12" spans="1:14">
      <c r="A12" s="9" t="s">
        <v>32</v>
      </c>
      <c r="B12" s="10"/>
      <c r="C12" s="16">
        <f>FLOOR((C11*$E$2),1)</f>
        <v>7</v>
      </c>
      <c r="D12" s="16">
        <f>FLOOR((D11*$E$4),1)</f>
        <v>35</v>
      </c>
      <c r="E12" s="16">
        <f>FLOOR((E11*$E$3),1)</f>
        <v>37</v>
      </c>
      <c r="F12" s="16">
        <f>FLOOR((F11*$E$4),1)</f>
        <v>176</v>
      </c>
      <c r="G12" s="10"/>
      <c r="H12" s="16">
        <f>FLOOR((H11*$E$3),1)</f>
        <v>16</v>
      </c>
      <c r="I12" s="16">
        <f>FLOOR((I11*$E$4),1)</f>
        <v>57</v>
      </c>
      <c r="J12" s="16">
        <f>FLOOR((J11*$E$3),1)</f>
        <v>187</v>
      </c>
      <c r="K12" s="16">
        <f>FLOOR((K11*$E$4),1)</f>
        <v>168</v>
      </c>
      <c r="L12" s="10"/>
    </row>
    <row r="13" spans="1:14">
      <c r="A13" s="9" t="s">
        <v>33</v>
      </c>
      <c r="B13" s="10"/>
      <c r="C13" s="16">
        <f t="shared" ref="C13:F13" si="0">FLOOR(C11,1)-C12</f>
        <v>5</v>
      </c>
      <c r="D13" s="16">
        <f t="shared" si="0"/>
        <v>11</v>
      </c>
      <c r="E13" s="16">
        <f t="shared" si="0"/>
        <v>18</v>
      </c>
      <c r="F13" s="16">
        <f t="shared" si="0"/>
        <v>59</v>
      </c>
      <c r="G13" s="10"/>
      <c r="H13" s="16">
        <f t="shared" ref="H13:K13" si="1">FLOOR(H11,1)-H12</f>
        <v>7</v>
      </c>
      <c r="I13" s="16">
        <f t="shared" si="1"/>
        <v>19</v>
      </c>
      <c r="J13" s="16">
        <f t="shared" si="1"/>
        <v>88</v>
      </c>
      <c r="K13" s="16">
        <f t="shared" si="1"/>
        <v>56</v>
      </c>
      <c r="L13" s="10"/>
    </row>
    <row r="14" spans="1:14">
      <c r="A14" s="2"/>
    </row>
    <row r="15" spans="1:1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A16" s="2"/>
      <c r="B16" s="2" t="s">
        <v>34</v>
      </c>
      <c r="C16" s="2" t="s">
        <v>35</v>
      </c>
    </row>
    <row r="17" spans="1:15">
      <c r="A17" s="2" t="s">
        <v>36</v>
      </c>
      <c r="B17" s="14">
        <f>PRODUCT(C9:N9)</f>
        <v>1.5972000000000004</v>
      </c>
      <c r="C17" s="1">
        <f>PRODUCT(C9:F9)</f>
        <v>1.32</v>
      </c>
      <c r="E17" s="2" t="s">
        <v>37</v>
      </c>
      <c r="F17" s="1">
        <f>((K7-F7)*$B$21+F7*$C$21)*LN(2)</f>
        <v>22.97456040200176</v>
      </c>
      <c r="H17" s="2" t="s">
        <v>38</v>
      </c>
      <c r="I17" s="1">
        <v>165.26300000000001</v>
      </c>
    </row>
    <row r="18" spans="1:15">
      <c r="A18" s="2" t="s">
        <v>39</v>
      </c>
      <c r="B18" s="1">
        <f>PRODUCT(B10:N10)</f>
        <v>512</v>
      </c>
      <c r="C18" s="1">
        <f>PRODUCT(B10:E10)</f>
        <v>8</v>
      </c>
      <c r="E18" s="2" t="s">
        <v>40</v>
      </c>
      <c r="F18" s="1">
        <f>(COUNTIF(C8:M8,"Nand3")*$H$2*C9+COUNTIF(C8:M8,"Nand2")*$H$3*B3+COUNTIF(C8:M8,"Inv")*$H$4*B4)*LN(2)</f>
        <v>7.2752728071571857</v>
      </c>
      <c r="H18" s="2" t="s">
        <v>41</v>
      </c>
      <c r="I18" s="1">
        <v>159.7809</v>
      </c>
    </row>
    <row r="19" spans="1:15">
      <c r="A19" s="2" t="s">
        <v>42</v>
      </c>
      <c r="B19" s="1">
        <f>$L$11/$B$11</f>
        <v>33.520833333333336</v>
      </c>
      <c r="C19" s="1">
        <f>(($H$11*$F$10)+$G$11)/$B$11</f>
        <v>46.178630183930103</v>
      </c>
      <c r="E19" s="2" t="s">
        <v>43</v>
      </c>
      <c r="F19" s="1">
        <f>SUM(F17:F18)</f>
        <v>30.249833209158947</v>
      </c>
      <c r="H19" s="2" t="s">
        <v>44</v>
      </c>
      <c r="I19" s="1">
        <f>I17/($K$3)</f>
        <v>8.3889847715736039</v>
      </c>
    </row>
    <row r="20" spans="1:15">
      <c r="A20" s="2" t="s">
        <v>45</v>
      </c>
      <c r="B20" s="1">
        <f>PRODUCT(B17:B19)</f>
        <v>27412.211200000009</v>
      </c>
      <c r="C20" s="1">
        <f>PRODUCT(C17:C19)</f>
        <v>487.64633474230192</v>
      </c>
      <c r="E20" s="2" t="s">
        <v>46</v>
      </c>
      <c r="F20" s="1">
        <f>F19/(5*LN(2))</f>
        <v>8.7282568717143771</v>
      </c>
      <c r="H20" s="2" t="s">
        <v>47</v>
      </c>
      <c r="I20" s="1">
        <f>I18/($K$3)</f>
        <v>8.1107055837563458</v>
      </c>
    </row>
    <row r="21" spans="1:15">
      <c r="A21" s="2" t="s">
        <v>48</v>
      </c>
      <c r="B21" s="1">
        <f>POWER(B20,(1/K7))</f>
        <v>3.587096074117984</v>
      </c>
      <c r="C21" s="1">
        <f>POWER(C20,(1/F7))</f>
        <v>4.6992250155249895</v>
      </c>
    </row>
    <row r="22" spans="1:15">
      <c r="A22" s="2"/>
    </row>
    <row r="23" spans="1:15" ht="15" customHeight="1">
      <c r="B23" s="2" t="s">
        <v>49</v>
      </c>
      <c r="C23" s="2" t="s">
        <v>50</v>
      </c>
      <c r="D23" s="2" t="s">
        <v>51</v>
      </c>
      <c r="E23" s="2" t="s">
        <v>52</v>
      </c>
      <c r="F23" s="2" t="s">
        <v>53</v>
      </c>
      <c r="J23" s="2">
        <v>3</v>
      </c>
      <c r="K23" s="2">
        <v>4</v>
      </c>
      <c r="L23" s="2">
        <v>5</v>
      </c>
      <c r="M23" s="2">
        <v>6</v>
      </c>
      <c r="N23" s="2" t="s">
        <v>54</v>
      </c>
    </row>
    <row r="24" spans="1:15" ht="15" customHeight="1">
      <c r="A24" s="2" t="s">
        <v>28</v>
      </c>
      <c r="B24" s="1">
        <v>0</v>
      </c>
      <c r="C24" s="1">
        <v>0</v>
      </c>
      <c r="D24" s="1">
        <v>0</v>
      </c>
      <c r="E24" s="1">
        <f>L11/4</f>
        <v>201.125</v>
      </c>
      <c r="F24" s="1">
        <f>SUM(B24:E24)</f>
        <v>201.125</v>
      </c>
      <c r="I24" s="2" t="s">
        <v>28</v>
      </c>
      <c r="J24" s="1">
        <v>0</v>
      </c>
      <c r="K24" s="1">
        <v>0</v>
      </c>
      <c r="L24" s="1">
        <v>0</v>
      </c>
      <c r="M24" s="1">
        <f>G11</f>
        <v>732</v>
      </c>
      <c r="N24" s="1">
        <f>SUM(J24:M24)</f>
        <v>732</v>
      </c>
    </row>
    <row r="25" spans="1:15" ht="15" customHeight="1">
      <c r="A25" s="2" t="s">
        <v>55</v>
      </c>
      <c r="B25" s="1" t="e">
        <v>#VALUE!</v>
      </c>
      <c r="C25" s="1" t="e">
        <v>#VALUE!</v>
      </c>
      <c r="D25" s="1" t="e">
        <v>#VALUE!</v>
      </c>
      <c r="E25" s="1">
        <v>0</v>
      </c>
      <c r="F25" s="1" t="e">
        <f>SUM(B25:E25)</f>
        <v>#VALUE!</v>
      </c>
      <c r="I25" s="2" t="s">
        <v>55</v>
      </c>
      <c r="J25" s="1">
        <f>F11</f>
        <v>235.84465965192913</v>
      </c>
      <c r="K25" s="1">
        <f>G11</f>
        <v>732</v>
      </c>
      <c r="L25" s="1">
        <f>H11</f>
        <v>23.517945275895165</v>
      </c>
      <c r="M25" s="1">
        <f>16*H11</f>
        <v>376.28712441432265</v>
      </c>
      <c r="N25" s="1">
        <f>SUM(J25:M25)</f>
        <v>1367.6497293421469</v>
      </c>
    </row>
    <row r="26" spans="1:15" ht="15" customHeight="1">
      <c r="A26" s="2" t="s">
        <v>56</v>
      </c>
      <c r="B26" s="1" t="e">
        <v>#VALUE!</v>
      </c>
      <c r="C26" s="1" t="e">
        <v>#VALUE!</v>
      </c>
      <c r="D26" s="1" t="e">
        <v>#VALUE!</v>
      </c>
      <c r="E26" s="1" t="e">
        <v>#VALUE!</v>
      </c>
      <c r="F26" s="1" t="e">
        <f>SUM(B26:E26)</f>
        <v>#VALUE!</v>
      </c>
      <c r="I26" s="2" t="s">
        <v>56</v>
      </c>
      <c r="J26" s="1">
        <f>H2*E11</f>
        <v>106.54910347703543</v>
      </c>
      <c r="K26" s="1">
        <f>H4*F11</f>
        <v>202.11887332170326</v>
      </c>
      <c r="L26" s="1">
        <f>H4*G11</f>
        <v>627.32399999999996</v>
      </c>
      <c r="M26" s="1">
        <f>H4*H11</f>
        <v>20.154879101442155</v>
      </c>
      <c r="N26" s="1">
        <f>SUM(J26:M26)</f>
        <v>956.14685590018075</v>
      </c>
    </row>
    <row r="27" spans="1:15" ht="15" customHeight="1">
      <c r="A27" s="2" t="s">
        <v>53</v>
      </c>
      <c r="B27" s="1" t="e">
        <f>SUM(B24:B26)</f>
        <v>#VALUE!</v>
      </c>
      <c r="C27" s="1" t="e">
        <f>SUM(C24:C26)</f>
        <v>#VALUE!</v>
      </c>
      <c r="D27" s="1" t="e">
        <f>SUM(D24:D26)</f>
        <v>#VALUE!</v>
      </c>
      <c r="E27" s="1" t="e">
        <f>SUM(E24:E26)</f>
        <v>#VALUE!</v>
      </c>
      <c r="F27" s="2" t="e">
        <f>SUM(B27:E27)</f>
        <v>#VALUE!</v>
      </c>
      <c r="G27" s="2" t="s">
        <v>57</v>
      </c>
      <c r="I27" s="2" t="s">
        <v>53</v>
      </c>
      <c r="J27" s="1">
        <f>SUM(J24:J26)</f>
        <v>342.39376312896457</v>
      </c>
      <c r="K27" s="1">
        <f>SUM(K24:K26)</f>
        <v>934.11887332170329</v>
      </c>
      <c r="L27" s="1">
        <f>SUM(L24:L26)</f>
        <v>650.84194527589511</v>
      </c>
      <c r="M27" s="1">
        <f>SUM(M24:M26)</f>
        <v>1128.4420035157648</v>
      </c>
      <c r="N27" s="2">
        <f>SUM(J27:M27)</f>
        <v>3055.7965852423276</v>
      </c>
      <c r="O27" s="2" t="s">
        <v>57</v>
      </c>
    </row>
    <row r="28" spans="1:15" ht="15" customHeight="1">
      <c r="F28" s="2" t="e">
        <f>F27*$N$2*$N$3</f>
        <v>#VALUE!</v>
      </c>
      <c r="G28" s="2" t="s">
        <v>58</v>
      </c>
      <c r="N28" s="2">
        <f>N27*$N$2*$N$3</f>
        <v>94.118534825463669</v>
      </c>
      <c r="O28" s="2" t="s">
        <v>58</v>
      </c>
    </row>
    <row r="29" spans="1:15" ht="15" customHeight="1">
      <c r="A29" s="2" t="s">
        <v>59</v>
      </c>
      <c r="B29" s="2" t="e">
        <f>(F28+N28)*$N$5*($N$4^2)</f>
        <v>#VALUE!</v>
      </c>
      <c r="C29" s="15" t="s">
        <v>60</v>
      </c>
    </row>
    <row r="41" spans="1:1" ht="15" customHeight="1">
      <c r="A41" s="1" t="s">
        <v>61</v>
      </c>
    </row>
  </sheetData>
  <mergeCells count="3">
    <mergeCell ref="C6:H6"/>
    <mergeCell ref="J6:K6"/>
    <mergeCell ref="L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3"/>
  <sheetViews>
    <sheetView tabSelected="1" zoomScale="115" zoomScaleNormal="115" workbookViewId="0">
      <selection activeCell="H14" sqref="H14"/>
    </sheetView>
  </sheetViews>
  <sheetFormatPr defaultRowHeight="15"/>
  <cols>
    <col min="1" max="1" width="21.140625" style="1" bestFit="1" customWidth="1"/>
    <col min="2" max="2" width="22.42578125" style="1" bestFit="1" customWidth="1"/>
    <col min="3" max="3" width="9.140625" style="1"/>
    <col min="4" max="4" width="12.85546875" style="1" bestFit="1" customWidth="1"/>
    <col min="5" max="14" width="9.140625" style="1"/>
    <col min="15" max="15" width="12" style="1" bestFit="1" customWidth="1"/>
    <col min="16" max="1027" width="9.140625" style="1"/>
  </cols>
  <sheetData>
    <row r="1" spans="1:1027" ht="15" customHeight="1">
      <c r="A1" s="1" t="s">
        <v>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</row>
    <row r="2" spans="1:1027">
      <c r="A2" s="2" t="s">
        <v>1</v>
      </c>
      <c r="B2" s="1">
        <v>1.2</v>
      </c>
      <c r="D2" s="2" t="s">
        <v>2</v>
      </c>
      <c r="E2" s="1">
        <f>3/(3+1.78)</f>
        <v>0.62761506276150625</v>
      </c>
      <c r="G2" s="2" t="s">
        <v>3</v>
      </c>
      <c r="H2" s="1">
        <v>1.93</v>
      </c>
      <c r="J2" s="2" t="s">
        <v>4</v>
      </c>
      <c r="K2" s="3">
        <v>6.0170000000000003</v>
      </c>
      <c r="M2" s="2" t="s">
        <v>5</v>
      </c>
      <c r="N2" s="3">
        <v>1.4</v>
      </c>
      <c r="O2" s="3"/>
      <c r="P2" s="3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</row>
    <row r="3" spans="1:1027">
      <c r="A3" s="2" t="s">
        <v>6</v>
      </c>
      <c r="B3" s="1">
        <v>1.1000000000000001</v>
      </c>
      <c r="D3" s="2" t="s">
        <v>7</v>
      </c>
      <c r="E3" s="1">
        <f>3/(3+1.39)</f>
        <v>0.68337129840546706</v>
      </c>
      <c r="G3" s="2" t="s">
        <v>8</v>
      </c>
      <c r="H3" s="1">
        <v>1.44</v>
      </c>
      <c r="J3" s="2" t="s">
        <v>9</v>
      </c>
      <c r="K3" s="1">
        <v>19.7</v>
      </c>
      <c r="M3" s="2" t="s">
        <v>10</v>
      </c>
      <c r="N3" s="1">
        <v>2.1999999999999999E-2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</row>
    <row r="4" spans="1:1027">
      <c r="A4" s="2" t="s">
        <v>11</v>
      </c>
      <c r="B4" s="1">
        <v>1</v>
      </c>
      <c r="D4" s="2" t="s">
        <v>12</v>
      </c>
      <c r="E4" s="1">
        <v>0.75</v>
      </c>
      <c r="G4" s="2" t="s">
        <v>13</v>
      </c>
      <c r="H4" s="1">
        <v>0.85699999999999998</v>
      </c>
      <c r="L4" s="3"/>
      <c r="M4" s="2" t="s">
        <v>14</v>
      </c>
      <c r="N4" s="1">
        <v>1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</row>
    <row r="5" spans="1:1027">
      <c r="L5" s="3"/>
      <c r="M5" s="2" t="s">
        <v>15</v>
      </c>
      <c r="N5" s="1">
        <v>1</v>
      </c>
      <c r="Q5"/>
      <c r="R5"/>
      <c r="S5"/>
      <c r="T5" t="s">
        <v>68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</row>
    <row r="6" spans="1:1027" ht="15" customHeight="1">
      <c r="C6" s="19" t="s">
        <v>16</v>
      </c>
      <c r="D6" s="19"/>
      <c r="E6" s="19"/>
      <c r="F6" s="19"/>
      <c r="G6" s="19"/>
      <c r="H6" s="19"/>
      <c r="J6" s="19" t="s">
        <v>17</v>
      </c>
      <c r="K6" s="19"/>
      <c r="L6" s="19" t="s">
        <v>18</v>
      </c>
      <c r="M6" s="19"/>
      <c r="Q6"/>
      <c r="R6"/>
      <c r="S6"/>
      <c r="T6"/>
      <c r="U6">
        <v>20.327000000000002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</row>
    <row r="7" spans="1:1027" ht="15" customHeight="1">
      <c r="A7" s="4" t="s">
        <v>19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20</v>
      </c>
      <c r="J7" s="4">
        <v>7</v>
      </c>
      <c r="K7" s="4">
        <v>8</v>
      </c>
      <c r="L7" s="4">
        <v>9</v>
      </c>
      <c r="M7" s="4">
        <v>10</v>
      </c>
      <c r="N7" s="4" t="s">
        <v>21</v>
      </c>
      <c r="O7" s="4"/>
      <c r="P7" s="4"/>
      <c r="Q7"/>
      <c r="R7" s="10"/>
      <c r="S7" s="10" t="s">
        <v>54</v>
      </c>
      <c r="T7" t="s">
        <v>72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</row>
    <row r="8" spans="1:1027">
      <c r="A8" s="5" t="s">
        <v>22</v>
      </c>
      <c r="B8" s="6" t="s">
        <v>23</v>
      </c>
      <c r="C8" s="6" t="s">
        <v>24</v>
      </c>
      <c r="D8" s="6" t="s">
        <v>25</v>
      </c>
      <c r="E8" s="6" t="s">
        <v>26</v>
      </c>
      <c r="F8" s="6" t="s">
        <v>25</v>
      </c>
      <c r="G8" s="6" t="s">
        <v>25</v>
      </c>
      <c r="H8" s="6" t="s">
        <v>25</v>
      </c>
      <c r="I8" s="6" t="s">
        <v>27</v>
      </c>
      <c r="J8" s="6" t="s">
        <v>26</v>
      </c>
      <c r="K8" s="6" t="s">
        <v>25</v>
      </c>
      <c r="L8" s="6" t="s">
        <v>26</v>
      </c>
      <c r="M8" s="6" t="s">
        <v>25</v>
      </c>
      <c r="N8" s="6" t="s">
        <v>28</v>
      </c>
      <c r="O8" s="6"/>
      <c r="P8" s="6"/>
      <c r="Q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>
      <c r="A9" s="5" t="s">
        <v>29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6">
        <f>B3</f>
        <v>1.1000000000000001</v>
      </c>
      <c r="M9" s="6">
        <f>B4</f>
        <v>1</v>
      </c>
      <c r="N9" s="6"/>
      <c r="O9" s="6"/>
      <c r="P9" s="6"/>
      <c r="Q9"/>
      <c r="R9" s="2" t="s">
        <v>37</v>
      </c>
      <c r="S9" s="1">
        <f>SUM(C17:M17)*LN(2)</f>
        <v>50.571361389462879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</row>
    <row r="10" spans="1:1027">
      <c r="A10" s="5" t="s">
        <v>70</v>
      </c>
      <c r="B10" s="6"/>
      <c r="C10" s="1">
        <v>1.93</v>
      </c>
      <c r="D10" s="1">
        <v>0.85699999999999998</v>
      </c>
      <c r="E10" s="1">
        <v>1.44</v>
      </c>
      <c r="F10" s="1">
        <v>0.85699999999999998</v>
      </c>
      <c r="G10" s="1">
        <v>0.85699999999999998</v>
      </c>
      <c r="H10" s="1">
        <v>0.85699999999999998</v>
      </c>
      <c r="I10" s="6"/>
      <c r="J10" s="1">
        <v>1.44</v>
      </c>
      <c r="K10" s="1">
        <v>0.85699999999999998</v>
      </c>
      <c r="L10" s="1">
        <v>1.44</v>
      </c>
      <c r="M10" s="1">
        <v>0.85699999999999998</v>
      </c>
      <c r="N10" s="6"/>
      <c r="O10" s="6"/>
      <c r="P10" s="6"/>
      <c r="Q10"/>
      <c r="R10" s="2" t="s">
        <v>40</v>
      </c>
      <c r="S10" s="18">
        <f>F22</f>
        <v>8.4633270746369327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</row>
    <row r="11" spans="1:1027">
      <c r="A11" s="5" t="s">
        <v>30</v>
      </c>
      <c r="B11" s="7">
        <v>2</v>
      </c>
      <c r="C11" s="7">
        <v>1</v>
      </c>
      <c r="D11" s="7">
        <v>4</v>
      </c>
      <c r="E11" s="7">
        <v>1</v>
      </c>
      <c r="F11" s="7">
        <v>1</v>
      </c>
      <c r="G11" s="7">
        <v>1</v>
      </c>
      <c r="H11" s="7">
        <v>16</v>
      </c>
      <c r="I11" s="7"/>
      <c r="J11" s="7">
        <v>1</v>
      </c>
      <c r="K11" s="7">
        <v>1</v>
      </c>
      <c r="L11" s="7">
        <v>4</v>
      </c>
      <c r="M11" s="7">
        <v>1</v>
      </c>
      <c r="N11" s="7"/>
      <c r="O11" s="7"/>
      <c r="P11" s="7"/>
      <c r="Q11"/>
      <c r="R11" s="2" t="s">
        <v>43</v>
      </c>
      <c r="S11" s="1">
        <f>SUM(S9:S10)</f>
        <v>59.034688464099816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</row>
    <row r="12" spans="1:1027">
      <c r="A12" s="5" t="s">
        <v>74</v>
      </c>
      <c r="B12" s="7">
        <v>24</v>
      </c>
      <c r="C12" s="8">
        <v>11.999999999999995</v>
      </c>
      <c r="D12" s="8">
        <v>30.35354180178415</v>
      </c>
      <c r="E12" s="8">
        <v>23.033437497816454</v>
      </c>
      <c r="F12" s="8">
        <v>63.558764357159497</v>
      </c>
      <c r="G12" s="8">
        <v>192.92336107847899</v>
      </c>
      <c r="H12" s="8">
        <v>585.59073050363111</v>
      </c>
      <c r="I12" s="7">
        <v>732</v>
      </c>
      <c r="J12" s="8">
        <v>65.342204481745569</v>
      </c>
      <c r="K12" s="8">
        <v>165.04239002663363</v>
      </c>
      <c r="L12" s="8">
        <v>458.55339277150404</v>
      </c>
      <c r="M12" s="8">
        <v>289.55538192384284</v>
      </c>
      <c r="N12" s="7">
        <v>804.5</v>
      </c>
      <c r="O12" s="7"/>
      <c r="P12" s="7"/>
      <c r="Q12"/>
      <c r="R12" s="2" t="s">
        <v>46</v>
      </c>
      <c r="S12" s="1">
        <f>S11/(5*LN(2))</f>
        <v>17.033810457516338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</row>
    <row r="13" spans="1:1027">
      <c r="A13" s="5" t="s">
        <v>75</v>
      </c>
      <c r="B13" s="7">
        <v>24</v>
      </c>
      <c r="C13" s="8">
        <v>11.999999999999995</v>
      </c>
      <c r="D13" s="8">
        <v>18</v>
      </c>
      <c r="E13" s="8">
        <v>14</v>
      </c>
      <c r="F13" s="8">
        <v>17</v>
      </c>
      <c r="G13" s="8">
        <v>17</v>
      </c>
      <c r="H13" s="8">
        <v>40</v>
      </c>
      <c r="I13" s="7">
        <v>732</v>
      </c>
      <c r="J13" s="8">
        <v>14</v>
      </c>
      <c r="K13" s="8">
        <v>25</v>
      </c>
      <c r="L13" s="8">
        <v>40</v>
      </c>
      <c r="M13" s="8">
        <v>25</v>
      </c>
      <c r="N13" s="7">
        <v>804.5</v>
      </c>
      <c r="O13" s="7"/>
      <c r="P13" s="7"/>
      <c r="Q13"/>
      <c r="R13" s="17" t="s">
        <v>71</v>
      </c>
      <c r="S13" s="1">
        <f>S12*21.2</f>
        <v>361.11678169934635</v>
      </c>
      <c r="T13" s="1">
        <f>363</f>
        <v>363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</row>
    <row r="14" spans="1:1027">
      <c r="A14" s="9" t="s">
        <v>32</v>
      </c>
      <c r="B14" s="10"/>
      <c r="C14" s="16">
        <v>7</v>
      </c>
      <c r="D14" s="16">
        <f>FLOOR((D13*$E$4),1)</f>
        <v>13</v>
      </c>
      <c r="E14" s="16">
        <f>FLOOR((E13*$E$3),1)</f>
        <v>9</v>
      </c>
      <c r="F14" s="16">
        <f>FLOOR((F13*$E$4),1)</f>
        <v>12</v>
      </c>
      <c r="G14" s="16">
        <f>FLOOR((G13*$E$4),1)</f>
        <v>12</v>
      </c>
      <c r="H14" s="16">
        <f>FLOOR((H13*$E$4),1)</f>
        <v>30</v>
      </c>
      <c r="I14" s="10"/>
      <c r="J14" s="16">
        <f>FLOOR((J13*$E$3),1)</f>
        <v>9</v>
      </c>
      <c r="K14" s="16">
        <f>FLOOR((K13*$E$4),1)</f>
        <v>18</v>
      </c>
      <c r="L14" s="16">
        <f>FLOOR((L13*$E$3),1)</f>
        <v>27</v>
      </c>
      <c r="M14" s="16">
        <f>FLOOR((M13*$E$4),1)</f>
        <v>18</v>
      </c>
      <c r="N14" s="10"/>
      <c r="O14" s="10"/>
      <c r="P14" s="10"/>
      <c r="Q14"/>
      <c r="R14"/>
      <c r="S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</row>
    <row r="15" spans="1:1027">
      <c r="A15" s="9" t="s">
        <v>33</v>
      </c>
      <c r="B15" s="10"/>
      <c r="C15" s="16">
        <v>5</v>
      </c>
      <c r="D15" s="16">
        <f t="shared" ref="D15:H15" si="0">FLOOR(D13,1)-D14</f>
        <v>5</v>
      </c>
      <c r="E15" s="16">
        <f t="shared" si="0"/>
        <v>5</v>
      </c>
      <c r="F15" s="16">
        <f t="shared" si="0"/>
        <v>5</v>
      </c>
      <c r="G15" s="16">
        <f t="shared" si="0"/>
        <v>5</v>
      </c>
      <c r="H15" s="16">
        <f t="shared" si="0"/>
        <v>10</v>
      </c>
      <c r="I15" s="10"/>
      <c r="J15" s="16">
        <f t="shared" ref="J15:M15" si="1">FLOOR(J13,1)-J14</f>
        <v>5</v>
      </c>
      <c r="K15" s="16">
        <f t="shared" si="1"/>
        <v>7</v>
      </c>
      <c r="L15" s="16">
        <f t="shared" si="1"/>
        <v>13</v>
      </c>
      <c r="M15" s="16">
        <f t="shared" si="1"/>
        <v>7</v>
      </c>
      <c r="N15" s="10"/>
      <c r="R15" s="2" t="s">
        <v>77</v>
      </c>
      <c r="S15" s="21">
        <f>SUM(C18:M18)</f>
        <v>1663.9532044425962</v>
      </c>
      <c r="T15" s="1" t="s">
        <v>57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</row>
    <row r="16" spans="1:1027">
      <c r="A16" s="2" t="s">
        <v>73</v>
      </c>
      <c r="C16" s="1">
        <f>D13*C9*C11/C13</f>
        <v>1.8000000000000007</v>
      </c>
      <c r="D16" s="1">
        <f>E13*D9*D11/D13</f>
        <v>3.1111111111111112</v>
      </c>
      <c r="E16" s="1">
        <f>F13*E9*E11/E13</f>
        <v>1.3357142857142859</v>
      </c>
      <c r="F16" s="1">
        <f>G13*F9*F11/F13</f>
        <v>1</v>
      </c>
      <c r="G16" s="1">
        <f>H13*G9*G11/G13</f>
        <v>2.3529411764705883</v>
      </c>
      <c r="H16" s="1">
        <f>(I13+(J13*H11))*H9/H13</f>
        <v>23.9</v>
      </c>
      <c r="I16" s="1">
        <f t="shared" ref="I16" si="2">I9</f>
        <v>0</v>
      </c>
      <c r="J16" s="1">
        <f>K13*J9*J11/J13</f>
        <v>1.9642857142857146</v>
      </c>
      <c r="K16" s="1">
        <f>L13*K9*K11/K13</f>
        <v>1.6</v>
      </c>
      <c r="L16" s="1">
        <f>M13*L9*L11/L13</f>
        <v>2.7500000000000004</v>
      </c>
      <c r="M16" s="1">
        <f>N13*M9*M11/M13</f>
        <v>32.18</v>
      </c>
      <c r="N16" s="2"/>
      <c r="R16"/>
      <c r="S16">
        <f>S15*N3*N2</f>
        <v>51.249758696831961</v>
      </c>
      <c r="T16" t="s">
        <v>58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</row>
    <row r="17" spans="1:1027">
      <c r="A17" s="2" t="s">
        <v>69</v>
      </c>
      <c r="C17" s="1">
        <f>C16*C9</f>
        <v>2.1600000000000006</v>
      </c>
      <c r="D17" s="1">
        <f>D16*D9</f>
        <v>3.1111111111111112</v>
      </c>
      <c r="E17" s="1">
        <f>E16*E9</f>
        <v>1.4692857142857145</v>
      </c>
      <c r="F17" s="1">
        <f>F16*F9</f>
        <v>1</v>
      </c>
      <c r="G17" s="1">
        <f>G16*G9</f>
        <v>2.3529411764705883</v>
      </c>
      <c r="H17" s="1">
        <f>H16*H9</f>
        <v>23.9</v>
      </c>
      <c r="I17" s="1">
        <f>I16*I9</f>
        <v>0</v>
      </c>
      <c r="J17" s="1">
        <f>J16*J9</f>
        <v>2.1607142857142865</v>
      </c>
      <c r="K17" s="1">
        <f>K16*K9</f>
        <v>1.6</v>
      </c>
      <c r="L17" s="1">
        <f>L16*L9</f>
        <v>3.0250000000000008</v>
      </c>
      <c r="M17" s="1">
        <f>M16*M9</f>
        <v>32.18</v>
      </c>
      <c r="N17" s="2"/>
      <c r="O17" s="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</row>
    <row r="18" spans="1:1027">
      <c r="A18" s="2" t="s">
        <v>76</v>
      </c>
      <c r="C18" s="20">
        <f>C12-C13</f>
        <v>0</v>
      </c>
      <c r="D18" s="20">
        <f t="shared" ref="D18:M18" si="3">D12-D13</f>
        <v>12.35354180178415</v>
      </c>
      <c r="E18" s="20">
        <f t="shared" si="3"/>
        <v>9.033437497816454</v>
      </c>
      <c r="F18" s="20">
        <f t="shared" si="3"/>
        <v>46.558764357159497</v>
      </c>
      <c r="G18" s="20">
        <f t="shared" si="3"/>
        <v>175.92336107847899</v>
      </c>
      <c r="H18" s="20">
        <f t="shared" si="3"/>
        <v>545.59073050363111</v>
      </c>
      <c r="I18" s="20">
        <f t="shared" si="3"/>
        <v>0</v>
      </c>
      <c r="J18" s="20">
        <f t="shared" si="3"/>
        <v>51.342204481745569</v>
      </c>
      <c r="K18" s="20">
        <f t="shared" si="3"/>
        <v>140.04239002663363</v>
      </c>
      <c r="L18" s="20">
        <f t="shared" si="3"/>
        <v>418.55339277150404</v>
      </c>
      <c r="M18" s="20">
        <f t="shared" si="3"/>
        <v>264.55538192384284</v>
      </c>
      <c r="N18" s="2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</row>
    <row r="19" spans="1:1027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</row>
    <row r="20" spans="1:1027">
      <c r="A20" s="2"/>
      <c r="B20" s="2" t="s">
        <v>34</v>
      </c>
      <c r="C20" s="2" t="s">
        <v>35</v>
      </c>
      <c r="N20" s="2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</row>
    <row r="21" spans="1:1027">
      <c r="A21" s="2" t="s">
        <v>36</v>
      </c>
      <c r="B21" s="14">
        <f>PRODUCT(C9:N9)</f>
        <v>1.5972000000000004</v>
      </c>
      <c r="C21" s="1">
        <f>PRODUCT(C9:H9)</f>
        <v>1.32</v>
      </c>
      <c r="E21" s="2" t="s">
        <v>37</v>
      </c>
      <c r="F21" s="1">
        <f>(1*C25*B2+4*C25*B4+1*C25*B3+2*B25*B3+2*B25*B4)*LN(2)</f>
        <v>20.041728712440982</v>
      </c>
      <c r="H21" s="2" t="s">
        <v>38</v>
      </c>
      <c r="I21" s="1">
        <v>165.26300000000001</v>
      </c>
      <c r="N21" s="2"/>
      <c r="R21" s="17"/>
      <c r="S21"/>
      <c r="T21"/>
      <c r="U21" s="17"/>
      <c r="X21" s="1">
        <f>(6*C25+4*B25)*LN(2)</f>
        <v>19.087360678515221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</row>
    <row r="22" spans="1:1027">
      <c r="A22" s="2" t="s">
        <v>39</v>
      </c>
      <c r="B22" s="1">
        <f>PRODUCT(B11:N11)</f>
        <v>512</v>
      </c>
      <c r="C22" s="1">
        <f>PRODUCT(B11:G11)</f>
        <v>8</v>
      </c>
      <c r="E22" s="2" t="s">
        <v>40</v>
      </c>
      <c r="F22" s="1">
        <f>(COUNTIF(C8:M8,"Nand3")*$H$2*C9+COUNTIF(C8:M8,"Nand2")*$H$3*B3+COUNTIF(C8:M8,"Inv")*$H$4*B4)*LN(2)</f>
        <v>8.4633270746369327</v>
      </c>
      <c r="H22" s="2" t="s">
        <v>41</v>
      </c>
      <c r="I22" s="1">
        <v>159.7809</v>
      </c>
      <c r="S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</row>
    <row r="23" spans="1:1027">
      <c r="A23" s="2" t="s">
        <v>42</v>
      </c>
      <c r="B23" s="1">
        <f>$N$13/$B$13</f>
        <v>33.520833333333336</v>
      </c>
      <c r="C23" s="1">
        <f>(($J$13*$H$11)+$I$13)/$B$13</f>
        <v>39.833333333333336</v>
      </c>
      <c r="E23" s="2" t="s">
        <v>43</v>
      </c>
      <c r="F23" s="1">
        <f>SUM(F21:F22)</f>
        <v>28.505055787077914</v>
      </c>
      <c r="H23" s="2" t="s">
        <v>44</v>
      </c>
      <c r="I23" s="1">
        <f>I21/($K$3)</f>
        <v>8.3889847715736039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</row>
    <row r="24" spans="1:1027">
      <c r="A24" s="2" t="s">
        <v>45</v>
      </c>
      <c r="B24" s="1">
        <f>PRODUCT(B21:B23)</f>
        <v>27412.211200000009</v>
      </c>
      <c r="C24" s="1">
        <f>PRODUCT(C21:C23)</f>
        <v>420.64000000000004</v>
      </c>
      <c r="E24" s="2" t="s">
        <v>46</v>
      </c>
      <c r="F24" s="1">
        <f>F23/(5*LN(2))</f>
        <v>8.2248205248561117</v>
      </c>
      <c r="H24" s="2" t="s">
        <v>47</v>
      </c>
      <c r="I24" s="1">
        <f>I22/($K$3)</f>
        <v>8.1107055837563458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</row>
    <row r="25" spans="1:1027">
      <c r="A25" s="2" t="s">
        <v>48</v>
      </c>
      <c r="B25" s="1">
        <f>POWER(B24,(1/M7))</f>
        <v>2.7783976752730326</v>
      </c>
      <c r="C25" s="1">
        <f>POWER(C24,(1/H7))</f>
        <v>2.7372749822434637</v>
      </c>
      <c r="F25" s="1">
        <f>F24*21.2</f>
        <v>174.36619512694955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</row>
    <row r="26" spans="1:1027">
      <c r="A26" s="2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</row>
    <row r="27" spans="1:1027" ht="15" customHeight="1">
      <c r="B27" s="2" t="s">
        <v>49</v>
      </c>
      <c r="C27" s="2" t="s">
        <v>50</v>
      </c>
      <c r="D27" s="2" t="s">
        <v>51</v>
      </c>
      <c r="E27" s="2" t="s">
        <v>52</v>
      </c>
      <c r="F27" s="2" t="s">
        <v>53</v>
      </c>
      <c r="J27" s="2">
        <v>3</v>
      </c>
      <c r="K27" s="2">
        <v>4</v>
      </c>
      <c r="L27" s="2">
        <v>5</v>
      </c>
      <c r="M27" s="2">
        <v>6</v>
      </c>
      <c r="N27" s="2" t="s">
        <v>54</v>
      </c>
      <c r="O27" s="2"/>
      <c r="P27" s="2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</row>
    <row r="28" spans="1:1027" ht="15" customHeight="1">
      <c r="A28" s="2" t="s">
        <v>28</v>
      </c>
      <c r="B28" s="1">
        <v>0</v>
      </c>
      <c r="C28" s="1">
        <v>0</v>
      </c>
      <c r="D28" s="1">
        <v>0</v>
      </c>
      <c r="E28" s="1">
        <f>N13</f>
        <v>804.5</v>
      </c>
      <c r="F28" s="1">
        <f>SUM(B28:E28)</f>
        <v>804.5</v>
      </c>
      <c r="I28" s="2" t="s">
        <v>28</v>
      </c>
      <c r="J28" s="1">
        <v>0</v>
      </c>
      <c r="K28" s="1">
        <v>0</v>
      </c>
      <c r="L28" s="1">
        <v>0</v>
      </c>
      <c r="M28" s="1">
        <f>I13</f>
        <v>732</v>
      </c>
      <c r="N28" s="1">
        <f>SUM(J28:M28)</f>
        <v>732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</row>
    <row r="29" spans="1:1027" ht="15" customHeight="1">
      <c r="A29" s="2" t="s">
        <v>55</v>
      </c>
      <c r="B29" s="1">
        <f>K13</f>
        <v>25</v>
      </c>
      <c r="C29" s="1">
        <f t="shared" ref="C29:D29" si="4">L13</f>
        <v>40</v>
      </c>
      <c r="D29" s="1">
        <f>M13*L11</f>
        <v>100</v>
      </c>
      <c r="E29" s="1">
        <v>0</v>
      </c>
      <c r="F29" s="1">
        <f>SUM(B29:E29)</f>
        <v>165</v>
      </c>
      <c r="I29" s="2" t="s">
        <v>55</v>
      </c>
      <c r="J29" s="1">
        <f>F13</f>
        <v>17</v>
      </c>
      <c r="K29" s="1">
        <f>G13</f>
        <v>17</v>
      </c>
      <c r="L29" s="1">
        <f>H13</f>
        <v>40</v>
      </c>
      <c r="M29" s="1">
        <f>16*J13</f>
        <v>224</v>
      </c>
      <c r="N29" s="1">
        <f>SUM(J29:M29)</f>
        <v>298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</row>
    <row r="30" spans="1:1027" ht="15" customHeight="1">
      <c r="A30" s="2" t="s">
        <v>56</v>
      </c>
      <c r="B30" s="1">
        <f>J13*H3</f>
        <v>20.16</v>
      </c>
      <c r="C30" s="1">
        <f>K13*H4</f>
        <v>21.425000000000001</v>
      </c>
      <c r="D30" s="1">
        <f>L13*H3</f>
        <v>57.599999999999994</v>
      </c>
      <c r="E30" s="1">
        <f>M13*H4</f>
        <v>21.425000000000001</v>
      </c>
      <c r="F30" s="1">
        <f>SUM(B30:E30)</f>
        <v>120.61</v>
      </c>
      <c r="I30" s="2" t="s">
        <v>56</v>
      </c>
      <c r="J30" s="1">
        <f>H2*E13</f>
        <v>27.02</v>
      </c>
      <c r="K30" s="1">
        <f>H4*F13</f>
        <v>14.568999999999999</v>
      </c>
      <c r="L30" s="1">
        <f>H4*G13</f>
        <v>14.568999999999999</v>
      </c>
      <c r="M30" s="1">
        <f>H4*H13</f>
        <v>34.28</v>
      </c>
      <c r="N30" s="1">
        <f>SUM(J30:M30)</f>
        <v>90.438000000000002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</row>
    <row r="31" spans="1:1027" ht="15" customHeight="1">
      <c r="A31" s="2" t="s">
        <v>53</v>
      </c>
      <c r="B31" s="1">
        <f>SUM(B28:B30)</f>
        <v>45.16</v>
      </c>
      <c r="C31" s="1">
        <f>SUM(C28:C30)</f>
        <v>61.424999999999997</v>
      </c>
      <c r="D31" s="1">
        <f>SUM(D28:D30)</f>
        <v>157.6</v>
      </c>
      <c r="E31" s="1">
        <f>SUM(E28:E30)</f>
        <v>825.92499999999995</v>
      </c>
      <c r="F31" s="2">
        <f>SUM(B31:E31)</f>
        <v>1090.1099999999999</v>
      </c>
      <c r="G31" s="2" t="s">
        <v>57</v>
      </c>
      <c r="I31" s="2" t="s">
        <v>53</v>
      </c>
      <c r="J31" s="1">
        <f>SUM(J28:J30)</f>
        <v>44.019999999999996</v>
      </c>
      <c r="K31" s="1">
        <f>SUM(K28:K30)</f>
        <v>31.568999999999999</v>
      </c>
      <c r="L31" s="1">
        <f>SUM(L28:L30)</f>
        <v>54.569000000000003</v>
      </c>
      <c r="M31" s="1">
        <f>SUM(M28:M30)</f>
        <v>990.28</v>
      </c>
      <c r="N31" s="2">
        <f>SUM(J31:M31)</f>
        <v>1120.4380000000001</v>
      </c>
      <c r="O31" s="2"/>
      <c r="P31" s="2"/>
      <c r="Q31" s="2" t="s">
        <v>57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</row>
    <row r="32" spans="1:1027" ht="15" customHeight="1">
      <c r="F32" s="2">
        <f>F31*$N$2*$N$3</f>
        <v>33.57538799999999</v>
      </c>
      <c r="G32" s="2" t="s">
        <v>58</v>
      </c>
      <c r="N32" s="2">
        <f>N31*$N$2*$N$3</f>
        <v>34.509490399999997</v>
      </c>
      <c r="O32" s="2"/>
      <c r="P32" s="2"/>
      <c r="Q32" s="2" t="s">
        <v>58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</row>
    <row r="33" spans="1:1027" ht="15" customHeight="1">
      <c r="A33" s="2" t="s">
        <v>59</v>
      </c>
      <c r="B33" s="2">
        <f>(F32*2+N32)*$N$5*($N$4^2)</f>
        <v>101.66026639999998</v>
      </c>
      <c r="C33" s="15" t="s">
        <v>60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</row>
  </sheetData>
  <mergeCells count="3">
    <mergeCell ref="C6:H6"/>
    <mergeCell ref="J6:K6"/>
    <mergeCell ref="L6:M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</vt:lpstr>
      <vt:lpstr>block+s8</vt:lpstr>
      <vt:lpstr>block+resize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Nightingale, Reed</dc:creator>
  <cp:lastModifiedBy>Andrew</cp:lastModifiedBy>
  <cp:revision>0</cp:revision>
  <dcterms:created xsi:type="dcterms:W3CDTF">2013-02-27T04:00:45Z</dcterms:created>
  <dcterms:modified xsi:type="dcterms:W3CDTF">2013-03-12T09:06:21Z</dcterms:modified>
</cp:coreProperties>
</file>