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ky\Documents\PROYECTO FINAL\"/>
    </mc:Choice>
  </mc:AlternateContent>
  <xr:revisionPtr revIDLastSave="0" documentId="13_ncr:1_{19496167-0728-4DF7-8BCD-80FABADB2119}" xr6:coauthVersionLast="47" xr6:coauthVersionMax="47" xr10:uidLastSave="{00000000-0000-0000-0000-000000000000}"/>
  <bookViews>
    <workbookView xWindow="45960" yWindow="-120" windowWidth="29040" windowHeight="15720" firstSheet="2" activeTab="3" xr2:uid="{642FDAA4-B857-4342-8664-EBE7027BDAD6}"/>
  </bookViews>
  <sheets>
    <sheet name="PROVINCIAS CENTRALES" sheetId="1" r:id="rId1"/>
    <sheet name="REGRESION LINEAL" sheetId="3" r:id="rId2"/>
    <sheet name="PROMEDIO MOVIL" sheetId="2" r:id="rId3"/>
    <sheet name="HOLT" sheetId="4" r:id="rId4"/>
    <sheet name="SARIMAX" sheetId="5" r:id="rId5"/>
    <sheet name="COMPARATIV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 s="1"/>
  <c r="C4" i="4" s="1"/>
  <c r="D4" i="4" s="1"/>
  <c r="E6" i="2"/>
  <c r="D7" i="2"/>
  <c r="D8" i="2"/>
  <c r="D9" i="2"/>
  <c r="D10" i="2"/>
  <c r="D11" i="2"/>
  <c r="D12" i="2"/>
  <c r="D13" i="2"/>
  <c r="E13" i="2" s="1"/>
  <c r="F13" i="2" s="1"/>
  <c r="I13" i="2" s="1"/>
  <c r="D14" i="2"/>
  <c r="E14" i="2" s="1"/>
  <c r="F14" i="2" s="1"/>
  <c r="I14" i="2" s="1"/>
  <c r="D15" i="2"/>
  <c r="E15" i="2" s="1"/>
  <c r="F15" i="2" s="1"/>
  <c r="I15" i="2" s="1"/>
  <c r="D16" i="2"/>
  <c r="E16" i="2" s="1"/>
  <c r="F16" i="2" s="1"/>
  <c r="I16" i="2" s="1"/>
  <c r="D17" i="2"/>
  <c r="E17" i="2" s="1"/>
  <c r="F17" i="2" s="1"/>
  <c r="I17" i="2" s="1"/>
  <c r="D18" i="2"/>
  <c r="D19" i="2"/>
  <c r="D20" i="2"/>
  <c r="D21" i="2"/>
  <c r="D22" i="2"/>
  <c r="D23" i="2"/>
  <c r="D24" i="2"/>
  <c r="D25" i="2"/>
  <c r="D6" i="2"/>
  <c r="E3" i="4"/>
  <c r="F3" i="4" s="1"/>
  <c r="I18" i="2"/>
  <c r="I19" i="2"/>
  <c r="I20" i="2"/>
  <c r="I21" i="2"/>
  <c r="I24" i="2"/>
  <c r="I25" i="2"/>
  <c r="F8" i="2"/>
  <c r="I8" i="2" s="1"/>
  <c r="F10" i="2"/>
  <c r="I10" i="2" s="1"/>
  <c r="F11" i="2"/>
  <c r="I11" i="2" s="1"/>
  <c r="F18" i="2"/>
  <c r="F19" i="2"/>
  <c r="F20" i="2"/>
  <c r="F21" i="2"/>
  <c r="F22" i="2"/>
  <c r="I22" i="2" s="1"/>
  <c r="F24" i="2"/>
  <c r="F25" i="2"/>
  <c r="E7" i="2"/>
  <c r="F7" i="2" s="1"/>
  <c r="I7" i="2" s="1"/>
  <c r="E8" i="2"/>
  <c r="E9" i="2"/>
  <c r="F9" i="2" s="1"/>
  <c r="I9" i="2" s="1"/>
  <c r="E10" i="2"/>
  <c r="E11" i="2"/>
  <c r="E12" i="2"/>
  <c r="F12" i="2" s="1"/>
  <c r="I12" i="2" s="1"/>
  <c r="E18" i="2"/>
  <c r="E19" i="2"/>
  <c r="E20" i="2"/>
  <c r="E21" i="2"/>
  <c r="E22" i="2"/>
  <c r="E23" i="2"/>
  <c r="F23" i="2" s="1"/>
  <c r="I23" i="2" s="1"/>
  <c r="E24" i="2"/>
  <c r="E2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5" i="2"/>
  <c r="H3" i="4" l="1"/>
  <c r="G3" i="4"/>
  <c r="C5" i="4"/>
  <c r="D5" i="4" s="1"/>
  <c r="E4" i="4"/>
  <c r="F4" i="4" s="1"/>
  <c r="H4" i="4" s="1"/>
  <c r="G8" i="2"/>
  <c r="G9" i="2"/>
  <c r="G22" i="2"/>
  <c r="G7" i="2"/>
  <c r="G20" i="2"/>
  <c r="G23" i="2"/>
  <c r="G25" i="2"/>
  <c r="F6" i="2"/>
  <c r="G10" i="2"/>
  <c r="G12" i="2"/>
  <c r="G17" i="2"/>
  <c r="G24" i="2"/>
  <c r="G11" i="2"/>
  <c r="G14" i="2"/>
  <c r="G13" i="2"/>
  <c r="G16" i="2"/>
  <c r="G18" i="2"/>
  <c r="G6" i="2"/>
  <c r="G15" i="2"/>
  <c r="G19" i="2"/>
  <c r="G21" i="2"/>
  <c r="I6" i="2"/>
  <c r="H25" i="2"/>
  <c r="K25" i="2" s="1"/>
  <c r="H7" i="2"/>
  <c r="K7" i="2" s="1"/>
  <c r="H24" i="2"/>
  <c r="K24" i="2" s="1"/>
  <c r="J3" i="4" l="1"/>
  <c r="I3" i="4"/>
  <c r="L3" i="4" s="1"/>
  <c r="G4" i="4"/>
  <c r="J4" i="4" s="1"/>
  <c r="E5" i="4"/>
  <c r="F5" i="4" s="1"/>
  <c r="G5" i="4" s="1"/>
  <c r="J5" i="4" s="1"/>
  <c r="C6" i="4"/>
  <c r="D6" i="4" s="1"/>
  <c r="I4" i="4"/>
  <c r="L4" i="4" s="1"/>
  <c r="H23" i="2"/>
  <c r="K23" i="2" s="1"/>
  <c r="H13" i="2"/>
  <c r="K13" i="2" s="1"/>
  <c r="H14" i="2"/>
  <c r="K14" i="2" s="1"/>
  <c r="H16" i="2"/>
  <c r="K16" i="2" s="1"/>
  <c r="H18" i="2"/>
  <c r="K18" i="2" s="1"/>
  <c r="H19" i="2"/>
  <c r="K19" i="2" s="1"/>
  <c r="H9" i="2"/>
  <c r="K9" i="2" s="1"/>
  <c r="H12" i="2"/>
  <c r="K12" i="2" s="1"/>
  <c r="H17" i="2"/>
  <c r="K17" i="2" s="1"/>
  <c r="H20" i="2"/>
  <c r="K20" i="2" s="1"/>
  <c r="H8" i="2"/>
  <c r="K8" i="2" s="1"/>
  <c r="H11" i="2"/>
  <c r="K11" i="2" s="1"/>
  <c r="H15" i="2"/>
  <c r="K15" i="2" s="1"/>
  <c r="H21" i="2"/>
  <c r="K21" i="2" s="1"/>
  <c r="H22" i="2"/>
  <c r="K22" i="2" s="1"/>
  <c r="H10" i="2"/>
  <c r="K10" i="2" s="1"/>
  <c r="H6" i="2"/>
  <c r="K6" i="2" s="1"/>
  <c r="J16" i="2"/>
  <c r="J17" i="2"/>
  <c r="J18" i="2"/>
  <c r="J14" i="2"/>
  <c r="J19" i="2"/>
  <c r="J11" i="2"/>
  <c r="J20" i="2"/>
  <c r="J15" i="2"/>
  <c r="J21" i="2"/>
  <c r="J12" i="2"/>
  <c r="J22" i="2"/>
  <c r="J10" i="2"/>
  <c r="J13" i="2"/>
  <c r="J23" i="2"/>
  <c r="J7" i="2"/>
  <c r="J9" i="2"/>
  <c r="J24" i="2"/>
  <c r="J6" i="2"/>
  <c r="J8" i="2"/>
  <c r="J25" i="2"/>
  <c r="K4" i="4" l="1"/>
  <c r="K3" i="4"/>
  <c r="H5" i="4"/>
  <c r="I5" i="4"/>
  <c r="L5" i="4" s="1"/>
  <c r="C7" i="4"/>
  <c r="D7" i="4" s="1"/>
  <c r="E6" i="4"/>
  <c r="F6" i="4" s="1"/>
  <c r="K5" i="4"/>
  <c r="K6" i="4"/>
  <c r="C8" i="4" l="1"/>
  <c r="D8" i="4" s="1"/>
  <c r="E7" i="4"/>
  <c r="F7" i="4" s="1"/>
  <c r="G7" i="4" s="1"/>
  <c r="J7" i="4" s="1"/>
  <c r="G6" i="4"/>
  <c r="H6" i="4"/>
  <c r="H7" i="4" l="1"/>
  <c r="E8" i="4"/>
  <c r="F8" i="4" s="1"/>
  <c r="G8" i="4" s="1"/>
  <c r="J8" i="4" s="1"/>
  <c r="C9" i="4"/>
  <c r="D9" i="4" s="1"/>
  <c r="J6" i="4"/>
  <c r="I6" i="4"/>
  <c r="L6" i="4" s="1"/>
  <c r="I7" i="4"/>
  <c r="L7" i="4" s="1"/>
  <c r="E9" i="4"/>
  <c r="F9" i="4" s="1"/>
  <c r="I8" i="4" l="1"/>
  <c r="L8" i="4" s="1"/>
  <c r="H8" i="4"/>
  <c r="C10" i="4"/>
  <c r="D10" i="4" s="1"/>
  <c r="G9" i="4"/>
  <c r="H9" i="4"/>
  <c r="K8" i="4"/>
  <c r="K9" i="4"/>
  <c r="K7" i="4"/>
  <c r="E11" i="4" l="1"/>
  <c r="F11" i="4" s="1"/>
  <c r="E10" i="4"/>
  <c r="F10" i="4" s="1"/>
  <c r="J9" i="4"/>
  <c r="I9" i="4"/>
  <c r="L9" i="4" s="1"/>
  <c r="C11" i="4" l="1"/>
  <c r="D11" i="4" s="1"/>
  <c r="G10" i="4"/>
  <c r="H10" i="4"/>
  <c r="G11" i="4"/>
  <c r="H11" i="4"/>
  <c r="K10" i="4"/>
  <c r="E12" i="4" l="1"/>
  <c r="F12" i="4" s="1"/>
  <c r="C12" i="4"/>
  <c r="D12" i="4" s="1"/>
  <c r="J10" i="4"/>
  <c r="K11" i="4" s="1"/>
  <c r="I10" i="4"/>
  <c r="L10" i="4" s="1"/>
  <c r="J11" i="4"/>
  <c r="I11" i="4"/>
  <c r="L11" i="4" s="1"/>
  <c r="G12" i="4" l="1"/>
  <c r="H12" i="4"/>
  <c r="E13" i="4"/>
  <c r="F13" i="4" s="1"/>
  <c r="C13" i="4"/>
  <c r="D13" i="4" s="1"/>
  <c r="G13" i="4"/>
  <c r="H13" i="4"/>
  <c r="K12" i="4"/>
  <c r="E14" i="4"/>
  <c r="F14" i="4" s="1"/>
  <c r="J12" i="4" l="1"/>
  <c r="K13" i="4" s="1"/>
  <c r="I12" i="4"/>
  <c r="L12" i="4" s="1"/>
  <c r="C14" i="4"/>
  <c r="D14" i="4" s="1"/>
  <c r="G14" i="4"/>
  <c r="J14" i="4" s="1"/>
  <c r="H14" i="4"/>
  <c r="J13" i="4"/>
  <c r="I13" i="4"/>
  <c r="L13" i="4" s="1"/>
  <c r="I14" i="4" l="1"/>
  <c r="L14" i="4" s="1"/>
  <c r="E15" i="4"/>
  <c r="F15" i="4" s="1"/>
  <c r="C15" i="4"/>
  <c r="D15" i="4" s="1"/>
  <c r="E16" i="4" s="1"/>
  <c r="F16" i="4" s="1"/>
  <c r="K15" i="4"/>
  <c r="K14" i="4"/>
  <c r="G15" i="4"/>
  <c r="H15" i="4"/>
  <c r="C16" i="4" l="1"/>
  <c r="D16" i="4" s="1"/>
  <c r="J15" i="4"/>
  <c r="K16" i="4" s="1"/>
  <c r="I15" i="4"/>
  <c r="L15" i="4" s="1"/>
  <c r="G16" i="4"/>
  <c r="H16" i="4"/>
  <c r="E17" i="4" l="1"/>
  <c r="F17" i="4" s="1"/>
  <c r="G17" i="4" s="1"/>
  <c r="C17" i="4"/>
  <c r="D17" i="4" s="1"/>
  <c r="E18" i="4"/>
  <c r="F18" i="4" s="1"/>
  <c r="J16" i="4"/>
  <c r="K17" i="4" s="1"/>
  <c r="I16" i="4"/>
  <c r="L16" i="4" s="1"/>
  <c r="H17" i="4" l="1"/>
  <c r="C18" i="4"/>
  <c r="D18" i="4" s="1"/>
  <c r="J17" i="4"/>
  <c r="K18" i="4" s="1"/>
  <c r="I17" i="4"/>
  <c r="L17" i="4" s="1"/>
  <c r="G18" i="4"/>
  <c r="H18" i="4"/>
  <c r="E19" i="4"/>
  <c r="F19" i="4" s="1"/>
  <c r="C19" i="4" l="1"/>
  <c r="D19" i="4" s="1"/>
  <c r="G19" i="4"/>
  <c r="H19" i="4"/>
  <c r="J18" i="4"/>
  <c r="K19" i="4" s="1"/>
  <c r="I18" i="4"/>
  <c r="L18" i="4" s="1"/>
  <c r="E20" i="4" l="1"/>
  <c r="F20" i="4" s="1"/>
  <c r="G20" i="4" s="1"/>
  <c r="C20" i="4"/>
  <c r="D20" i="4" s="1"/>
  <c r="J19" i="4"/>
  <c r="K20" i="4" s="1"/>
  <c r="I19" i="4"/>
  <c r="L19" i="4" s="1"/>
  <c r="E21" i="4"/>
  <c r="F21" i="4" s="1"/>
  <c r="H20" i="4" l="1"/>
  <c r="C21" i="4"/>
  <c r="D21" i="4" s="1"/>
  <c r="G21" i="4"/>
  <c r="H21" i="4"/>
  <c r="J20" i="4"/>
  <c r="K21" i="4" s="1"/>
  <c r="I20" i="4"/>
  <c r="L20" i="4" s="1"/>
  <c r="E22" i="4"/>
  <c r="F22" i="4" s="1"/>
  <c r="C22" i="4" l="1"/>
  <c r="D22" i="4" s="1"/>
  <c r="G22" i="4"/>
  <c r="H22" i="4"/>
  <c r="J21" i="4"/>
  <c r="K22" i="4" s="1"/>
  <c r="I21" i="4"/>
  <c r="L21" i="4" s="1"/>
  <c r="E23" i="4"/>
  <c r="F23" i="4" s="1"/>
  <c r="C23" i="4" l="1"/>
  <c r="D23" i="4" s="1"/>
  <c r="G23" i="4"/>
  <c r="H23" i="4"/>
  <c r="J22" i="4"/>
  <c r="K23" i="4" s="1"/>
  <c r="I22" i="4"/>
  <c r="L22" i="4" s="1"/>
  <c r="E24" i="4" l="1"/>
  <c r="F24" i="4" s="1"/>
  <c r="C24" i="4"/>
  <c r="D24" i="4" s="1"/>
  <c r="G24" i="4"/>
  <c r="H24" i="4"/>
  <c r="E25" i="4"/>
  <c r="F25" i="4" s="1"/>
  <c r="J23" i="4"/>
  <c r="K24" i="4" s="1"/>
  <c r="I23" i="4"/>
  <c r="L23" i="4" s="1"/>
  <c r="C25" i="4" l="1"/>
  <c r="D25" i="4" s="1"/>
  <c r="G25" i="4"/>
  <c r="H25" i="4"/>
  <c r="J24" i="4"/>
  <c r="K25" i="4" s="1"/>
  <c r="I24" i="4"/>
  <c r="L24" i="4" s="1"/>
  <c r="C26" i="4" l="1"/>
  <c r="E26" i="4"/>
  <c r="F26" i="4" s="1"/>
  <c r="J25" i="4"/>
  <c r="K26" i="4" s="1"/>
  <c r="I25" i="4"/>
  <c r="L25" i="4" s="1"/>
  <c r="G26" i="4"/>
  <c r="H26" i="4"/>
  <c r="D26" i="4" l="1"/>
  <c r="E29" i="4" s="1"/>
  <c r="E32" i="4"/>
  <c r="E33" i="4"/>
  <c r="E30" i="4"/>
  <c r="E31" i="4"/>
  <c r="E34" i="4"/>
  <c r="E35" i="4"/>
  <c r="E36" i="4"/>
  <c r="E27" i="4"/>
  <c r="E28" i="4"/>
  <c r="J26" i="4"/>
  <c r="I26" i="4"/>
  <c r="L26" i="4" s="1"/>
</calcChain>
</file>

<file path=xl/sharedStrings.xml><?xml version="1.0" encoding="utf-8"?>
<sst xmlns="http://schemas.openxmlformats.org/spreadsheetml/2006/main" count="58" uniqueCount="43">
  <si>
    <t>Mes/Periodo</t>
  </si>
  <si>
    <t>PROVINCIAS CENTRALES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</si>
  <si>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</si>
  <si>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</si>
  <si>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</si>
  <si>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</si>
  <si>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</si>
  <si>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</si>
  <si>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</si>
  <si>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</si>
  <si>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</si>
  <si>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</si>
  <si>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</si>
  <si>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</si>
  <si>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</si>
  <si>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</si>
  <si>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</si>
  <si>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</si>
  <si>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</si>
  <si>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</si>
  <si>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</si>
  <si>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</si>
  <si>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</si>
  <si>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</si>
  <si>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</si>
  <si>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</si>
  <si>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</si>
  <si>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Lt</t>
  </si>
  <si>
    <t>Ft</t>
  </si>
  <si>
    <t>Et</t>
  </si>
  <si>
    <t>At</t>
  </si>
  <si>
    <t>MSE</t>
  </si>
  <si>
    <t>MAD</t>
  </si>
  <si>
    <t>%ERROR</t>
  </si>
  <si>
    <t>MAPE</t>
  </si>
  <si>
    <t>TSt</t>
  </si>
  <si>
    <t>Tt</t>
  </si>
  <si>
    <t>Alpha</t>
  </si>
  <si>
    <t>Mes/Periodo: Representa los meses de los años 2021-2022.
Provincias Centrales: Cantidad de denuncias en ese mes.
Lt (Nivel): Representa el nivel estimado de la serie en cada periodo. Es una estimación suavizada del valor actual.
Tt (Tendencia): Representa la tendencia estimada de la serie en cada periodo. Indica si la serie está aumentando o disminuyendo.
Ft (Pronóstico): Es el pronóstico para el siguiente periodo, calculado como ( Ft = Lt + Tt ).
Et (Error de pronóstico): Es la diferencia entre el valor real y el pronóstico, ( Et = At - Ft ).
At (Valor real): Es el valor real observado en ese periodo.
MSE (Error cuadrático medio): Es una medida de la precisión del modelo, calculada como el promedio de los errores al cuadrado.
MAD (Desviación absoluta media): Es otra medida de precisión, calculada como el promedio de los valores absolutos de los errores.
%ERROR: Es el error porcentual, calculado como ( \frac{Et}{At} \times 100 ).
MAPE (Error porcentual absoluto medio): Es el promedio de los errores porcentuales absolutos.
TSt (Estadístico de seguimiento): Es una medida de la precisión del modelo a lo largo del tiempo.</t>
  </si>
  <si>
    <t>Periodo</t>
  </si>
  <si>
    <t>Denuncias</t>
  </si>
  <si>
    <t>HOLT</t>
  </si>
  <si>
    <t>SARIMAX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</si>
</sst>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0"/>
      <color rgb="FF111111"/>
      <name val="Segoe UI"/>
      <family val="2"/>
    </font>
    <font>
      <sz val="10"/>
      <color rgb="FF11111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E6F5"/>
        <bgColor rgb="FFC0E6F5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0" fillId="0" borderId="1" xfId="0" applyBorder="1" applyAlignment="1">
      <alignment horizontal="left" indent="1"/>
    </xf>
    <xf numFmtId="0" fontId="0" fillId="0" borderId="1" xfId="0" applyBorder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0" fontId="3" fillId="3" borderId="1" xfId="0" applyFont="1" applyFill="1" applyBorder="1"/>
    <xf numFmtId="0" fontId="0" fillId="4" borderId="0" xfId="0" applyFill="1"/>
    <xf numFmtId="0" fontId="4" fillId="5" borderId="1" xfId="0" applyFont="1" applyFill="1" applyBorder="1"/>
    <xf numFmtId="0" fontId="0" fillId="3" borderId="1" xfId="0" applyFill="1" applyBorder="1"/>
    <xf numFmtId="0" fontId="5" fillId="0" borderId="0" xfId="0" applyFont="1"/>
    <xf numFmtId="0" fontId="5" fillId="0" borderId="1" xfId="0" applyFont="1" applyBorder="1" applyAlignment="1">
      <alignment horizontal="left" indent="1"/>
    </xf>
    <xf numFmtId="0" fontId="5" fillId="0" borderId="1" xfId="0" applyFont="1" applyBorder="1"/>
    <xf numFmtId="0" fontId="1" fillId="0" borderId="4" xfId="0" applyFont="1" applyBorder="1"/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0" fillId="6" borderId="1" xfId="0" applyFill="1" applyBorder="1"/>
    <xf numFmtId="0" fontId="7" fillId="0" borderId="5" xfId="0" applyFont="1" applyBorder="1" applyAlignment="1">
      <alignment horizontal="left" vertical="center" wrapText="1"/>
    </xf>
    <xf numFmtId="0" fontId="0" fillId="0" borderId="0" xfId="0" applyAlignment="1">
      <alignment horizontal="center" vertical="top" wrapText="1"/>
    </xf>
    <xf numFmtId="0" fontId="5" fillId="0" borderId="0" xfId="0" applyFont="1" applyBorder="1" applyAlignment="1">
      <alignment horizontal="left" indent="1"/>
    </xf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Denuncias 2021-2022 Provincias</a:t>
            </a:r>
            <a:r>
              <a:rPr lang="en-US" baseline="0"/>
              <a:t> centrales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4181540898410143E-2"/>
                  <c:y val="-0.2813159698617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441422689994174"/>
                  <c:y val="-0.206577589502447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xVal>
            <c:numRef>
              <c:f>'PROVINCIAS CENTRALES'!$A$2:$A$25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'PROVINCIAS CENTRALES'!$B$2:$B$25</c:f>
              <c:numCache>
                <c:formatCode>General</c:formatCode>
                <c:ptCount val="24"/>
                <c:pt idx="0">
                  <c:v>144</c:v>
                </c:pt>
                <c:pt idx="1">
                  <c:v>174</c:v>
                </c:pt>
                <c:pt idx="2">
                  <c:v>228</c:v>
                </c:pt>
                <c:pt idx="3">
                  <c:v>167</c:v>
                </c:pt>
                <c:pt idx="4">
                  <c:v>203</c:v>
                </c:pt>
                <c:pt idx="5">
                  <c:v>207</c:v>
                </c:pt>
                <c:pt idx="6">
                  <c:v>173</c:v>
                </c:pt>
                <c:pt idx="7">
                  <c:v>217</c:v>
                </c:pt>
                <c:pt idx="8">
                  <c:v>181</c:v>
                </c:pt>
                <c:pt idx="9">
                  <c:v>203</c:v>
                </c:pt>
                <c:pt idx="10">
                  <c:v>191</c:v>
                </c:pt>
                <c:pt idx="11">
                  <c:v>207</c:v>
                </c:pt>
                <c:pt idx="12">
                  <c:v>147</c:v>
                </c:pt>
                <c:pt idx="13">
                  <c:v>207</c:v>
                </c:pt>
                <c:pt idx="14">
                  <c:v>187</c:v>
                </c:pt>
                <c:pt idx="15">
                  <c:v>200</c:v>
                </c:pt>
                <c:pt idx="16">
                  <c:v>176</c:v>
                </c:pt>
                <c:pt idx="17">
                  <c:v>179</c:v>
                </c:pt>
                <c:pt idx="18">
                  <c:v>172</c:v>
                </c:pt>
                <c:pt idx="19">
                  <c:v>192</c:v>
                </c:pt>
                <c:pt idx="20">
                  <c:v>197</c:v>
                </c:pt>
                <c:pt idx="21">
                  <c:v>141</c:v>
                </c:pt>
                <c:pt idx="22">
                  <c:v>130</c:v>
                </c:pt>
                <c:pt idx="23">
                  <c:v>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CE-4EAE-9E39-429C2EE83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891312"/>
        <c:axId val="479889824"/>
      </c:scatterChart>
      <c:valAx>
        <c:axId val="47989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79889824"/>
        <c:crosses val="autoZero"/>
        <c:crossBetween val="midCat"/>
      </c:valAx>
      <c:valAx>
        <c:axId val="47988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7989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DEMANDA</a:t>
            </a:r>
            <a:r>
              <a:rPr lang="es-PA" baseline="0"/>
              <a:t> 2023 COMPARATIVA</a:t>
            </a:r>
            <a:endParaRPr lang="es-P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COMPARATIVA!$B$1</c:f>
              <c:strCache>
                <c:ptCount val="1"/>
                <c:pt idx="0">
                  <c:v>HOLT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COMPARATIVA!$A$2:$A$11</c:f>
              <c:numCache>
                <c:formatCode>General</c:formatCode>
                <c:ptCount val="1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</c:numCache>
            </c:numRef>
          </c:xVal>
          <c:yVal>
            <c:numRef>
              <c:f>COMPARATIVA!$B$2:$B$11</c:f>
              <c:numCache>
                <c:formatCode>General</c:formatCode>
                <c:ptCount val="10"/>
                <c:pt idx="0">
                  <c:v>165</c:v>
                </c:pt>
                <c:pt idx="1">
                  <c:v>164</c:v>
                </c:pt>
                <c:pt idx="2">
                  <c:v>162</c:v>
                </c:pt>
                <c:pt idx="3">
                  <c:v>160</c:v>
                </c:pt>
                <c:pt idx="4">
                  <c:v>159</c:v>
                </c:pt>
                <c:pt idx="5">
                  <c:v>157</c:v>
                </c:pt>
                <c:pt idx="6">
                  <c:v>155</c:v>
                </c:pt>
                <c:pt idx="7">
                  <c:v>154</c:v>
                </c:pt>
                <c:pt idx="8">
                  <c:v>152</c:v>
                </c:pt>
                <c:pt idx="9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E-4402-8423-6B0EE9C3660E}"/>
            </c:ext>
          </c:extLst>
        </c:ser>
        <c:ser>
          <c:idx val="1"/>
          <c:order val="1"/>
          <c:tx>
            <c:strRef>
              <c:f>COMPARATIVA!$C$1</c:f>
              <c:strCache>
                <c:ptCount val="1"/>
                <c:pt idx="0">
                  <c:v>SARIMAX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COMPARATIVA!$A$2:$A$11</c:f>
              <c:numCache>
                <c:formatCode>General</c:formatCode>
                <c:ptCount val="1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</c:numCache>
            </c:numRef>
          </c:xVal>
          <c:yVal>
            <c:numRef>
              <c:f>COMPARATIVA!$C$2:$C$11</c:f>
              <c:numCache>
                <c:formatCode>General</c:formatCode>
                <c:ptCount val="10"/>
                <c:pt idx="0">
                  <c:v>126.42087600000001</c:v>
                </c:pt>
                <c:pt idx="1">
                  <c:v>179.07648800000001</c:v>
                </c:pt>
                <c:pt idx="2">
                  <c:v>119.42066699999999</c:v>
                </c:pt>
                <c:pt idx="3">
                  <c:v>154.331445</c:v>
                </c:pt>
                <c:pt idx="4">
                  <c:v>158.31084200000001</c:v>
                </c:pt>
                <c:pt idx="5">
                  <c:v>124.805468</c:v>
                </c:pt>
                <c:pt idx="6">
                  <c:v>168.36316299999999</c:v>
                </c:pt>
                <c:pt idx="7">
                  <c:v>133.11840900000001</c:v>
                </c:pt>
                <c:pt idx="8">
                  <c:v>153.68329700000001</c:v>
                </c:pt>
                <c:pt idx="9">
                  <c:v>141.73135500000001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1E-4402-8423-6B0EE9C36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886480"/>
        <c:axId val="1155882160"/>
      </c:scatterChart>
      <c:valAx>
        <c:axId val="115588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55882160"/>
        <c:crosses val="autoZero"/>
        <c:crossBetween val="midCat"/>
      </c:valAx>
      <c:valAx>
        <c:axId val="115588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5588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1</xdr:row>
      <xdr:rowOff>152398</xdr:rowOff>
    </xdr:from>
    <xdr:to>
      <xdr:col>14</xdr:col>
      <xdr:colOff>276225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1F2ACB-EF1E-2C42-1B80-ECBCC35C8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250030</xdr:colOff>
      <xdr:row>1</xdr:row>
      <xdr:rowOff>161925</xdr:rowOff>
    </xdr:from>
    <xdr:to>
      <xdr:col>13</xdr:col>
      <xdr:colOff>261937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7828FD-25E3-40A3-28A4-25B67418F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53A32-9D27-4E8F-AF8A-A597E8115851}">
  <dimension ref="A1:B25"/>
  <sheetViews>
    <sheetView topLeftCell="C1" workbookViewId="0">
      <selection activeCell="B2" sqref="B2:B25"/>
    </sheetView>
  </sheetViews>
  <sheetFormatPr defaultRowHeight="14.25" x14ac:dyDescent="0.45"/>
  <cols>
    <col min="1" max="1" width="19.86328125" customWidth="1"/>
    <col min="2" max="2" width="33.73046875" customWidth="1"/>
  </cols>
  <sheetData>
    <row r="1" spans="1:2" x14ac:dyDescent="0.45">
      <c r="A1" s="1" t="s">
        <v>0</v>
      </c>
      <c r="B1" s="1" t="s">
        <v>1</v>
      </c>
    </row>
    <row r="2" spans="1:2" x14ac:dyDescent="0.45">
      <c r="A2" s="2">
        <v>1</v>
      </c>
      <c r="B2" s="3">
        <v>144</v>
      </c>
    </row>
    <row r="3" spans="1:2" x14ac:dyDescent="0.45">
      <c r="A3" s="2">
        <v>2</v>
      </c>
      <c r="B3" s="3">
        <v>174</v>
      </c>
    </row>
    <row r="4" spans="1:2" x14ac:dyDescent="0.45">
      <c r="A4" s="2">
        <v>3</v>
      </c>
      <c r="B4" s="3">
        <v>228</v>
      </c>
    </row>
    <row r="5" spans="1:2" x14ac:dyDescent="0.45">
      <c r="A5" s="2">
        <v>4</v>
      </c>
      <c r="B5" s="3">
        <v>167</v>
      </c>
    </row>
    <row r="6" spans="1:2" x14ac:dyDescent="0.45">
      <c r="A6" s="2">
        <v>5</v>
      </c>
      <c r="B6" s="3">
        <v>203</v>
      </c>
    </row>
    <row r="7" spans="1:2" x14ac:dyDescent="0.45">
      <c r="A7" s="2">
        <v>6</v>
      </c>
      <c r="B7" s="3">
        <v>207</v>
      </c>
    </row>
    <row r="8" spans="1:2" x14ac:dyDescent="0.45">
      <c r="A8" s="2">
        <v>7</v>
      </c>
      <c r="B8" s="3">
        <v>173</v>
      </c>
    </row>
    <row r="9" spans="1:2" x14ac:dyDescent="0.45">
      <c r="A9" s="2">
        <v>8</v>
      </c>
      <c r="B9" s="3">
        <v>217</v>
      </c>
    </row>
    <row r="10" spans="1:2" x14ac:dyDescent="0.45">
      <c r="A10" s="2">
        <v>9</v>
      </c>
      <c r="B10" s="3">
        <v>181</v>
      </c>
    </row>
    <row r="11" spans="1:2" x14ac:dyDescent="0.45">
      <c r="A11" s="2">
        <v>10</v>
      </c>
      <c r="B11" s="3">
        <v>203</v>
      </c>
    </row>
    <row r="12" spans="1:2" x14ac:dyDescent="0.45">
      <c r="A12" s="2">
        <v>11</v>
      </c>
      <c r="B12" s="3">
        <v>191</v>
      </c>
    </row>
    <row r="13" spans="1:2" x14ac:dyDescent="0.45">
      <c r="A13" s="2">
        <v>12</v>
      </c>
      <c r="B13" s="3">
        <v>207</v>
      </c>
    </row>
    <row r="14" spans="1:2" x14ac:dyDescent="0.45">
      <c r="A14" s="2">
        <v>13</v>
      </c>
      <c r="B14" s="3">
        <v>147</v>
      </c>
    </row>
    <row r="15" spans="1:2" x14ac:dyDescent="0.45">
      <c r="A15" s="2">
        <v>14</v>
      </c>
      <c r="B15" s="3">
        <v>207</v>
      </c>
    </row>
    <row r="16" spans="1:2" x14ac:dyDescent="0.45">
      <c r="A16" s="2">
        <v>15</v>
      </c>
      <c r="B16" s="3">
        <v>187</v>
      </c>
    </row>
    <row r="17" spans="1:2" x14ac:dyDescent="0.45">
      <c r="A17" s="2">
        <v>16</v>
      </c>
      <c r="B17" s="3">
        <v>200</v>
      </c>
    </row>
    <row r="18" spans="1:2" x14ac:dyDescent="0.45">
      <c r="A18" s="2">
        <v>17</v>
      </c>
      <c r="B18" s="3">
        <v>176</v>
      </c>
    </row>
    <row r="19" spans="1:2" x14ac:dyDescent="0.45">
      <c r="A19" s="2">
        <v>18</v>
      </c>
      <c r="B19" s="3">
        <v>179</v>
      </c>
    </row>
    <row r="20" spans="1:2" x14ac:dyDescent="0.45">
      <c r="A20" s="2">
        <v>19</v>
      </c>
      <c r="B20" s="3">
        <v>172</v>
      </c>
    </row>
    <row r="21" spans="1:2" x14ac:dyDescent="0.45">
      <c r="A21" s="2">
        <v>20</v>
      </c>
      <c r="B21" s="3">
        <v>192</v>
      </c>
    </row>
    <row r="22" spans="1:2" x14ac:dyDescent="0.45">
      <c r="A22" s="2">
        <v>21</v>
      </c>
      <c r="B22" s="3">
        <v>197</v>
      </c>
    </row>
    <row r="23" spans="1:2" x14ac:dyDescent="0.45">
      <c r="A23" s="2">
        <v>22</v>
      </c>
      <c r="B23" s="3">
        <v>141</v>
      </c>
    </row>
    <row r="24" spans="1:2" x14ac:dyDescent="0.45">
      <c r="A24" s="2">
        <v>23</v>
      </c>
      <c r="B24" s="3">
        <v>130</v>
      </c>
    </row>
    <row r="25" spans="1:2" x14ac:dyDescent="0.45">
      <c r="A25" s="2">
        <v>24</v>
      </c>
      <c r="B25" s="3">
        <v>143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767B8-42BA-414D-B712-369894F774F4}">
  <dimension ref="A1:I18"/>
  <sheetViews>
    <sheetView workbookViewId="0">
      <selection sqref="A1:G18"/>
    </sheetView>
  </sheetViews>
  <sheetFormatPr defaultRowHeight="14.25" x14ac:dyDescent="0.45"/>
  <cols>
    <col min="1" max="1" width="19.59765625" customWidth="1"/>
    <col min="2" max="2" width="22.265625" customWidth="1"/>
    <col min="3" max="3" width="20.796875" customWidth="1"/>
    <col min="4" max="4" width="15.73046875" customWidth="1"/>
    <col min="5" max="5" width="16.53125" customWidth="1"/>
    <col min="6" max="6" width="19.33203125" customWidth="1"/>
    <col min="7" max="7" width="16" customWidth="1"/>
    <col min="8" max="8" width="17.86328125" customWidth="1"/>
    <col min="9" max="9" width="22.6640625" customWidth="1"/>
  </cols>
  <sheetData>
    <row r="1" spans="1:9" x14ac:dyDescent="0.45">
      <c r="A1" t="s">
        <v>2</v>
      </c>
    </row>
    <row r="2" spans="1:9" ht="14.65" thickBot="1" x14ac:dyDescent="0.5"/>
    <row r="3" spans="1:9" x14ac:dyDescent="0.45">
      <c r="A3" s="6" t="s">
        <v>3</v>
      </c>
      <c r="B3" s="6"/>
    </row>
    <row r="4" spans="1:9" x14ac:dyDescent="0.45">
      <c r="A4" t="s">
        <v>4</v>
      </c>
      <c r="B4">
        <v>0.34703519082593559</v>
      </c>
    </row>
    <row r="5" spans="1:9" x14ac:dyDescent="0.45">
      <c r="A5" t="s">
        <v>5</v>
      </c>
      <c r="B5">
        <v>0.12043342367159354</v>
      </c>
    </row>
    <row r="6" spans="1:9" x14ac:dyDescent="0.45">
      <c r="A6" t="s">
        <v>6</v>
      </c>
      <c r="B6">
        <v>8.0453124747575058E-2</v>
      </c>
    </row>
    <row r="7" spans="1:9" x14ac:dyDescent="0.45">
      <c r="A7" t="s">
        <v>7</v>
      </c>
      <c r="B7">
        <v>25.247558746567886</v>
      </c>
    </row>
    <row r="8" spans="1:9" ht="14.65" thickBot="1" x14ac:dyDescent="0.5">
      <c r="A8" s="4" t="s">
        <v>8</v>
      </c>
      <c r="B8" s="4">
        <v>24</v>
      </c>
    </row>
    <row r="10" spans="1:9" ht="14.65" thickBot="1" x14ac:dyDescent="0.5">
      <c r="A10" t="s">
        <v>9</v>
      </c>
    </row>
    <row r="11" spans="1:9" x14ac:dyDescent="0.45">
      <c r="A11" s="5"/>
      <c r="B11" s="5" t="s">
        <v>14</v>
      </c>
      <c r="C11" s="5" t="s">
        <v>15</v>
      </c>
      <c r="D11" s="5" t="s">
        <v>16</v>
      </c>
      <c r="E11" s="5" t="s">
        <v>17</v>
      </c>
      <c r="F11" s="5" t="s">
        <v>18</v>
      </c>
    </row>
    <row r="12" spans="1:9" x14ac:dyDescent="0.45">
      <c r="A12" t="s">
        <v>10</v>
      </c>
      <c r="B12">
        <v>1</v>
      </c>
      <c r="C12">
        <v>1920.1704347826089</v>
      </c>
      <c r="D12">
        <v>1920.1704347826089</v>
      </c>
      <c r="E12">
        <v>3.0123192400455574</v>
      </c>
      <c r="F12">
        <v>9.6621673315787457E-2</v>
      </c>
    </row>
    <row r="13" spans="1:9" x14ac:dyDescent="0.45">
      <c r="A13" t="s">
        <v>11</v>
      </c>
      <c r="B13">
        <v>22</v>
      </c>
      <c r="C13">
        <v>14023.662898550725</v>
      </c>
      <c r="D13">
        <v>637.43922266139657</v>
      </c>
    </row>
    <row r="14" spans="1:9" ht="14.65" thickBot="1" x14ac:dyDescent="0.5">
      <c r="A14" s="4" t="s">
        <v>12</v>
      </c>
      <c r="B14" s="4">
        <v>23</v>
      </c>
      <c r="C14" s="4">
        <v>15943.833333333334</v>
      </c>
      <c r="D14" s="4"/>
      <c r="E14" s="4"/>
      <c r="F14" s="4"/>
    </row>
    <row r="15" spans="1:9" ht="14.65" thickBot="1" x14ac:dyDescent="0.5"/>
    <row r="16" spans="1:9" x14ac:dyDescent="0.45">
      <c r="A16" s="5"/>
      <c r="B16" s="5" t="s">
        <v>19</v>
      </c>
      <c r="C16" s="5" t="s">
        <v>7</v>
      </c>
      <c r="D16" s="5" t="s">
        <v>20</v>
      </c>
      <c r="E16" s="5" t="s">
        <v>21</v>
      </c>
      <c r="F16" s="5" t="s">
        <v>22</v>
      </c>
      <c r="G16" s="5" t="s">
        <v>23</v>
      </c>
      <c r="H16" s="5" t="s">
        <v>24</v>
      </c>
      <c r="I16" s="5" t="s">
        <v>25</v>
      </c>
    </row>
    <row r="17" spans="1:9" x14ac:dyDescent="0.45">
      <c r="A17" t="s">
        <v>13</v>
      </c>
      <c r="B17">
        <v>198.06884057971001</v>
      </c>
      <c r="C17">
        <v>10.638071143135273</v>
      </c>
      <c r="D17">
        <v>18.618867829956521</v>
      </c>
      <c r="E17">
        <v>5.9121984514967953E-15</v>
      </c>
      <c r="F17">
        <v>176.0068313415149</v>
      </c>
      <c r="G17">
        <v>220.13084981790536</v>
      </c>
      <c r="H17">
        <v>176.0068313415149</v>
      </c>
      <c r="I17">
        <v>220.13084981790536</v>
      </c>
    </row>
    <row r="18" spans="1:9" ht="14.65" thickBot="1" x14ac:dyDescent="0.5">
      <c r="A18" s="4" t="s">
        <v>26</v>
      </c>
      <c r="B18" s="4">
        <v>-1.2921739130434784</v>
      </c>
      <c r="C18" s="4">
        <v>0.74450988994593037</v>
      </c>
      <c r="D18" s="4">
        <v>-1.7356034224573187</v>
      </c>
      <c r="E18" s="4">
        <v>9.6621673315787665E-2</v>
      </c>
      <c r="F18" s="4">
        <v>-2.8361929225905333</v>
      </c>
      <c r="G18" s="4">
        <v>0.25184509650357678</v>
      </c>
      <c r="H18" s="4">
        <v>-2.8361929225905333</v>
      </c>
      <c r="I18" s="4">
        <v>0.25184509650357678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D2EF6-7041-46D1-A15F-1F246F7652E4}">
  <dimension ref="A1:U25"/>
  <sheetViews>
    <sheetView workbookViewId="0">
      <selection activeCell="D29" sqref="D29"/>
    </sheetView>
  </sheetViews>
  <sheetFormatPr defaultRowHeight="14.25" x14ac:dyDescent="0.45"/>
  <cols>
    <col min="1" max="1" width="17.33203125" customWidth="1"/>
    <col min="2" max="2" width="22.3984375" customWidth="1"/>
    <col min="3" max="3" width="12.6640625" customWidth="1"/>
    <col min="4" max="4" width="11.19921875" customWidth="1"/>
    <col min="5" max="5" width="12.796875" customWidth="1"/>
    <col min="6" max="6" width="11.73046875" customWidth="1"/>
    <col min="9" max="9" width="14.1328125" customWidth="1"/>
  </cols>
  <sheetData>
    <row r="1" spans="1:21" ht="15.75" x14ac:dyDescent="0.5">
      <c r="A1" s="1" t="s">
        <v>0</v>
      </c>
      <c r="B1" s="1" t="s">
        <v>1</v>
      </c>
      <c r="C1" s="7" t="s">
        <v>27</v>
      </c>
      <c r="D1" s="7" t="s">
        <v>28</v>
      </c>
      <c r="E1" s="7" t="s">
        <v>29</v>
      </c>
      <c r="F1" s="7" t="s">
        <v>30</v>
      </c>
      <c r="G1" s="7" t="s">
        <v>31</v>
      </c>
      <c r="H1" s="7" t="s">
        <v>32</v>
      </c>
      <c r="I1" s="7" t="s">
        <v>33</v>
      </c>
      <c r="J1" s="7" t="s">
        <v>34</v>
      </c>
      <c r="K1" s="7" t="s">
        <v>35</v>
      </c>
    </row>
    <row r="2" spans="1:21" x14ac:dyDescent="0.45">
      <c r="A2" s="2">
        <v>1</v>
      </c>
      <c r="B2" s="3">
        <v>144</v>
      </c>
      <c r="C2" s="3"/>
      <c r="D2" s="3"/>
      <c r="E2" s="3"/>
      <c r="F2" s="3"/>
      <c r="G2" s="3"/>
      <c r="H2" s="3"/>
      <c r="I2" s="3"/>
      <c r="J2" s="3"/>
      <c r="K2" s="3"/>
    </row>
    <row r="3" spans="1:21" x14ac:dyDescent="0.45">
      <c r="A3" s="2">
        <v>2</v>
      </c>
      <c r="B3" s="3">
        <v>174</v>
      </c>
      <c r="C3" s="3"/>
      <c r="D3" s="3"/>
      <c r="E3" s="3"/>
      <c r="F3" s="3"/>
      <c r="G3" s="3"/>
      <c r="H3" s="3"/>
      <c r="I3" s="3"/>
      <c r="J3" s="3"/>
      <c r="K3" s="3"/>
    </row>
    <row r="4" spans="1:21" x14ac:dyDescent="0.45">
      <c r="A4" s="2">
        <v>3</v>
      </c>
      <c r="B4" s="3">
        <v>228</v>
      </c>
      <c r="C4" s="3"/>
      <c r="D4" s="3"/>
      <c r="E4" s="3"/>
      <c r="F4" s="3"/>
      <c r="G4" s="3"/>
      <c r="H4" s="3"/>
      <c r="I4" s="3"/>
      <c r="J4" s="3"/>
      <c r="K4" s="3"/>
    </row>
    <row r="5" spans="1:21" x14ac:dyDescent="0.45">
      <c r="A5" s="2">
        <v>4</v>
      </c>
      <c r="B5" s="3">
        <v>167</v>
      </c>
      <c r="C5" s="3">
        <f>AVERAGE(B2:B5)</f>
        <v>178.25</v>
      </c>
      <c r="D5" s="3"/>
      <c r="E5" s="3"/>
      <c r="F5" s="3"/>
      <c r="G5" s="3"/>
      <c r="H5" s="3"/>
      <c r="I5" s="3"/>
      <c r="J5" s="3"/>
      <c r="K5" s="3"/>
    </row>
    <row r="6" spans="1:21" x14ac:dyDescent="0.45">
      <c r="A6" s="2">
        <v>5</v>
      </c>
      <c r="B6" s="3">
        <v>203</v>
      </c>
      <c r="C6" s="3">
        <f t="shared" ref="C6:C25" si="0">AVERAGE(B3:B6)</f>
        <v>193</v>
      </c>
      <c r="D6" s="3">
        <f>+C5</f>
        <v>178.25</v>
      </c>
      <c r="E6" s="3">
        <f>D6-B6</f>
        <v>-24.75</v>
      </c>
      <c r="F6" s="3">
        <f>ABS(E6)</f>
        <v>24.75</v>
      </c>
      <c r="G6" s="3">
        <f>SUMSQ($E$6:E6)/(A6-4)</f>
        <v>612.5625</v>
      </c>
      <c r="H6" s="3">
        <f>SUM($F$6:F6)/(A6-4)</f>
        <v>24.75</v>
      </c>
      <c r="I6" s="3">
        <f>(F6/B6)*100</f>
        <v>12.192118226600986</v>
      </c>
      <c r="J6" s="3">
        <f>AVERAGE($I$6:I6)</f>
        <v>12.192118226600986</v>
      </c>
      <c r="K6" s="3">
        <f>SUM($E$6:E6)/H6</f>
        <v>-1</v>
      </c>
    </row>
    <row r="7" spans="1:21" x14ac:dyDescent="0.45">
      <c r="A7" s="2">
        <v>6</v>
      </c>
      <c r="B7" s="3">
        <v>207</v>
      </c>
      <c r="C7" s="3">
        <f t="shared" si="0"/>
        <v>201.25</v>
      </c>
      <c r="D7" s="3">
        <f t="shared" ref="D7:D25" si="1">+C6</f>
        <v>193</v>
      </c>
      <c r="E7" s="3">
        <f t="shared" ref="E7:E25" si="2">D7-B7</f>
        <v>-14</v>
      </c>
      <c r="F7" s="3">
        <f t="shared" ref="F7:F25" si="3">ABS(E7)</f>
        <v>14</v>
      </c>
      <c r="G7" s="3">
        <f>SUMSQ($E$6:E7)/(A7-4)</f>
        <v>404.28125</v>
      </c>
      <c r="H7" s="3">
        <f>SUM($F$6:F7)/(A7-4)</f>
        <v>19.375</v>
      </c>
      <c r="I7" s="3">
        <f t="shared" ref="I7:I25" si="4">(F7/B7)*100</f>
        <v>6.7632850241545892</v>
      </c>
      <c r="J7" s="3">
        <f>AVERAGE($I$6:I7)</f>
        <v>9.4777016253777866</v>
      </c>
      <c r="K7" s="3">
        <f>SUM($E$6:E7)/H7</f>
        <v>-2</v>
      </c>
    </row>
    <row r="8" spans="1:21" x14ac:dyDescent="0.45">
      <c r="A8" s="2">
        <v>7</v>
      </c>
      <c r="B8" s="3">
        <v>173</v>
      </c>
      <c r="C8" s="3">
        <f t="shared" si="0"/>
        <v>187.5</v>
      </c>
      <c r="D8" s="3">
        <f t="shared" si="1"/>
        <v>201.25</v>
      </c>
      <c r="E8" s="3">
        <f t="shared" si="2"/>
        <v>28.25</v>
      </c>
      <c r="F8" s="3">
        <f t="shared" si="3"/>
        <v>28.25</v>
      </c>
      <c r="G8" s="3">
        <f>SUMSQ($E$6:E8)/(A8-4)</f>
        <v>535.54166666666663</v>
      </c>
      <c r="H8" s="3">
        <f>SUM($F$6:F8)/(A8-4)</f>
        <v>22.333333333333332</v>
      </c>
      <c r="I8" s="3">
        <f t="shared" si="4"/>
        <v>16.329479768786126</v>
      </c>
      <c r="J8" s="3">
        <f>AVERAGE($I$6:I8)</f>
        <v>11.761627673180564</v>
      </c>
      <c r="K8" s="3">
        <f>SUM($E$6:E8)/H8</f>
        <v>-0.47014925373134331</v>
      </c>
    </row>
    <row r="9" spans="1:21" x14ac:dyDescent="0.45">
      <c r="A9" s="2">
        <v>8</v>
      </c>
      <c r="B9" s="3">
        <v>217</v>
      </c>
      <c r="C9" s="3">
        <f t="shared" si="0"/>
        <v>200</v>
      </c>
      <c r="D9" s="3">
        <f t="shared" si="1"/>
        <v>187.5</v>
      </c>
      <c r="E9" s="3">
        <f t="shared" si="2"/>
        <v>-29.5</v>
      </c>
      <c r="F9" s="3">
        <f t="shared" si="3"/>
        <v>29.5</v>
      </c>
      <c r="G9" s="3">
        <f>SUMSQ($E$6:E9)/(A9-4)</f>
        <v>619.21875</v>
      </c>
      <c r="H9" s="3">
        <f>SUM($F$6:F9)/(A9-4)</f>
        <v>24.125</v>
      </c>
      <c r="I9" s="3">
        <f t="shared" si="4"/>
        <v>13.594470046082948</v>
      </c>
      <c r="J9" s="3">
        <f>AVERAGE($I$6:I9)</f>
        <v>12.21983826640616</v>
      </c>
      <c r="K9" s="3">
        <f>SUM($E$6:E9)/H9</f>
        <v>-1.6580310880829014</v>
      </c>
    </row>
    <row r="10" spans="1:21" x14ac:dyDescent="0.45">
      <c r="A10" s="2">
        <v>9</v>
      </c>
      <c r="B10" s="3">
        <v>181</v>
      </c>
      <c r="C10" s="3">
        <f t="shared" si="0"/>
        <v>194.5</v>
      </c>
      <c r="D10" s="3">
        <f t="shared" si="1"/>
        <v>200</v>
      </c>
      <c r="E10" s="3">
        <f t="shared" si="2"/>
        <v>19</v>
      </c>
      <c r="F10" s="3">
        <f t="shared" si="3"/>
        <v>19</v>
      </c>
      <c r="G10" s="3">
        <f>SUMSQ($E$6:E10)/(A10-4)</f>
        <v>567.57500000000005</v>
      </c>
      <c r="H10" s="3">
        <f>SUM($F$6:F10)/(A10-4)</f>
        <v>23.1</v>
      </c>
      <c r="I10" s="3">
        <f t="shared" si="4"/>
        <v>10.497237569060774</v>
      </c>
      <c r="J10" s="3">
        <f>AVERAGE($I$6:I10)</f>
        <v>11.875318126937083</v>
      </c>
      <c r="K10" s="3">
        <f>SUM($E$6:E10)/H10</f>
        <v>-0.90909090909090906</v>
      </c>
    </row>
    <row r="11" spans="1:21" x14ac:dyDescent="0.45">
      <c r="A11" s="2">
        <v>10</v>
      </c>
      <c r="B11" s="3">
        <v>203</v>
      </c>
      <c r="C11" s="3">
        <f t="shared" si="0"/>
        <v>193.5</v>
      </c>
      <c r="D11" s="3">
        <f t="shared" si="1"/>
        <v>194.5</v>
      </c>
      <c r="E11" s="3">
        <f t="shared" si="2"/>
        <v>-8.5</v>
      </c>
      <c r="F11" s="3">
        <f t="shared" si="3"/>
        <v>8.5</v>
      </c>
      <c r="G11" s="3">
        <f>SUMSQ($E$6:E11)/(A11-4)</f>
        <v>485.02083333333331</v>
      </c>
      <c r="H11" s="3">
        <f>SUM($F$6:F11)/(A11-4)</f>
        <v>20.666666666666668</v>
      </c>
      <c r="I11" s="3">
        <f t="shared" si="4"/>
        <v>4.1871921182266005</v>
      </c>
      <c r="J11" s="3">
        <f>AVERAGE($I$6:I11)</f>
        <v>10.593963792152001</v>
      </c>
      <c r="K11" s="3">
        <f>SUM($E$6:E11)/H11</f>
        <v>-1.4274193548387095</v>
      </c>
    </row>
    <row r="12" spans="1:21" x14ac:dyDescent="0.45">
      <c r="A12" s="2">
        <v>11</v>
      </c>
      <c r="B12" s="3">
        <v>191</v>
      </c>
      <c r="C12" s="3">
        <f t="shared" si="0"/>
        <v>198</v>
      </c>
      <c r="D12" s="3">
        <f t="shared" si="1"/>
        <v>193.5</v>
      </c>
      <c r="E12" s="3">
        <f t="shared" si="2"/>
        <v>2.5</v>
      </c>
      <c r="F12" s="3">
        <f t="shared" si="3"/>
        <v>2.5</v>
      </c>
      <c r="G12" s="3">
        <f>SUMSQ($E$6:E12)/(A12-4)</f>
        <v>416.625</v>
      </c>
      <c r="H12" s="3">
        <f>SUM($F$6:F12)/(A12-4)</f>
        <v>18.071428571428573</v>
      </c>
      <c r="I12" s="3">
        <f t="shared" si="4"/>
        <v>1.3089005235602094</v>
      </c>
      <c r="J12" s="3">
        <f>AVERAGE($I$6:I12)</f>
        <v>9.2675261823531745</v>
      </c>
      <c r="K12" s="3">
        <f>SUM($E$6:E12)/H12</f>
        <v>-1.4940711462450591</v>
      </c>
    </row>
    <row r="13" spans="1:21" x14ac:dyDescent="0.45">
      <c r="A13" s="2">
        <v>12</v>
      </c>
      <c r="B13" s="3">
        <v>207</v>
      </c>
      <c r="C13" s="3">
        <f t="shared" si="0"/>
        <v>195.5</v>
      </c>
      <c r="D13" s="3">
        <f t="shared" si="1"/>
        <v>198</v>
      </c>
      <c r="E13" s="3">
        <f t="shared" si="2"/>
        <v>-9</v>
      </c>
      <c r="F13" s="3">
        <f t="shared" si="3"/>
        <v>9</v>
      </c>
      <c r="G13" s="3">
        <f>SUMSQ($E$6:E13)/(A13-4)</f>
        <v>374.671875</v>
      </c>
      <c r="H13" s="3">
        <f>SUM($F$6:F13)/(A13-4)</f>
        <v>16.9375</v>
      </c>
      <c r="I13" s="3">
        <f t="shared" si="4"/>
        <v>4.3478260869565215</v>
      </c>
      <c r="J13" s="3">
        <f>AVERAGE($I$6:I13)</f>
        <v>8.6525636704285915</v>
      </c>
      <c r="K13" s="3">
        <f>SUM($E$6:E13)/H13</f>
        <v>-2.1254612546125462</v>
      </c>
    </row>
    <row r="14" spans="1:21" x14ac:dyDescent="0.45">
      <c r="A14" s="2">
        <v>13</v>
      </c>
      <c r="B14" s="3">
        <v>147</v>
      </c>
      <c r="C14" s="3">
        <f t="shared" si="0"/>
        <v>187</v>
      </c>
      <c r="D14" s="3">
        <f t="shared" si="1"/>
        <v>195.5</v>
      </c>
      <c r="E14" s="3">
        <f t="shared" si="2"/>
        <v>48.5</v>
      </c>
      <c r="F14" s="3">
        <f t="shared" si="3"/>
        <v>48.5</v>
      </c>
      <c r="G14" s="3">
        <f>SUMSQ($E$6:E14)/(A14-4)</f>
        <v>594.40277777777783</v>
      </c>
      <c r="H14" s="3">
        <f>SUM($F$6:F14)/(A14-4)</f>
        <v>20.444444444444443</v>
      </c>
      <c r="I14" s="3">
        <f t="shared" si="4"/>
        <v>32.993197278911559</v>
      </c>
      <c r="J14" s="3">
        <f>AVERAGE($I$6:I14)</f>
        <v>11.357078515815589</v>
      </c>
      <c r="K14" s="3">
        <f>SUM($E$6:E14)/H14</f>
        <v>0.61141304347826086</v>
      </c>
    </row>
    <row r="15" spans="1:21" x14ac:dyDescent="0.45">
      <c r="A15" s="2">
        <v>14</v>
      </c>
      <c r="B15" s="3">
        <v>207</v>
      </c>
      <c r="C15" s="3">
        <f t="shared" si="0"/>
        <v>188</v>
      </c>
      <c r="D15" s="3">
        <f t="shared" si="1"/>
        <v>187</v>
      </c>
      <c r="E15" s="3">
        <f t="shared" si="2"/>
        <v>-20</v>
      </c>
      <c r="F15" s="3">
        <f t="shared" si="3"/>
        <v>20</v>
      </c>
      <c r="G15" s="3">
        <f>SUMSQ($E$6:E15)/(A15-4)</f>
        <v>574.96249999999998</v>
      </c>
      <c r="H15" s="3">
        <f>SUM($F$6:F15)/(A15-4)</f>
        <v>20.399999999999999</v>
      </c>
      <c r="I15" s="3">
        <f t="shared" si="4"/>
        <v>9.6618357487922708</v>
      </c>
      <c r="J15" s="3">
        <f>AVERAGE($I$6:I15)</f>
        <v>11.187554239113258</v>
      </c>
      <c r="K15" s="3">
        <f>SUM($E$6:E15)/H15</f>
        <v>-0.36764705882352944</v>
      </c>
    </row>
    <row r="16" spans="1:21" s="8" customFormat="1" x14ac:dyDescent="0.45">
      <c r="A16" s="2">
        <v>15</v>
      </c>
      <c r="B16" s="3">
        <v>187</v>
      </c>
      <c r="C16" s="3">
        <f t="shared" si="0"/>
        <v>187</v>
      </c>
      <c r="D16" s="3">
        <f t="shared" si="1"/>
        <v>188</v>
      </c>
      <c r="E16" s="3">
        <f t="shared" si="2"/>
        <v>1</v>
      </c>
      <c r="F16" s="3">
        <f t="shared" si="3"/>
        <v>1</v>
      </c>
      <c r="G16" s="3">
        <f>SUMSQ($E$6:E16)/(A16-4)</f>
        <v>522.78409090909088</v>
      </c>
      <c r="H16" s="3">
        <f>SUM($F$6:F16)/(A16-4)</f>
        <v>18.636363636363637</v>
      </c>
      <c r="I16" s="3">
        <f>(F16/B16)*100</f>
        <v>0.53475935828876997</v>
      </c>
      <c r="J16" s="3">
        <f>AVERAGE($I$6:I16)</f>
        <v>10.219118340856484</v>
      </c>
      <c r="K16" s="3">
        <f>SUM($E$6:E16)/H16</f>
        <v>-0.34878048780487803</v>
      </c>
      <c r="L16"/>
      <c r="M16"/>
      <c r="N16"/>
      <c r="O16"/>
      <c r="P16"/>
      <c r="Q16"/>
      <c r="R16"/>
      <c r="S16"/>
      <c r="T16"/>
      <c r="U16"/>
    </row>
    <row r="17" spans="1:11" x14ac:dyDescent="0.45">
      <c r="A17" s="2">
        <v>16</v>
      </c>
      <c r="B17" s="3">
        <v>200</v>
      </c>
      <c r="C17" s="3">
        <f t="shared" si="0"/>
        <v>185.25</v>
      </c>
      <c r="D17" s="3">
        <f t="shared" si="1"/>
        <v>187</v>
      </c>
      <c r="E17" s="3">
        <f t="shared" si="2"/>
        <v>-13</v>
      </c>
      <c r="F17" s="3">
        <f t="shared" si="3"/>
        <v>13</v>
      </c>
      <c r="G17" s="3">
        <f>SUMSQ($E$6:E17)/(A17-4)</f>
        <v>493.30208333333331</v>
      </c>
      <c r="H17" s="3">
        <f>SUM($F$6:F17)/(A17-4)</f>
        <v>18.166666666666668</v>
      </c>
      <c r="I17" s="3">
        <f t="shared" si="4"/>
        <v>6.5</v>
      </c>
      <c r="J17" s="3">
        <f>AVERAGE($I$6:I17)</f>
        <v>9.9091918124517786</v>
      </c>
      <c r="K17" s="3">
        <f>SUM($E$6:E17)/H17</f>
        <v>-1.073394495412844</v>
      </c>
    </row>
    <row r="18" spans="1:11" x14ac:dyDescent="0.45">
      <c r="A18" s="2">
        <v>17</v>
      </c>
      <c r="B18" s="3">
        <v>176</v>
      </c>
      <c r="C18" s="3">
        <f t="shared" si="0"/>
        <v>192.5</v>
      </c>
      <c r="D18" s="3">
        <f t="shared" si="1"/>
        <v>185.25</v>
      </c>
      <c r="E18" s="3">
        <f t="shared" si="2"/>
        <v>9.25</v>
      </c>
      <c r="F18" s="3">
        <f t="shared" si="3"/>
        <v>9.25</v>
      </c>
      <c r="G18" s="3">
        <f>SUMSQ($E$6:E18)/(A18-4)</f>
        <v>461.9375</v>
      </c>
      <c r="H18" s="3">
        <f>SUM($F$6:F18)/(A18-4)</f>
        <v>17.48076923076923</v>
      </c>
      <c r="I18" s="3">
        <f t="shared" si="4"/>
        <v>5.2556818181818183</v>
      </c>
      <c r="J18" s="3">
        <f>AVERAGE($I$6:I18)</f>
        <v>9.5512295052002418</v>
      </c>
      <c r="K18" s="3">
        <f>SUM($E$6:E18)/H18</f>
        <v>-0.58635863586358639</v>
      </c>
    </row>
    <row r="19" spans="1:11" x14ac:dyDescent="0.45">
      <c r="A19" s="2">
        <v>18</v>
      </c>
      <c r="B19" s="3">
        <v>179</v>
      </c>
      <c r="C19" s="3">
        <f t="shared" si="0"/>
        <v>185.5</v>
      </c>
      <c r="D19" s="3">
        <f t="shared" si="1"/>
        <v>192.5</v>
      </c>
      <c r="E19" s="3">
        <f t="shared" si="2"/>
        <v>13.5</v>
      </c>
      <c r="F19" s="3">
        <f t="shared" si="3"/>
        <v>13.5</v>
      </c>
      <c r="G19" s="3">
        <f>SUMSQ($E$6:E19)/(A19-4)</f>
        <v>441.95982142857144</v>
      </c>
      <c r="H19" s="3">
        <f>SUM($F$6:F19)/(A19-4)</f>
        <v>17.196428571428573</v>
      </c>
      <c r="I19" s="3">
        <f t="shared" si="4"/>
        <v>7.5418994413407825</v>
      </c>
      <c r="J19" s="3">
        <f>AVERAGE($I$6:I19)</f>
        <v>9.4077059292102803</v>
      </c>
      <c r="K19" s="3">
        <f>SUM($E$6:E19)/H19</f>
        <v>0.18899273104880579</v>
      </c>
    </row>
    <row r="20" spans="1:11" x14ac:dyDescent="0.45">
      <c r="A20" s="2">
        <v>19</v>
      </c>
      <c r="B20" s="3">
        <v>172</v>
      </c>
      <c r="C20" s="3">
        <f t="shared" si="0"/>
        <v>181.75</v>
      </c>
      <c r="D20" s="3">
        <f t="shared" si="1"/>
        <v>185.5</v>
      </c>
      <c r="E20" s="3">
        <f t="shared" si="2"/>
        <v>13.5</v>
      </c>
      <c r="F20" s="3">
        <f t="shared" si="3"/>
        <v>13.5</v>
      </c>
      <c r="G20" s="3">
        <f>SUMSQ($E$6:E20)/(A20-4)</f>
        <v>424.64583333333331</v>
      </c>
      <c r="H20" s="3">
        <f>SUM($F$6:F20)/(A20-4)</f>
        <v>16.95</v>
      </c>
      <c r="I20" s="3">
        <f t="shared" si="4"/>
        <v>7.8488372093023253</v>
      </c>
      <c r="J20" s="3">
        <f>AVERAGE($I$6:I20)</f>
        <v>9.3037813478830831</v>
      </c>
      <c r="K20" s="3">
        <f>SUM($E$6:E20)/H20</f>
        <v>0.98820058997050153</v>
      </c>
    </row>
    <row r="21" spans="1:11" x14ac:dyDescent="0.45">
      <c r="A21" s="2">
        <v>20</v>
      </c>
      <c r="B21" s="3">
        <v>192</v>
      </c>
      <c r="C21" s="3">
        <f t="shared" si="0"/>
        <v>179.75</v>
      </c>
      <c r="D21" s="3">
        <f t="shared" si="1"/>
        <v>181.75</v>
      </c>
      <c r="E21" s="3">
        <f t="shared" si="2"/>
        <v>-10.25</v>
      </c>
      <c r="F21" s="3">
        <f t="shared" si="3"/>
        <v>10.25</v>
      </c>
      <c r="G21" s="3">
        <f>SUMSQ($E$6:E21)/(A21-4)</f>
        <v>404.671875</v>
      </c>
      <c r="H21" s="3">
        <f>SUM($F$6:F21)/(A21-4)</f>
        <v>16.53125</v>
      </c>
      <c r="I21" s="3">
        <f t="shared" si="4"/>
        <v>5.3385416666666661</v>
      </c>
      <c r="J21" s="3">
        <f>AVERAGE($I$6:I21)</f>
        <v>9.055953867807057</v>
      </c>
      <c r="K21" s="3">
        <f>SUM($E$6:E21)/H21</f>
        <v>0.3931947069943289</v>
      </c>
    </row>
    <row r="22" spans="1:11" x14ac:dyDescent="0.45">
      <c r="A22" s="2">
        <v>21</v>
      </c>
      <c r="B22" s="3">
        <v>197</v>
      </c>
      <c r="C22" s="3">
        <f t="shared" si="0"/>
        <v>185</v>
      </c>
      <c r="D22" s="3">
        <f t="shared" si="1"/>
        <v>179.75</v>
      </c>
      <c r="E22" s="3">
        <f t="shared" si="2"/>
        <v>-17.25</v>
      </c>
      <c r="F22" s="3">
        <f t="shared" si="3"/>
        <v>17.25</v>
      </c>
      <c r="G22" s="3">
        <f>SUMSQ($E$6:E22)/(A22-4)</f>
        <v>398.37132352941177</v>
      </c>
      <c r="H22" s="3">
        <f>SUM($F$6:F22)/(A22-4)</f>
        <v>16.573529411764707</v>
      </c>
      <c r="I22" s="3">
        <f t="shared" si="4"/>
        <v>8.7563451776649739</v>
      </c>
      <c r="J22" s="3">
        <f>AVERAGE($I$6:I22)</f>
        <v>9.0383298272104629</v>
      </c>
      <c r="K22" s="3">
        <f>SUM($E$6:E22)/H22</f>
        <v>-0.64862466725820755</v>
      </c>
    </row>
    <row r="23" spans="1:11" x14ac:dyDescent="0.45">
      <c r="A23" s="2">
        <v>22</v>
      </c>
      <c r="B23" s="3">
        <v>141</v>
      </c>
      <c r="C23" s="3">
        <f t="shared" si="0"/>
        <v>175.5</v>
      </c>
      <c r="D23" s="3">
        <f t="shared" si="1"/>
        <v>185</v>
      </c>
      <c r="E23" s="3">
        <f t="shared" si="2"/>
        <v>44</v>
      </c>
      <c r="F23" s="3">
        <f t="shared" si="3"/>
        <v>44</v>
      </c>
      <c r="G23" s="3">
        <f>SUMSQ($E$6:E23)/(A23-4)</f>
        <v>483.79513888888891</v>
      </c>
      <c r="H23" s="3">
        <f>SUM($F$6:F23)/(A23-4)</f>
        <v>18.097222222222221</v>
      </c>
      <c r="I23" s="3">
        <f t="shared" si="4"/>
        <v>31.205673758865249</v>
      </c>
      <c r="J23" s="3">
        <f>AVERAGE($I$6:I23)</f>
        <v>10.269848934524619</v>
      </c>
      <c r="K23" s="3">
        <f>SUM($E$6:E23)/H23</f>
        <v>1.8372985418265542</v>
      </c>
    </row>
    <row r="24" spans="1:11" x14ac:dyDescent="0.45">
      <c r="A24" s="2">
        <v>23</v>
      </c>
      <c r="B24" s="3">
        <v>130</v>
      </c>
      <c r="C24" s="3">
        <f t="shared" si="0"/>
        <v>165</v>
      </c>
      <c r="D24" s="3">
        <f t="shared" si="1"/>
        <v>175.5</v>
      </c>
      <c r="E24" s="3">
        <f t="shared" si="2"/>
        <v>45.5</v>
      </c>
      <c r="F24" s="3">
        <f t="shared" si="3"/>
        <v>45.5</v>
      </c>
      <c r="G24" s="3">
        <f>SUMSQ($E$6:E24)/(A24-4)</f>
        <v>567.29276315789468</v>
      </c>
      <c r="H24" s="3">
        <f>SUM($F$6:F24)/(A24-4)</f>
        <v>19.539473684210527</v>
      </c>
      <c r="I24" s="3">
        <f t="shared" si="4"/>
        <v>35</v>
      </c>
      <c r="J24" s="3">
        <f>AVERAGE($I$6:I24)</f>
        <v>11.571435832707534</v>
      </c>
      <c r="K24" s="3">
        <f>SUM($E$6:E24)/H24</f>
        <v>4.0303030303030303</v>
      </c>
    </row>
    <row r="25" spans="1:11" x14ac:dyDescent="0.45">
      <c r="A25" s="2">
        <v>24</v>
      </c>
      <c r="B25" s="3">
        <v>143</v>
      </c>
      <c r="C25" s="3">
        <f t="shared" si="0"/>
        <v>152.75</v>
      </c>
      <c r="D25" s="3">
        <f t="shared" si="1"/>
        <v>165</v>
      </c>
      <c r="E25" s="3">
        <f t="shared" si="2"/>
        <v>22</v>
      </c>
      <c r="F25" s="3">
        <f t="shared" si="3"/>
        <v>22</v>
      </c>
      <c r="G25" s="3">
        <f>SUMSQ($E$6:E25)/(A25-4)</f>
        <v>563.12812499999995</v>
      </c>
      <c r="H25" s="3">
        <f>SUM($F$6:F25)/(A25-4)</f>
        <v>19.662500000000001</v>
      </c>
      <c r="I25" s="3">
        <f t="shared" si="4"/>
        <v>15.384615384615385</v>
      </c>
      <c r="J25" s="3">
        <f>AVERAGE($I$6:I25)</f>
        <v>11.762094810302926</v>
      </c>
      <c r="K25" s="3">
        <f>SUM($E$6:E25)/H25</f>
        <v>5.1239669421487601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212D-E717-42EE-89F3-1F4648A8BAA6}">
  <dimension ref="A1:O38"/>
  <sheetViews>
    <sheetView tabSelected="1" topLeftCell="A2" workbookViewId="0">
      <selection activeCell="E37" sqref="E37"/>
    </sheetView>
  </sheetViews>
  <sheetFormatPr defaultRowHeight="14.25" x14ac:dyDescent="0.45"/>
  <cols>
    <col min="1" max="1" width="15.19921875" customWidth="1"/>
    <col min="2" max="2" width="23.86328125" customWidth="1"/>
    <col min="3" max="3" width="19.06640625" customWidth="1"/>
    <col min="5" max="5" width="12.9296875" customWidth="1"/>
    <col min="6" max="6" width="13.46484375" customWidth="1"/>
    <col min="7" max="7" width="18" customWidth="1"/>
    <col min="8" max="8" width="17.73046875" customWidth="1"/>
    <col min="9" max="9" width="24" customWidth="1"/>
    <col min="10" max="10" width="13.46484375" customWidth="1"/>
    <col min="11" max="11" width="12.3984375" customWidth="1"/>
  </cols>
  <sheetData>
    <row r="1" spans="1:15" x14ac:dyDescent="0.45">
      <c r="A1" s="9" t="s">
        <v>0</v>
      </c>
      <c r="B1" s="9" t="s">
        <v>1</v>
      </c>
      <c r="C1" s="10" t="s">
        <v>27</v>
      </c>
      <c r="D1" s="10" t="s">
        <v>36</v>
      </c>
      <c r="E1" s="10" t="s">
        <v>28</v>
      </c>
      <c r="F1" s="10" t="s">
        <v>29</v>
      </c>
      <c r="G1" s="10" t="s">
        <v>30</v>
      </c>
      <c r="H1" s="10" t="s">
        <v>31</v>
      </c>
      <c r="I1" s="10" t="s">
        <v>32</v>
      </c>
      <c r="J1" s="10" t="s">
        <v>33</v>
      </c>
      <c r="K1" s="10" t="s">
        <v>34</v>
      </c>
      <c r="L1" s="10" t="s">
        <v>35</v>
      </c>
    </row>
    <row r="2" spans="1:15" x14ac:dyDescent="0.45">
      <c r="A2" s="9"/>
      <c r="B2" s="9"/>
      <c r="C2" s="10">
        <v>198.06800000000001</v>
      </c>
      <c r="D2" s="10">
        <v>-1.29</v>
      </c>
      <c r="E2" s="10"/>
      <c r="F2" s="10"/>
      <c r="G2" s="10"/>
      <c r="H2" s="10"/>
      <c r="I2" s="10"/>
      <c r="J2" s="10"/>
      <c r="K2" s="10"/>
      <c r="L2" s="10"/>
      <c r="N2" t="s">
        <v>37</v>
      </c>
      <c r="O2">
        <v>0.1</v>
      </c>
    </row>
    <row r="3" spans="1:15" x14ac:dyDescent="0.45">
      <c r="A3" s="12">
        <v>1</v>
      </c>
      <c r="B3" s="13">
        <v>144</v>
      </c>
      <c r="C3" s="3">
        <f>+($O$2*B3)+((1-$O$2)*(C2+D2))</f>
        <v>191.50020000000004</v>
      </c>
      <c r="D3" s="3">
        <f>+($O$2*(C3-C2)+((1-$O$2)*D2))</f>
        <v>-1.8177799999999977</v>
      </c>
      <c r="E3" s="3">
        <f>+C2+(-D2)</f>
        <v>199.358</v>
      </c>
      <c r="F3" s="3">
        <f>E3-B3</f>
        <v>55.358000000000004</v>
      </c>
      <c r="G3" s="3">
        <f>ABS(F3)</f>
        <v>55.358000000000004</v>
      </c>
      <c r="H3" s="3">
        <f>+SUMSQ($F$3:F3)/A3</f>
        <v>3064.5081640000003</v>
      </c>
      <c r="I3" s="3">
        <f>+SUM($G$3:G3)/A3</f>
        <v>55.358000000000004</v>
      </c>
      <c r="J3" s="3">
        <f>+(G3/B3)*100</f>
        <v>38.44305555555556</v>
      </c>
      <c r="K3" s="3">
        <f>+AVERAGE($J2:J$3)</f>
        <v>38.44305555555556</v>
      </c>
      <c r="L3" s="3">
        <f>+SUM($F$3:F3)/I3</f>
        <v>1</v>
      </c>
    </row>
    <row r="4" spans="1:15" x14ac:dyDescent="0.45">
      <c r="A4" s="12">
        <v>2</v>
      </c>
      <c r="B4" s="13">
        <v>174</v>
      </c>
      <c r="C4" s="3">
        <f t="shared" ref="C4:C26" si="0">+($O$2*B4)+((1-$O$2)*(C3+D3))</f>
        <v>188.11417800000004</v>
      </c>
      <c r="D4" s="3">
        <f t="shared" ref="D4:D26" si="1">+($O$2*(C4-C3)+((1-$O$2)*D3))</f>
        <v>-1.9746041999999977</v>
      </c>
      <c r="E4" s="3">
        <f t="shared" ref="E4:E26" si="2">+C3+(-D3)</f>
        <v>193.31798000000003</v>
      </c>
      <c r="F4" s="3">
        <f t="shared" ref="F4:F26" si="3">E4-B4</f>
        <v>19.317980000000034</v>
      </c>
      <c r="G4" s="3">
        <f t="shared" ref="G4:G26" si="4">ABS(F4)</f>
        <v>19.317980000000034</v>
      </c>
      <c r="H4" s="3">
        <f>+SUMSQ($F$3:F4)/A4</f>
        <v>1718.8462576402007</v>
      </c>
      <c r="I4" s="3">
        <f>+SUM($G$3:G4)/A4</f>
        <v>37.337990000000019</v>
      </c>
      <c r="J4" s="3">
        <f t="shared" ref="J4:J26" si="5">+(G4/B4)*100</f>
        <v>11.10228735632186</v>
      </c>
      <c r="K4" s="3">
        <f>+AVERAGE($J3:J$3)</f>
        <v>38.44305555555556</v>
      </c>
      <c r="L4" s="3">
        <f>+SUM($F$3:F4)/I4</f>
        <v>2</v>
      </c>
    </row>
    <row r="5" spans="1:15" x14ac:dyDescent="0.45">
      <c r="A5" s="12">
        <v>3</v>
      </c>
      <c r="B5" s="13">
        <v>228</v>
      </c>
      <c r="C5" s="3">
        <f t="shared" si="0"/>
        <v>190.32561642000007</v>
      </c>
      <c r="D5" s="3">
        <f t="shared" si="1"/>
        <v>-1.5559999379999945</v>
      </c>
      <c r="E5" s="3">
        <f t="shared" si="2"/>
        <v>190.08878220000003</v>
      </c>
      <c r="F5" s="3">
        <f t="shared" si="3"/>
        <v>-37.911217799999974</v>
      </c>
      <c r="G5" s="3">
        <f t="shared" si="4"/>
        <v>37.911217799999974</v>
      </c>
      <c r="H5" s="3">
        <f>+SUMSQ($F$3:F5)/A5</f>
        <v>1624.984316786479</v>
      </c>
      <c r="I5" s="3">
        <f>+SUM($G$3:G5)/A5</f>
        <v>37.529065933333335</v>
      </c>
      <c r="J5" s="3">
        <f t="shared" si="5"/>
        <v>16.627727105263148</v>
      </c>
      <c r="K5" s="3">
        <f>+AVERAGE($J$3:J4)</f>
        <v>24.77267145593871</v>
      </c>
      <c r="L5" s="3">
        <f>+SUM($F$3:F5)/I5</f>
        <v>0.97963435235262764</v>
      </c>
    </row>
    <row r="6" spans="1:15" x14ac:dyDescent="0.45">
      <c r="A6" s="12">
        <v>4</v>
      </c>
      <c r="B6" s="13">
        <v>167</v>
      </c>
      <c r="C6" s="3">
        <f t="shared" si="0"/>
        <v>186.59265483380008</v>
      </c>
      <c r="D6" s="3">
        <f t="shared" si="1"/>
        <v>-1.7736961028199942</v>
      </c>
      <c r="E6" s="3">
        <f t="shared" si="2"/>
        <v>191.88161635800006</v>
      </c>
      <c r="F6" s="3">
        <f t="shared" si="3"/>
        <v>24.881616358000059</v>
      </c>
      <c r="G6" s="3">
        <f t="shared" si="4"/>
        <v>24.881616358000059</v>
      </c>
      <c r="H6" s="3">
        <f>+SUMSQ($F$3:F6)/A6</f>
        <v>1373.5119457365331</v>
      </c>
      <c r="I6" s="3">
        <f>+SUM($G$3:G6)/A6</f>
        <v>34.367203539500018</v>
      </c>
      <c r="J6" s="3">
        <f t="shared" si="5"/>
        <v>14.899171471856324</v>
      </c>
      <c r="K6" s="3">
        <f>+AVERAGE($J$3:J5)</f>
        <v>22.057690005713521</v>
      </c>
      <c r="L6" s="3">
        <f>+SUM($F$3:F6)/I6</f>
        <v>1.7937560292662953</v>
      </c>
    </row>
    <row r="7" spans="1:15" x14ac:dyDescent="0.45">
      <c r="A7" s="12">
        <v>5</v>
      </c>
      <c r="B7" s="13">
        <v>203</v>
      </c>
      <c r="C7" s="3">
        <f t="shared" si="0"/>
        <v>186.63706285788209</v>
      </c>
      <c r="D7" s="3">
        <f t="shared" si="1"/>
        <v>-1.5918856901297944</v>
      </c>
      <c r="E7" s="3">
        <f t="shared" si="2"/>
        <v>188.36635093662008</v>
      </c>
      <c r="F7" s="3">
        <f t="shared" si="3"/>
        <v>-14.63364906337992</v>
      </c>
      <c r="G7" s="3">
        <f t="shared" si="4"/>
        <v>14.63364906337992</v>
      </c>
      <c r="H7" s="3">
        <f>+SUMSQ($F$3:F7)/A7</f>
        <v>1141.6382935712586</v>
      </c>
      <c r="I7" s="3">
        <f>+SUM($G$3:G7)/A7</f>
        <v>30.420492644275999</v>
      </c>
      <c r="J7" s="3">
        <f t="shared" si="5"/>
        <v>7.2086941198915859</v>
      </c>
      <c r="K7" s="3">
        <f>+AVERAGE($J$3:J6)</f>
        <v>20.26806037224922</v>
      </c>
      <c r="L7" s="3">
        <f>+SUM($F$3:F7)/I7</f>
        <v>1.5454295906501778</v>
      </c>
    </row>
    <row r="8" spans="1:15" x14ac:dyDescent="0.45">
      <c r="A8" s="12">
        <v>6</v>
      </c>
      <c r="B8" s="13">
        <v>207</v>
      </c>
      <c r="C8" s="3">
        <f t="shared" si="0"/>
        <v>187.24065945097709</v>
      </c>
      <c r="D8" s="3">
        <f t="shared" si="1"/>
        <v>-1.3723374618073143</v>
      </c>
      <c r="E8" s="3">
        <f t="shared" si="2"/>
        <v>188.22894854801189</v>
      </c>
      <c r="F8" s="3">
        <f t="shared" si="3"/>
        <v>-18.771051451988114</v>
      </c>
      <c r="G8" s="3">
        <f t="shared" si="4"/>
        <v>18.771051451988114</v>
      </c>
      <c r="H8" s="3">
        <f>+SUMSQ($F$3:F8)/A8</f>
        <v>1010.0906400782463</v>
      </c>
      <c r="I8" s="3">
        <f>+SUM($G$3:G8)/A8</f>
        <v>28.478919112228017</v>
      </c>
      <c r="J8" s="3">
        <f t="shared" si="5"/>
        <v>9.0681407980618918</v>
      </c>
      <c r="K8" s="3">
        <f>+AVERAGE($J$3:J7)</f>
        <v>17.656187121777695</v>
      </c>
      <c r="L8" s="3">
        <f>+SUM($F$3:F8)/I8</f>
        <v>0.99166959010413902</v>
      </c>
    </row>
    <row r="9" spans="1:15" x14ac:dyDescent="0.45">
      <c r="A9" s="12">
        <v>7</v>
      </c>
      <c r="B9" s="13">
        <v>173</v>
      </c>
      <c r="C9" s="3">
        <f t="shared" si="0"/>
        <v>184.58148979025282</v>
      </c>
      <c r="D9" s="3">
        <f t="shared" si="1"/>
        <v>-1.5010206816990104</v>
      </c>
      <c r="E9" s="3">
        <f t="shared" si="2"/>
        <v>188.61299691278441</v>
      </c>
      <c r="F9" s="3">
        <f t="shared" si="3"/>
        <v>15.612996912784411</v>
      </c>
      <c r="G9" s="3">
        <f t="shared" si="4"/>
        <v>15.612996912784411</v>
      </c>
      <c r="H9" s="3">
        <f>+SUMSQ($F$3:F9)/A9</f>
        <v>900.61564472401335</v>
      </c>
      <c r="I9" s="3">
        <f>+SUM($G$3:G9)/A9</f>
        <v>26.640930226593216</v>
      </c>
      <c r="J9" s="3">
        <f t="shared" si="5"/>
        <v>9.0248537068117987</v>
      </c>
      <c r="K9" s="3">
        <f>+AVERAGE($J$3:J8)</f>
        <v>16.224846067825059</v>
      </c>
      <c r="L9" s="3">
        <f>+SUM($F$3:F9)/I9</f>
        <v>1.6461390267686813</v>
      </c>
    </row>
    <row r="10" spans="1:15" x14ac:dyDescent="0.45">
      <c r="A10" s="12">
        <v>8</v>
      </c>
      <c r="B10" s="13">
        <v>217</v>
      </c>
      <c r="C10" s="3">
        <f t="shared" si="0"/>
        <v>186.47242219769845</v>
      </c>
      <c r="D10" s="3">
        <f t="shared" si="1"/>
        <v>-1.1618253727845462</v>
      </c>
      <c r="E10" s="3">
        <f t="shared" si="2"/>
        <v>186.08251047195182</v>
      </c>
      <c r="F10" s="3">
        <f t="shared" si="3"/>
        <v>-30.917489528048179</v>
      </c>
      <c r="G10" s="3">
        <f t="shared" si="4"/>
        <v>30.917489528048179</v>
      </c>
      <c r="H10" s="3">
        <f>+SUMSQ($F$3:F10)/A10</f>
        <v>907.52508397313272</v>
      </c>
      <c r="I10" s="3">
        <f>+SUM($G$3:G10)/A10</f>
        <v>27.175500139275087</v>
      </c>
      <c r="J10" s="3">
        <f t="shared" si="5"/>
        <v>14.247691026750314</v>
      </c>
      <c r="K10" s="3">
        <f>+AVERAGE($J$3:J9)</f>
        <v>15.196275730537451</v>
      </c>
      <c r="L10" s="3">
        <f>+SUM($F$3:F10)/I10</f>
        <v>0.47606061934701976</v>
      </c>
    </row>
    <row r="11" spans="1:15" x14ac:dyDescent="0.45">
      <c r="A11" s="12">
        <v>9</v>
      </c>
      <c r="B11" s="13">
        <v>181</v>
      </c>
      <c r="C11" s="3">
        <f t="shared" si="0"/>
        <v>184.87953714242252</v>
      </c>
      <c r="D11" s="3">
        <f t="shared" si="1"/>
        <v>-1.2049313410336846</v>
      </c>
      <c r="E11" s="3">
        <f t="shared" si="2"/>
        <v>187.63424757048298</v>
      </c>
      <c r="F11" s="3">
        <f t="shared" si="3"/>
        <v>6.6342475704829837</v>
      </c>
      <c r="G11" s="3">
        <f t="shared" si="4"/>
        <v>6.6342475704829837</v>
      </c>
      <c r="H11" s="3">
        <f>+SUMSQ($F$3:F11)/A11</f>
        <v>811.57932362350232</v>
      </c>
      <c r="I11" s="3">
        <f>+SUM($G$3:G11)/A11</f>
        <v>24.893138742742632</v>
      </c>
      <c r="J11" s="3">
        <f t="shared" si="5"/>
        <v>3.6653301494381125</v>
      </c>
      <c r="K11" s="3">
        <f>+AVERAGE($J$3:J10)</f>
        <v>15.077702642564059</v>
      </c>
      <c r="L11" s="3">
        <f>+SUM($F$3:F11)/I11</f>
        <v>0.78621796954219669</v>
      </c>
    </row>
    <row r="12" spans="1:15" x14ac:dyDescent="0.45">
      <c r="A12" s="12">
        <v>10</v>
      </c>
      <c r="B12" s="13">
        <v>203</v>
      </c>
      <c r="C12" s="3">
        <f t="shared" si="0"/>
        <v>185.60714522124999</v>
      </c>
      <c r="D12" s="3">
        <f t="shared" si="1"/>
        <v>-1.0116773990475689</v>
      </c>
      <c r="E12" s="3">
        <f t="shared" si="2"/>
        <v>186.08446848345619</v>
      </c>
      <c r="F12" s="3">
        <f t="shared" si="3"/>
        <v>-16.915531516543808</v>
      </c>
      <c r="G12" s="3">
        <f t="shared" si="4"/>
        <v>16.915531516543808</v>
      </c>
      <c r="H12" s="3">
        <f>+SUMSQ($F$3:F12)/A12</f>
        <v>759.03491190987074</v>
      </c>
      <c r="I12" s="3">
        <f>+SUM($G$3:G12)/A12</f>
        <v>24.095378020122748</v>
      </c>
      <c r="J12" s="3">
        <f t="shared" si="5"/>
        <v>8.332774146080693</v>
      </c>
      <c r="K12" s="3">
        <f>+AVERAGE($J$3:J11)</f>
        <v>13.809661254438955</v>
      </c>
      <c r="L12" s="3">
        <f>+SUM($F$3:F12)/I12</f>
        <v>0.11022452020007634</v>
      </c>
    </row>
    <row r="13" spans="1:15" x14ac:dyDescent="0.45">
      <c r="A13" s="12">
        <v>11</v>
      </c>
      <c r="B13" s="13">
        <v>191</v>
      </c>
      <c r="C13" s="3">
        <f t="shared" si="0"/>
        <v>185.2359210399822</v>
      </c>
      <c r="D13" s="3">
        <f t="shared" si="1"/>
        <v>-0.9476320772695912</v>
      </c>
      <c r="E13" s="3">
        <f t="shared" si="2"/>
        <v>186.61882262029755</v>
      </c>
      <c r="F13" s="3">
        <f t="shared" si="3"/>
        <v>-4.38117737970245</v>
      </c>
      <c r="G13" s="3">
        <f t="shared" si="4"/>
        <v>4.38117737970245</v>
      </c>
      <c r="H13" s="3">
        <f>+SUMSQ($F$3:F13)/A13</f>
        <v>691.77671221192043</v>
      </c>
      <c r="I13" s="3">
        <f>+SUM($G$3:G13)/A13</f>
        <v>22.303177961902723</v>
      </c>
      <c r="J13" s="3">
        <f t="shared" si="5"/>
        <v>2.2938101464410736</v>
      </c>
      <c r="K13" s="3">
        <f>+AVERAGE($J$3:J12)</f>
        <v>13.261972543603127</v>
      </c>
      <c r="L13" s="3">
        <f>+SUM($F$3:F13)/I13</f>
        <v>-7.7355608305775647E-2</v>
      </c>
    </row>
    <row r="14" spans="1:15" x14ac:dyDescent="0.45">
      <c r="A14" s="12">
        <v>12</v>
      </c>
      <c r="B14" s="13">
        <v>207</v>
      </c>
      <c r="C14" s="3">
        <f t="shared" si="0"/>
        <v>186.55946006644137</v>
      </c>
      <c r="D14" s="3">
        <f t="shared" si="1"/>
        <v>-0.72051496689671479</v>
      </c>
      <c r="E14" s="3">
        <f t="shared" si="2"/>
        <v>186.18355311725179</v>
      </c>
      <c r="F14" s="3">
        <f t="shared" si="3"/>
        <v>-20.81644688274821</v>
      </c>
      <c r="G14" s="3">
        <f t="shared" si="4"/>
        <v>20.81644688274821</v>
      </c>
      <c r="H14" s="3">
        <f>+SUMSQ($F$3:F14)/A14</f>
        <v>670.23902459611679</v>
      </c>
      <c r="I14" s="3">
        <f>+SUM($G$3:G14)/A14</f>
        <v>22.179283705306513</v>
      </c>
      <c r="J14" s="3">
        <f t="shared" si="5"/>
        <v>10.056254532728603</v>
      </c>
      <c r="K14" s="3">
        <f>+AVERAGE($J$3:J13)</f>
        <v>12.264866871133849</v>
      </c>
      <c r="L14" s="3">
        <f>+SUM($F$3:F14)/I14</f>
        <v>-1.0163413336811205</v>
      </c>
    </row>
    <row r="15" spans="1:15" x14ac:dyDescent="0.45">
      <c r="A15" s="12">
        <v>13</v>
      </c>
      <c r="B15" s="13">
        <v>147</v>
      </c>
      <c r="C15" s="3">
        <f t="shared" si="0"/>
        <v>181.9550505895902</v>
      </c>
      <c r="D15" s="3">
        <f t="shared" si="1"/>
        <v>-1.1089044178921608</v>
      </c>
      <c r="E15" s="3">
        <f t="shared" si="2"/>
        <v>187.27997503333808</v>
      </c>
      <c r="F15" s="3">
        <f t="shared" si="3"/>
        <v>40.279975033338076</v>
      </c>
      <c r="G15" s="3">
        <f t="shared" si="4"/>
        <v>40.279975033338076</v>
      </c>
      <c r="H15" s="3">
        <f>+SUMSQ($F$3:F15)/A15</f>
        <v>743.48805260305699</v>
      </c>
      <c r="I15" s="3">
        <f>+SUM($G$3:G15)/A15</f>
        <v>23.571644576693554</v>
      </c>
      <c r="J15" s="3">
        <f t="shared" si="5"/>
        <v>27.401343560093927</v>
      </c>
      <c r="K15" s="3">
        <f>+AVERAGE($J$3:J14)</f>
        <v>12.080815842933413</v>
      </c>
      <c r="L15" s="3">
        <f>+SUM($F$3:F15)/I15</f>
        <v>0.75252501769577818</v>
      </c>
    </row>
    <row r="16" spans="1:15" x14ac:dyDescent="0.45">
      <c r="A16" s="12">
        <v>14</v>
      </c>
      <c r="B16" s="13">
        <v>207</v>
      </c>
      <c r="C16" s="3">
        <f t="shared" si="0"/>
        <v>183.46153155452828</v>
      </c>
      <c r="D16" s="3">
        <f t="shared" si="1"/>
        <v>-0.84736587960913701</v>
      </c>
      <c r="E16" s="3">
        <f t="shared" si="2"/>
        <v>183.06395500748235</v>
      </c>
      <c r="F16" s="3">
        <f t="shared" si="3"/>
        <v>-23.936044992517651</v>
      </c>
      <c r="G16" s="3">
        <f t="shared" si="4"/>
        <v>23.936044992517651</v>
      </c>
      <c r="H16" s="3">
        <f>+SUMSQ($F$3:F16)/A16</f>
        <v>731.30563812311209</v>
      </c>
      <c r="I16" s="3">
        <f>+SUM($G$3:G16)/A16</f>
        <v>23.597673177823847</v>
      </c>
      <c r="J16" s="3">
        <f t="shared" si="5"/>
        <v>11.563306759670363</v>
      </c>
      <c r="K16" s="3">
        <f>+AVERAGE($J$3:J15)</f>
        <v>13.259317975022684</v>
      </c>
      <c r="L16" s="3">
        <f>+SUM($F$3:F16)/I16</f>
        <v>-0.26264423164175266</v>
      </c>
    </row>
    <row r="17" spans="1:12" x14ac:dyDescent="0.45">
      <c r="A17" s="12">
        <v>15</v>
      </c>
      <c r="B17" s="13">
        <v>187</v>
      </c>
      <c r="C17" s="3">
        <f t="shared" si="0"/>
        <v>183.05274910742722</v>
      </c>
      <c r="D17" s="3">
        <f t="shared" si="1"/>
        <v>-0.80350753635832939</v>
      </c>
      <c r="E17" s="3">
        <f t="shared" si="2"/>
        <v>184.30889743413741</v>
      </c>
      <c r="F17" s="3">
        <f t="shared" si="3"/>
        <v>-2.6911025658625931</v>
      </c>
      <c r="G17" s="3">
        <f t="shared" si="4"/>
        <v>2.6911025658625931</v>
      </c>
      <c r="H17" s="3">
        <f>+SUMSQ($F$3:F17)/A17</f>
        <v>683.03473111623748</v>
      </c>
      <c r="I17" s="3">
        <f>+SUM($G$3:G17)/A17</f>
        <v>22.203901803693096</v>
      </c>
      <c r="J17" s="3">
        <f t="shared" si="5"/>
        <v>1.4390922812099427</v>
      </c>
      <c r="K17" s="3">
        <f>+AVERAGE($J$3:J16)</f>
        <v>13.138174316783232</v>
      </c>
      <c r="L17" s="3">
        <f>+SUM($F$3:F17)/I17</f>
        <v>-0.40033032864101725</v>
      </c>
    </row>
    <row r="18" spans="1:12" x14ac:dyDescent="0.45">
      <c r="A18" s="12">
        <v>16</v>
      </c>
      <c r="B18" s="13">
        <v>200</v>
      </c>
      <c r="C18" s="3">
        <f t="shared" si="0"/>
        <v>184.024317413962</v>
      </c>
      <c r="D18" s="3">
        <f t="shared" si="1"/>
        <v>-0.62599995206901871</v>
      </c>
      <c r="E18" s="3">
        <f t="shared" si="2"/>
        <v>183.85625664378554</v>
      </c>
      <c r="F18" s="3">
        <f t="shared" si="3"/>
        <v>-16.143743356214458</v>
      </c>
      <c r="G18" s="3">
        <f t="shared" si="4"/>
        <v>16.143743356214458</v>
      </c>
      <c r="H18" s="3">
        <f>+SUMSQ($F$3:F18)/A18</f>
        <v>656.63383851843014</v>
      </c>
      <c r="I18" s="3">
        <f>+SUM($G$3:G18)/A18</f>
        <v>21.825141900725683</v>
      </c>
      <c r="J18" s="3">
        <f t="shared" si="5"/>
        <v>8.0718716781072288</v>
      </c>
      <c r="K18" s="3">
        <f>+AVERAGE($J$3:J17)</f>
        <v>12.35823551441168</v>
      </c>
      <c r="L18" s="3">
        <f>+SUM($F$3:F18)/I18</f>
        <v>-1.1469633863671447</v>
      </c>
    </row>
    <row r="19" spans="1:12" x14ac:dyDescent="0.45">
      <c r="A19" s="12">
        <v>17</v>
      </c>
      <c r="B19" s="13">
        <v>176</v>
      </c>
      <c r="C19" s="3">
        <f t="shared" si="0"/>
        <v>182.65848571570368</v>
      </c>
      <c r="D19" s="3">
        <f t="shared" si="1"/>
        <v>-0.69998312668794871</v>
      </c>
      <c r="E19" s="3">
        <f t="shared" si="2"/>
        <v>184.650317366031</v>
      </c>
      <c r="F19" s="3">
        <f t="shared" si="3"/>
        <v>8.650317366031004</v>
      </c>
      <c r="G19" s="3">
        <f t="shared" si="4"/>
        <v>8.650317366031004</v>
      </c>
      <c r="H19" s="3">
        <f>+SUMSQ($F$3:F19)/A19</f>
        <v>622.40996510752586</v>
      </c>
      <c r="I19" s="3">
        <f>+SUM($G$3:G19)/A19</f>
        <v>21.05015222221423</v>
      </c>
      <c r="J19" s="3">
        <f t="shared" si="5"/>
        <v>4.9149530488812525</v>
      </c>
      <c r="K19" s="3">
        <f>+AVERAGE($J$3:J18)</f>
        <v>12.090337774642652</v>
      </c>
      <c r="L19" s="3">
        <f>+SUM($F$3:F19)/I19</f>
        <v>-0.77825191587358311</v>
      </c>
    </row>
    <row r="20" spans="1:12" x14ac:dyDescent="0.45">
      <c r="A20" s="12">
        <v>18</v>
      </c>
      <c r="B20" s="13">
        <v>179</v>
      </c>
      <c r="C20" s="3">
        <f t="shared" si="0"/>
        <v>181.66265233011416</v>
      </c>
      <c r="D20" s="3">
        <f t="shared" si="1"/>
        <v>-0.72956815257810592</v>
      </c>
      <c r="E20" s="3">
        <f t="shared" si="2"/>
        <v>183.35846884239163</v>
      </c>
      <c r="F20" s="3">
        <f t="shared" si="3"/>
        <v>4.3584688423916305</v>
      </c>
      <c r="G20" s="3">
        <f t="shared" si="4"/>
        <v>4.3584688423916305</v>
      </c>
      <c r="H20" s="3">
        <f>+SUMSQ($F$3:F20)/A20</f>
        <v>588.88698097100212</v>
      </c>
      <c r="I20" s="3">
        <f>+SUM($G$3:G20)/A20</f>
        <v>20.122836478890754</v>
      </c>
      <c r="J20" s="3">
        <f t="shared" si="5"/>
        <v>2.4348987946321956</v>
      </c>
      <c r="K20" s="3">
        <f>+AVERAGE($J$3:J19)</f>
        <v>11.668256320186099</v>
      </c>
      <c r="L20" s="3">
        <f>+SUM($F$3:F20)/I20</f>
        <v>-0.59752274320722187</v>
      </c>
    </row>
    <row r="21" spans="1:12" x14ac:dyDescent="0.45">
      <c r="A21" s="12">
        <v>19</v>
      </c>
      <c r="B21" s="13">
        <v>172</v>
      </c>
      <c r="C21" s="3">
        <f t="shared" si="0"/>
        <v>180.03977575978243</v>
      </c>
      <c r="D21" s="3">
        <f t="shared" si="1"/>
        <v>-0.81889899435346791</v>
      </c>
      <c r="E21" s="3">
        <f t="shared" si="2"/>
        <v>182.39222048269227</v>
      </c>
      <c r="F21" s="3">
        <f t="shared" si="3"/>
        <v>10.392220482692267</v>
      </c>
      <c r="G21" s="3">
        <f t="shared" si="4"/>
        <v>10.392220482692267</v>
      </c>
      <c r="H21" s="3">
        <f>+SUMSQ($F$3:F21)/A21</f>
        <v>563.57704758099612</v>
      </c>
      <c r="I21" s="3">
        <f>+SUM($G$3:G21)/A21</f>
        <v>19.610698794880307</v>
      </c>
      <c r="J21" s="3">
        <f t="shared" si="5"/>
        <v>6.0419886527280617</v>
      </c>
      <c r="K21" s="3">
        <f>+AVERAGE($J$3:J20)</f>
        <v>11.155292013210882</v>
      </c>
      <c r="L21" s="3">
        <f>+SUM($F$3:F21)/I21</f>
        <v>-8.3201113246961583E-2</v>
      </c>
    </row>
    <row r="22" spans="1:12" x14ac:dyDescent="0.45">
      <c r="A22" s="12">
        <v>20</v>
      </c>
      <c r="B22" s="13">
        <v>192</v>
      </c>
      <c r="C22" s="3">
        <f t="shared" si="0"/>
        <v>180.49878908888604</v>
      </c>
      <c r="D22" s="3">
        <f t="shared" si="1"/>
        <v>-0.69110776200775992</v>
      </c>
      <c r="E22" s="3">
        <f t="shared" si="2"/>
        <v>180.8586747541359</v>
      </c>
      <c r="F22" s="3">
        <f t="shared" si="3"/>
        <v>-11.141325245864095</v>
      </c>
      <c r="G22" s="3">
        <f t="shared" si="4"/>
        <v>11.141325245864095</v>
      </c>
      <c r="H22" s="3">
        <f>+SUMSQ($F$3:F22)/A22</f>
        <v>541.60465161365278</v>
      </c>
      <c r="I22" s="3">
        <f>+SUM($G$3:G22)/A22</f>
        <v>19.187230117429497</v>
      </c>
      <c r="J22" s="3">
        <f t="shared" si="5"/>
        <v>5.802773565554217</v>
      </c>
      <c r="K22" s="3">
        <f>+AVERAGE($J$3:J21)</f>
        <v>10.886170783711787</v>
      </c>
      <c r="L22" s="3">
        <f>+SUM($F$3:F22)/I22</f>
        <v>-0.66570094479380593</v>
      </c>
    </row>
    <row r="23" spans="1:12" x14ac:dyDescent="0.45">
      <c r="A23" s="12">
        <v>21</v>
      </c>
      <c r="B23" s="13">
        <v>197</v>
      </c>
      <c r="C23" s="3">
        <f t="shared" si="0"/>
        <v>181.52691319419046</v>
      </c>
      <c r="D23" s="3">
        <f t="shared" si="1"/>
        <v>-0.51918457527654249</v>
      </c>
      <c r="E23" s="3">
        <f t="shared" si="2"/>
        <v>181.1898968508938</v>
      </c>
      <c r="F23" s="3">
        <f t="shared" si="3"/>
        <v>-15.810103149106197</v>
      </c>
      <c r="G23" s="3">
        <f t="shared" si="4"/>
        <v>15.810103149106197</v>
      </c>
      <c r="H23" s="3">
        <f>+SUMSQ($F$3:F23)/A23</f>
        <v>527.71678065992535</v>
      </c>
      <c r="I23" s="3">
        <f>+SUM($G$3:G23)/A23</f>
        <v>19.026414547509336</v>
      </c>
      <c r="J23" s="3">
        <f t="shared" si="5"/>
        <v>8.0254330706122818</v>
      </c>
      <c r="K23" s="3">
        <f>+AVERAGE($J$3:J22)</f>
        <v>10.632000922803908</v>
      </c>
      <c r="L23" s="17">
        <f>+SUM($F$3:F23)/I23</f>
        <v>-1.502283065202995</v>
      </c>
    </row>
    <row r="24" spans="1:12" x14ac:dyDescent="0.45">
      <c r="A24" s="12">
        <v>22</v>
      </c>
      <c r="B24" s="13">
        <v>141</v>
      </c>
      <c r="C24" s="3">
        <f t="shared" si="0"/>
        <v>177.00695575702252</v>
      </c>
      <c r="D24" s="3">
        <f t="shared" si="1"/>
        <v>-0.91926186146568145</v>
      </c>
      <c r="E24" s="3">
        <f t="shared" si="2"/>
        <v>182.046097769467</v>
      </c>
      <c r="F24" s="3">
        <f t="shared" si="3"/>
        <v>41.046097769466996</v>
      </c>
      <c r="G24" s="3">
        <f t="shared" si="4"/>
        <v>41.046097769466996</v>
      </c>
      <c r="H24" s="3">
        <f>+SUMSQ($F$3:F24)/A24</f>
        <v>580.3106607254125</v>
      </c>
      <c r="I24" s="3">
        <f>+SUM($G$3:G24)/A24</f>
        <v>20.027309239416503</v>
      </c>
      <c r="J24" s="3">
        <f t="shared" si="5"/>
        <v>29.110707637919859</v>
      </c>
      <c r="K24" s="3">
        <f>+AVERAGE($J$3:J23)</f>
        <v>10.507878644128116</v>
      </c>
      <c r="L24" s="3">
        <f>+SUM($F$3:F24)/I24</f>
        <v>0.62230214025371111</v>
      </c>
    </row>
    <row r="25" spans="1:12" x14ac:dyDescent="0.45">
      <c r="A25" s="12">
        <v>23</v>
      </c>
      <c r="B25" s="13">
        <v>130</v>
      </c>
      <c r="C25" s="3">
        <f t="shared" si="0"/>
        <v>171.47892450600116</v>
      </c>
      <c r="D25" s="3">
        <f t="shared" si="1"/>
        <v>-1.3801388004212494</v>
      </c>
      <c r="E25" s="3">
        <f t="shared" si="2"/>
        <v>177.92621761848821</v>
      </c>
      <c r="F25" s="3">
        <f t="shared" si="3"/>
        <v>47.926217618488209</v>
      </c>
      <c r="G25" s="3">
        <f t="shared" si="4"/>
        <v>47.926217618488209</v>
      </c>
      <c r="H25" s="3">
        <f>+SUMSQ($F$3:F25)/A25</f>
        <v>654.94595092059842</v>
      </c>
      <c r="I25" s="3">
        <f>+SUM($G$3:G25)/A25</f>
        <v>21.24030525589788</v>
      </c>
      <c r="J25" s="3">
        <f t="shared" si="5"/>
        <v>36.866321244990928</v>
      </c>
      <c r="K25" s="3">
        <f>+AVERAGE($J$3:J24)</f>
        <v>11.353461780209559</v>
      </c>
      <c r="L25" s="3">
        <f>+SUM($F$3:F25)/I25</f>
        <v>2.843144403724212</v>
      </c>
    </row>
    <row r="26" spans="1:12" x14ac:dyDescent="0.45">
      <c r="A26" s="12">
        <v>24</v>
      </c>
      <c r="B26" s="13">
        <v>143</v>
      </c>
      <c r="C26" s="3">
        <f t="shared" si="0"/>
        <v>167.38890713502195</v>
      </c>
      <c r="D26" s="3">
        <f t="shared" si="1"/>
        <v>-1.6511266574770456</v>
      </c>
      <c r="E26" s="3">
        <f t="shared" si="2"/>
        <v>172.8590633064224</v>
      </c>
      <c r="F26" s="3">
        <f t="shared" si="3"/>
        <v>29.859063306422399</v>
      </c>
      <c r="G26" s="3">
        <f t="shared" si="4"/>
        <v>29.859063306422399</v>
      </c>
      <c r="H26" s="3">
        <f>+SUMSQ($F$3:F26)/A26</f>
        <v>664.80502219627931</v>
      </c>
      <c r="I26" s="3">
        <f>+SUM($G$3:G26)/A26</f>
        <v>21.599420174669735</v>
      </c>
      <c r="J26" s="3">
        <f t="shared" si="5"/>
        <v>20.880463850645032</v>
      </c>
      <c r="K26" s="17">
        <f>+AVERAGE($J$3:J25)</f>
        <v>12.462716539547881</v>
      </c>
      <c r="L26" s="17">
        <f>+SUM($F$3:F26)/I26</f>
        <v>4.1782750461958802</v>
      </c>
    </row>
    <row r="27" spans="1:12" x14ac:dyDescent="0.45">
      <c r="A27" s="12">
        <v>25</v>
      </c>
      <c r="E27" s="14">
        <f>+$C$26+($D$26*A3)</f>
        <v>165.7377804775449</v>
      </c>
    </row>
    <row r="28" spans="1:12" x14ac:dyDescent="0.45">
      <c r="A28" s="12">
        <v>26</v>
      </c>
      <c r="B28" s="11"/>
      <c r="E28" s="14">
        <f t="shared" ref="E28:E36" si="6">+$C$26+($D$26*A4)</f>
        <v>164.08665382006785</v>
      </c>
    </row>
    <row r="29" spans="1:12" x14ac:dyDescent="0.45">
      <c r="A29" s="12">
        <v>27</v>
      </c>
      <c r="E29" s="14">
        <f t="shared" si="6"/>
        <v>162.4355271625908</v>
      </c>
    </row>
    <row r="30" spans="1:12" x14ac:dyDescent="0.45">
      <c r="A30" s="12">
        <v>28</v>
      </c>
      <c r="E30" s="14">
        <f t="shared" si="6"/>
        <v>160.78440050511378</v>
      </c>
    </row>
    <row r="31" spans="1:12" x14ac:dyDescent="0.45">
      <c r="A31" s="12">
        <v>29</v>
      </c>
      <c r="E31" s="14">
        <f t="shared" si="6"/>
        <v>159.13327384763673</v>
      </c>
    </row>
    <row r="32" spans="1:12" x14ac:dyDescent="0.45">
      <c r="A32" s="12">
        <v>30</v>
      </c>
      <c r="E32" s="14">
        <f t="shared" si="6"/>
        <v>157.48214719015968</v>
      </c>
    </row>
    <row r="33" spans="1:7" x14ac:dyDescent="0.45">
      <c r="A33" s="12">
        <v>31</v>
      </c>
      <c r="E33" s="14">
        <f t="shared" si="6"/>
        <v>155.83102053268263</v>
      </c>
    </row>
    <row r="34" spans="1:7" x14ac:dyDescent="0.45">
      <c r="A34" s="12">
        <v>32</v>
      </c>
      <c r="E34" s="14">
        <f t="shared" si="6"/>
        <v>154.17989387520558</v>
      </c>
    </row>
    <row r="35" spans="1:7" x14ac:dyDescent="0.45">
      <c r="A35" s="12">
        <v>33</v>
      </c>
      <c r="E35" s="14">
        <f t="shared" si="6"/>
        <v>152.52876721772856</v>
      </c>
    </row>
    <row r="36" spans="1:7" x14ac:dyDescent="0.45">
      <c r="A36" s="12">
        <v>34</v>
      </c>
      <c r="E36" s="14">
        <f t="shared" si="6"/>
        <v>150.87764056025151</v>
      </c>
    </row>
    <row r="37" spans="1:7" x14ac:dyDescent="0.45">
      <c r="A37" s="20"/>
      <c r="E37" s="21"/>
    </row>
    <row r="38" spans="1:7" ht="409.5" customHeight="1" x14ac:dyDescent="0.45">
      <c r="A38" s="19" t="s">
        <v>38</v>
      </c>
      <c r="B38" s="19"/>
      <c r="C38" s="19"/>
      <c r="D38" s="19"/>
      <c r="E38" s="19"/>
      <c r="F38" s="19"/>
      <c r="G38" s="19"/>
    </row>
  </sheetData>
  <mergeCells count="1">
    <mergeCell ref="A38:G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4D65E-06D2-490E-93D5-A2DC330EC90F}">
  <dimension ref="A1:B13"/>
  <sheetViews>
    <sheetView workbookViewId="0">
      <selection activeCell="B3" sqref="B3:B12"/>
    </sheetView>
  </sheetViews>
  <sheetFormatPr defaultRowHeight="14.25" x14ac:dyDescent="0.45"/>
  <cols>
    <col min="1" max="1" width="18.1328125" customWidth="1"/>
    <col min="2" max="2" width="16.53125" customWidth="1"/>
  </cols>
  <sheetData>
    <row r="1" spans="1:2" ht="15.4" x14ac:dyDescent="0.45">
      <c r="A1" s="15" t="s">
        <v>39</v>
      </c>
      <c r="B1" s="15" t="s">
        <v>40</v>
      </c>
    </row>
    <row r="2" spans="1:2" ht="15.4" x14ac:dyDescent="0.45">
      <c r="A2" s="16">
        <v>24</v>
      </c>
      <c r="B2" s="16">
        <v>95.876295999999996</v>
      </c>
    </row>
    <row r="3" spans="1:2" ht="15.4" x14ac:dyDescent="0.45">
      <c r="A3" s="16">
        <v>25</v>
      </c>
      <c r="B3" s="16">
        <v>126.42087600000001</v>
      </c>
    </row>
    <row r="4" spans="1:2" ht="15.4" x14ac:dyDescent="0.45">
      <c r="A4" s="16">
        <v>26</v>
      </c>
      <c r="B4" s="16">
        <v>179.07648800000001</v>
      </c>
    </row>
    <row r="5" spans="1:2" ht="15.4" x14ac:dyDescent="0.45">
      <c r="A5" s="16">
        <v>27</v>
      </c>
      <c r="B5" s="16">
        <v>119.42066699999999</v>
      </c>
    </row>
    <row r="6" spans="1:2" ht="15.4" x14ac:dyDescent="0.45">
      <c r="A6" s="16">
        <v>28</v>
      </c>
      <c r="B6" s="16">
        <v>154.331445</v>
      </c>
    </row>
    <row r="7" spans="1:2" ht="15.4" x14ac:dyDescent="0.45">
      <c r="A7" s="16">
        <v>29</v>
      </c>
      <c r="B7" s="16">
        <v>158.31084200000001</v>
      </c>
    </row>
    <row r="8" spans="1:2" ht="15.4" x14ac:dyDescent="0.45">
      <c r="A8" s="16">
        <v>30</v>
      </c>
      <c r="B8" s="16">
        <v>124.805468</v>
      </c>
    </row>
    <row r="9" spans="1:2" ht="15.4" x14ac:dyDescent="0.45">
      <c r="A9" s="16">
        <v>31</v>
      </c>
      <c r="B9" s="16">
        <v>168.36316299999999</v>
      </c>
    </row>
    <row r="10" spans="1:2" ht="15.4" x14ac:dyDescent="0.45">
      <c r="A10" s="16">
        <v>32</v>
      </c>
      <c r="B10" s="16">
        <v>133.11840900000001</v>
      </c>
    </row>
    <row r="11" spans="1:2" ht="15.4" x14ac:dyDescent="0.45">
      <c r="A11" s="16">
        <v>33</v>
      </c>
      <c r="B11" s="16">
        <v>153.68329700000001</v>
      </c>
    </row>
    <row r="12" spans="1:2" ht="15.4" x14ac:dyDescent="0.45">
      <c r="A12" s="16">
        <v>34</v>
      </c>
      <c r="B12" s="16">
        <v>141.73135500000001</v>
      </c>
    </row>
    <row r="13" spans="1:2" ht="15.4" x14ac:dyDescent="0.45">
      <c r="A13" s="16">
        <v>35</v>
      </c>
      <c r="B13" s="16">
        <v>157.624347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A682D-A3A4-4930-BA1E-E296B5128CF7}">
  <dimension ref="A1:C13"/>
  <sheetViews>
    <sheetView workbookViewId="0">
      <selection activeCell="I27" sqref="I27"/>
    </sheetView>
  </sheetViews>
  <sheetFormatPr defaultRowHeight="14.25" x14ac:dyDescent="0.45"/>
  <sheetData>
    <row r="1" spans="1:3" x14ac:dyDescent="0.45">
      <c r="A1" s="3" t="s">
        <v>39</v>
      </c>
      <c r="B1" s="3" t="s">
        <v>41</v>
      </c>
      <c r="C1" s="3" t="s">
        <v>42</v>
      </c>
    </row>
    <row r="2" spans="1:3" ht="15.4" x14ac:dyDescent="0.45">
      <c r="A2" s="12">
        <v>25</v>
      </c>
      <c r="B2" s="3">
        <v>165</v>
      </c>
      <c r="C2" s="16">
        <v>126.42087600000001</v>
      </c>
    </row>
    <row r="3" spans="1:3" ht="15.4" x14ac:dyDescent="0.45">
      <c r="A3" s="12">
        <v>26</v>
      </c>
      <c r="B3" s="3">
        <v>164</v>
      </c>
      <c r="C3" s="16">
        <v>179.07648800000001</v>
      </c>
    </row>
    <row r="4" spans="1:3" ht="15.4" x14ac:dyDescent="0.45">
      <c r="A4" s="12">
        <v>27</v>
      </c>
      <c r="B4" s="3">
        <v>162</v>
      </c>
      <c r="C4" s="16">
        <v>119.42066699999999</v>
      </c>
    </row>
    <row r="5" spans="1:3" ht="15.4" x14ac:dyDescent="0.45">
      <c r="A5" s="12">
        <v>28</v>
      </c>
      <c r="B5" s="3">
        <v>160</v>
      </c>
      <c r="C5" s="16">
        <v>154.331445</v>
      </c>
    </row>
    <row r="6" spans="1:3" ht="15.4" x14ac:dyDescent="0.45">
      <c r="A6" s="12">
        <v>29</v>
      </c>
      <c r="B6" s="3">
        <v>159</v>
      </c>
      <c r="C6" s="16">
        <v>158.31084200000001</v>
      </c>
    </row>
    <row r="7" spans="1:3" ht="15.4" x14ac:dyDescent="0.45">
      <c r="A7" s="12">
        <v>30</v>
      </c>
      <c r="B7" s="3">
        <v>157</v>
      </c>
      <c r="C7" s="16">
        <v>124.805468</v>
      </c>
    </row>
    <row r="8" spans="1:3" ht="15.4" x14ac:dyDescent="0.45">
      <c r="A8" s="12">
        <v>31</v>
      </c>
      <c r="B8" s="3">
        <v>155</v>
      </c>
      <c r="C8" s="16">
        <v>168.36316299999999</v>
      </c>
    </row>
    <row r="9" spans="1:3" ht="15.4" x14ac:dyDescent="0.45">
      <c r="A9" s="12">
        <v>32</v>
      </c>
      <c r="B9" s="3">
        <v>154</v>
      </c>
      <c r="C9" s="16">
        <v>133.11840900000001</v>
      </c>
    </row>
    <row r="10" spans="1:3" ht="15.4" x14ac:dyDescent="0.45">
      <c r="A10" s="12">
        <v>33</v>
      </c>
      <c r="B10" s="3">
        <v>152</v>
      </c>
      <c r="C10" s="16">
        <v>153.68329700000001</v>
      </c>
    </row>
    <row r="11" spans="1:3" ht="15.4" x14ac:dyDescent="0.45">
      <c r="A11" s="12">
        <v>34</v>
      </c>
      <c r="B11" s="3">
        <v>150</v>
      </c>
      <c r="C11" s="16">
        <v>141.73135500000001</v>
      </c>
    </row>
    <row r="12" spans="1:3" ht="15.4" x14ac:dyDescent="0.45">
      <c r="C12" s="18"/>
    </row>
    <row r="13" spans="1:3" ht="15.4" x14ac:dyDescent="0.45">
      <c r="C13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PROVINCIAS CENTRALES</vt:lpstr>
      <vt:lpstr>REGRESION LINEAL</vt:lpstr>
      <vt:lpstr>PROMEDIO MOVIL</vt:lpstr>
      <vt:lpstr>HOLT</vt:lpstr>
      <vt:lpstr>SARIMAX</vt:lpstr>
      <vt:lpstr>COMPARATIVA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jimenez</dc:creator>
  <cp:lastModifiedBy>Victoria jimenez</cp:lastModifiedBy>
  <dcterms:created xsi:type="dcterms:W3CDTF">2024-09-07T16:59:50Z</dcterms:created>
  <dcterms:modified xsi:type="dcterms:W3CDTF">2024-09-09T22:32:07Z</dcterms:modified>
</cp:coreProperties>
</file>