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shaibu\Desktop\Petroleum Products Depot Data\"/>
    </mc:Choice>
  </mc:AlternateContent>
  <xr:revisionPtr revIDLastSave="0" documentId="13_ncr:1_{69A28A33-934A-458A-868C-634FCFFCEB7D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storage space" sheetId="1" state="hidden" r:id="rId1"/>
    <sheet name="Sheet1" sheetId="2" state="hidden" r:id="rId2"/>
    <sheet name="storage space (Sept 2016)" sheetId="5" state="hidden" r:id="rId3"/>
    <sheet name="BOST" sheetId="6" state="hidden" r:id="rId4"/>
    <sheet name="storage space (Sept 2016) (2)" sheetId="8" state="hidden" r:id="rId5"/>
    <sheet name="June 2022" sheetId="16" r:id="rId6"/>
    <sheet name="storage space (2)" sheetId="3" state="hidden" r:id="rId7"/>
    <sheet name="storage space (3)" sheetId="4" state="hidden" r:id="rId8"/>
  </sheets>
  <definedNames>
    <definedName name="_xlnm.Print_Area" localSheetId="5">'June 2022'!$B$1:$P$39</definedName>
    <definedName name="_xlnm.Print_Area" localSheetId="0">'storage space'!$B$2:$K$12</definedName>
    <definedName name="_xlnm.Print_Area" localSheetId="6">'storage space (2)'!$B$18:$L$27</definedName>
    <definedName name="_xlnm.Print_Area" localSheetId="7">'storage space (3)'!$B$18:$M$27</definedName>
    <definedName name="_xlnm.Print_Area" localSheetId="2">'storage space (Sept 2016)'!$B$21:$Q$39</definedName>
    <definedName name="_xlnm.Print_Area" localSheetId="4">'storage space (Sept 2016) (2)'!$B$21:$Q$39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6" l="1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9" i="16"/>
  <c r="P8" i="16"/>
  <c r="P5" i="16"/>
  <c r="P6" i="16"/>
  <c r="P7" i="16"/>
  <c r="P4" i="16"/>
  <c r="F36" i="16"/>
  <c r="E36" i="16"/>
  <c r="O36" i="16"/>
  <c r="N36" i="16"/>
  <c r="M36" i="16"/>
  <c r="L36" i="16"/>
  <c r="K36" i="16"/>
  <c r="J36" i="16"/>
  <c r="I36" i="16"/>
  <c r="H36" i="16"/>
  <c r="G36" i="16"/>
  <c r="E48" i="16"/>
  <c r="F48" i="16"/>
  <c r="G48" i="16"/>
  <c r="H48" i="16"/>
  <c r="I48" i="16"/>
  <c r="J48" i="16"/>
  <c r="K48" i="16"/>
  <c r="L48" i="16"/>
  <c r="L79" i="16" s="1"/>
  <c r="M48" i="16"/>
  <c r="N48" i="16"/>
  <c r="O48" i="16"/>
  <c r="E49" i="16"/>
  <c r="E79" i="16" s="1"/>
  <c r="F49" i="16"/>
  <c r="G49" i="16"/>
  <c r="H49" i="16"/>
  <c r="I49" i="16"/>
  <c r="I79" i="16" s="1"/>
  <c r="J49" i="16"/>
  <c r="K49" i="16"/>
  <c r="L49" i="16"/>
  <c r="M49" i="16"/>
  <c r="M79" i="16" s="1"/>
  <c r="N49" i="16"/>
  <c r="O49" i="16"/>
  <c r="E50" i="16"/>
  <c r="F50" i="16"/>
  <c r="G50" i="16"/>
  <c r="H50" i="16"/>
  <c r="I50" i="16"/>
  <c r="J50" i="16"/>
  <c r="K50" i="16"/>
  <c r="L50" i="16"/>
  <c r="M50" i="16"/>
  <c r="N50" i="16"/>
  <c r="O50" i="16"/>
  <c r="E51" i="16"/>
  <c r="F51" i="16"/>
  <c r="G51" i="16"/>
  <c r="P51" i="16" s="1"/>
  <c r="H51" i="16"/>
  <c r="I51" i="16"/>
  <c r="J51" i="16"/>
  <c r="K51" i="16"/>
  <c r="K79" i="16" s="1"/>
  <c r="L51" i="16"/>
  <c r="M51" i="16"/>
  <c r="N51" i="16"/>
  <c r="O51" i="16"/>
  <c r="O79" i="16" s="1"/>
  <c r="E52" i="16"/>
  <c r="F52" i="16"/>
  <c r="G52" i="16"/>
  <c r="H52" i="16"/>
  <c r="I52" i="16"/>
  <c r="J52" i="16"/>
  <c r="K52" i="16"/>
  <c r="L52" i="16"/>
  <c r="M52" i="16"/>
  <c r="N52" i="16"/>
  <c r="O52" i="16"/>
  <c r="E53" i="16"/>
  <c r="F53" i="16"/>
  <c r="G53" i="16"/>
  <c r="P53" i="16" s="1"/>
  <c r="H53" i="16"/>
  <c r="I53" i="16"/>
  <c r="J53" i="16"/>
  <c r="K53" i="16"/>
  <c r="L53" i="16"/>
  <c r="M53" i="16"/>
  <c r="N53" i="16"/>
  <c r="O53" i="16"/>
  <c r="E54" i="16"/>
  <c r="F54" i="16"/>
  <c r="G54" i="16"/>
  <c r="H54" i="16"/>
  <c r="I54" i="16"/>
  <c r="J54" i="16"/>
  <c r="K54" i="16"/>
  <c r="L54" i="16"/>
  <c r="M54" i="16"/>
  <c r="N54" i="16"/>
  <c r="O54" i="16"/>
  <c r="E55" i="16"/>
  <c r="F55" i="16"/>
  <c r="G55" i="16"/>
  <c r="P55" i="16" s="1"/>
  <c r="H55" i="16"/>
  <c r="I55" i="16"/>
  <c r="J55" i="16"/>
  <c r="K55" i="16"/>
  <c r="L55" i="16"/>
  <c r="M55" i="16"/>
  <c r="N55" i="16"/>
  <c r="O55" i="16"/>
  <c r="E56" i="16"/>
  <c r="F56" i="16"/>
  <c r="G56" i="16"/>
  <c r="H56" i="16"/>
  <c r="P56" i="16" s="1"/>
  <c r="I56" i="16"/>
  <c r="J56" i="16"/>
  <c r="K56" i="16"/>
  <c r="L56" i="16"/>
  <c r="M56" i="16"/>
  <c r="N56" i="16"/>
  <c r="O56" i="16"/>
  <c r="E57" i="16"/>
  <c r="F57" i="16"/>
  <c r="G57" i="16"/>
  <c r="P57" i="16" s="1"/>
  <c r="H57" i="16"/>
  <c r="I57" i="16"/>
  <c r="J57" i="16"/>
  <c r="K57" i="16"/>
  <c r="L57" i="16"/>
  <c r="M57" i="16"/>
  <c r="N57" i="16"/>
  <c r="O57" i="16"/>
  <c r="E58" i="16"/>
  <c r="F58" i="16"/>
  <c r="G58" i="16"/>
  <c r="H58" i="16"/>
  <c r="I58" i="16"/>
  <c r="J58" i="16"/>
  <c r="K58" i="16"/>
  <c r="L58" i="16"/>
  <c r="M58" i="16"/>
  <c r="N58" i="16"/>
  <c r="O58" i="16"/>
  <c r="E59" i="16"/>
  <c r="F59" i="16"/>
  <c r="G59" i="16"/>
  <c r="P59" i="16" s="1"/>
  <c r="H59" i="16"/>
  <c r="I59" i="16"/>
  <c r="J59" i="16"/>
  <c r="K59" i="16"/>
  <c r="L59" i="16"/>
  <c r="M59" i="16"/>
  <c r="N59" i="16"/>
  <c r="O59" i="16"/>
  <c r="E60" i="16"/>
  <c r="F60" i="16"/>
  <c r="G60" i="16"/>
  <c r="H60" i="16"/>
  <c r="P60" i="16" s="1"/>
  <c r="I60" i="16"/>
  <c r="J60" i="16"/>
  <c r="K60" i="16"/>
  <c r="L60" i="16"/>
  <c r="M60" i="16"/>
  <c r="N60" i="16"/>
  <c r="O60" i="16"/>
  <c r="E61" i="16"/>
  <c r="F61" i="16"/>
  <c r="G61" i="16"/>
  <c r="P61" i="16" s="1"/>
  <c r="H61" i="16"/>
  <c r="I61" i="16"/>
  <c r="J61" i="16"/>
  <c r="K61" i="16"/>
  <c r="L61" i="16"/>
  <c r="M61" i="16"/>
  <c r="N61" i="16"/>
  <c r="O61" i="16"/>
  <c r="E62" i="16"/>
  <c r="F62" i="16"/>
  <c r="G62" i="16"/>
  <c r="H62" i="16"/>
  <c r="I62" i="16"/>
  <c r="J62" i="16"/>
  <c r="K62" i="16"/>
  <c r="L62" i="16"/>
  <c r="M62" i="16"/>
  <c r="N62" i="16"/>
  <c r="O62" i="16"/>
  <c r="E63" i="16"/>
  <c r="F63" i="16"/>
  <c r="G63" i="16"/>
  <c r="P63" i="16" s="1"/>
  <c r="H63" i="16"/>
  <c r="I63" i="16"/>
  <c r="J63" i="16"/>
  <c r="K63" i="16"/>
  <c r="L63" i="16"/>
  <c r="M63" i="16"/>
  <c r="N63" i="16"/>
  <c r="O63" i="16"/>
  <c r="E64" i="16"/>
  <c r="F64" i="16"/>
  <c r="G64" i="16"/>
  <c r="H64" i="16"/>
  <c r="P64" i="16" s="1"/>
  <c r="I64" i="16"/>
  <c r="J64" i="16"/>
  <c r="K64" i="16"/>
  <c r="L64" i="16"/>
  <c r="M64" i="16"/>
  <c r="N64" i="16"/>
  <c r="O64" i="16"/>
  <c r="E65" i="16"/>
  <c r="F65" i="16"/>
  <c r="G65" i="16"/>
  <c r="P65" i="16" s="1"/>
  <c r="H65" i="16"/>
  <c r="I65" i="16"/>
  <c r="J65" i="16"/>
  <c r="K65" i="16"/>
  <c r="L65" i="16"/>
  <c r="M65" i="16"/>
  <c r="N65" i="16"/>
  <c r="O65" i="16"/>
  <c r="E66" i="16"/>
  <c r="F66" i="16"/>
  <c r="G66" i="16"/>
  <c r="H66" i="16"/>
  <c r="I66" i="16"/>
  <c r="J66" i="16"/>
  <c r="K66" i="16"/>
  <c r="L66" i="16"/>
  <c r="M66" i="16"/>
  <c r="N66" i="16"/>
  <c r="O66" i="16"/>
  <c r="E67" i="16"/>
  <c r="F67" i="16"/>
  <c r="G67" i="16"/>
  <c r="P67" i="16" s="1"/>
  <c r="H67" i="16"/>
  <c r="I67" i="16"/>
  <c r="J67" i="16"/>
  <c r="K67" i="16"/>
  <c r="L67" i="16"/>
  <c r="M67" i="16"/>
  <c r="N67" i="16"/>
  <c r="O67" i="16"/>
  <c r="E68" i="16"/>
  <c r="F68" i="16"/>
  <c r="G68" i="16"/>
  <c r="H68" i="16"/>
  <c r="P68" i="16" s="1"/>
  <c r="I68" i="16"/>
  <c r="J68" i="16"/>
  <c r="K68" i="16"/>
  <c r="L68" i="16"/>
  <c r="M68" i="16"/>
  <c r="N68" i="16"/>
  <c r="O68" i="16"/>
  <c r="E69" i="16"/>
  <c r="F69" i="16"/>
  <c r="G69" i="16"/>
  <c r="P69" i="16" s="1"/>
  <c r="H69" i="16"/>
  <c r="I69" i="16"/>
  <c r="J69" i="16"/>
  <c r="K69" i="16"/>
  <c r="L69" i="16"/>
  <c r="M69" i="16"/>
  <c r="N69" i="16"/>
  <c r="O69" i="16"/>
  <c r="E70" i="16"/>
  <c r="F70" i="16"/>
  <c r="G70" i="16"/>
  <c r="H70" i="16"/>
  <c r="I70" i="16"/>
  <c r="J70" i="16"/>
  <c r="K70" i="16"/>
  <c r="L70" i="16"/>
  <c r="M70" i="16"/>
  <c r="N70" i="16"/>
  <c r="O70" i="16"/>
  <c r="E71" i="16"/>
  <c r="F71" i="16"/>
  <c r="G71" i="16"/>
  <c r="P71" i="16" s="1"/>
  <c r="H71" i="16"/>
  <c r="I71" i="16"/>
  <c r="J71" i="16"/>
  <c r="K71" i="16"/>
  <c r="L71" i="16"/>
  <c r="M71" i="16"/>
  <c r="N71" i="16"/>
  <c r="O71" i="16"/>
  <c r="E72" i="16"/>
  <c r="F72" i="16"/>
  <c r="G72" i="16"/>
  <c r="H72" i="16"/>
  <c r="P72" i="16" s="1"/>
  <c r="I72" i="16"/>
  <c r="J72" i="16"/>
  <c r="K72" i="16"/>
  <c r="L72" i="16"/>
  <c r="M72" i="16"/>
  <c r="N72" i="16"/>
  <c r="O72" i="16"/>
  <c r="E73" i="16"/>
  <c r="F73" i="16"/>
  <c r="G73" i="16"/>
  <c r="P73" i="16" s="1"/>
  <c r="H73" i="16"/>
  <c r="I73" i="16"/>
  <c r="J73" i="16"/>
  <c r="K73" i="16"/>
  <c r="L73" i="16"/>
  <c r="M73" i="16"/>
  <c r="N73" i="16"/>
  <c r="O73" i="16"/>
  <c r="E74" i="16"/>
  <c r="F74" i="16"/>
  <c r="G74" i="16"/>
  <c r="H74" i="16"/>
  <c r="I74" i="16"/>
  <c r="J74" i="16"/>
  <c r="K74" i="16"/>
  <c r="L74" i="16"/>
  <c r="M74" i="16"/>
  <c r="N74" i="16"/>
  <c r="O74" i="16"/>
  <c r="E75" i="16"/>
  <c r="F75" i="16"/>
  <c r="G75" i="16"/>
  <c r="P75" i="16" s="1"/>
  <c r="H75" i="16"/>
  <c r="I75" i="16"/>
  <c r="J75" i="16"/>
  <c r="K75" i="16"/>
  <c r="L75" i="16"/>
  <c r="M75" i="16"/>
  <c r="N75" i="16"/>
  <c r="O75" i="16"/>
  <c r="E76" i="16"/>
  <c r="F76" i="16"/>
  <c r="G76" i="16"/>
  <c r="H76" i="16"/>
  <c r="P76" i="16" s="1"/>
  <c r="I76" i="16"/>
  <c r="J76" i="16"/>
  <c r="K76" i="16"/>
  <c r="L76" i="16"/>
  <c r="M76" i="16"/>
  <c r="N76" i="16"/>
  <c r="O76" i="16"/>
  <c r="E77" i="16"/>
  <c r="F77" i="16"/>
  <c r="G77" i="16"/>
  <c r="P77" i="16" s="1"/>
  <c r="H77" i="16"/>
  <c r="I77" i="16"/>
  <c r="J77" i="16"/>
  <c r="K77" i="16"/>
  <c r="L77" i="16"/>
  <c r="M77" i="16"/>
  <c r="N77" i="16"/>
  <c r="O77" i="16"/>
  <c r="E78" i="16"/>
  <c r="F78" i="16"/>
  <c r="G78" i="16"/>
  <c r="H78" i="16"/>
  <c r="I78" i="16"/>
  <c r="J78" i="16"/>
  <c r="K78" i="16"/>
  <c r="L78" i="16"/>
  <c r="M78" i="16"/>
  <c r="N78" i="16"/>
  <c r="O78" i="16"/>
  <c r="P49" i="16"/>
  <c r="N79" i="16"/>
  <c r="J79" i="16"/>
  <c r="F79" i="16"/>
  <c r="P62" i="16" l="1"/>
  <c r="P58" i="16"/>
  <c r="P54" i="16"/>
  <c r="P78" i="16"/>
  <c r="P74" i="16"/>
  <c r="P70" i="16"/>
  <c r="P66" i="16"/>
  <c r="P52" i="16"/>
  <c r="P50" i="16"/>
  <c r="P48" i="16"/>
  <c r="P36" i="16"/>
  <c r="H79" i="16"/>
  <c r="E47" i="16" l="1"/>
  <c r="O47" i="16" l="1"/>
  <c r="N47" i="16"/>
  <c r="M47" i="16"/>
  <c r="L47" i="16"/>
  <c r="J47" i="16"/>
  <c r="H47" i="16"/>
  <c r="G47" i="16"/>
  <c r="G79" i="16" s="1"/>
  <c r="F47" i="16"/>
  <c r="K42" i="16"/>
  <c r="I42" i="16"/>
  <c r="I47" i="16" l="1"/>
  <c r="K47" i="16"/>
  <c r="P47" i="16" l="1"/>
  <c r="P79" i="16" s="1"/>
  <c r="K26" i="8" l="1"/>
  <c r="L38" i="8"/>
  <c r="K25" i="8" s="1"/>
  <c r="L37" i="8"/>
  <c r="N31" i="8"/>
  <c r="M31" i="8"/>
  <c r="L31" i="8"/>
  <c r="K31" i="8"/>
  <c r="J31" i="8"/>
  <c r="I31" i="8"/>
  <c r="H31" i="8"/>
  <c r="G31" i="8"/>
  <c r="F31" i="8"/>
  <c r="E31" i="8"/>
  <c r="D31" i="8"/>
  <c r="C31" i="8"/>
  <c r="O31" i="8"/>
  <c r="N30" i="8"/>
  <c r="M30" i="8"/>
  <c r="L30" i="8"/>
  <c r="K30" i="8"/>
  <c r="J30" i="8"/>
  <c r="I30" i="8"/>
  <c r="H30" i="8"/>
  <c r="G30" i="8"/>
  <c r="F30" i="8"/>
  <c r="E30" i="8"/>
  <c r="D30" i="8"/>
  <c r="C30" i="8"/>
  <c r="O30" i="8" s="1"/>
  <c r="N29" i="8"/>
  <c r="M29" i="8"/>
  <c r="L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O28" i="8" s="1"/>
  <c r="N27" i="8"/>
  <c r="M27" i="8"/>
  <c r="L27" i="8"/>
  <c r="L32" i="8" s="1"/>
  <c r="K27" i="8"/>
  <c r="J27" i="8"/>
  <c r="I27" i="8"/>
  <c r="I32" i="8" s="1"/>
  <c r="H27" i="8"/>
  <c r="G27" i="8"/>
  <c r="F27" i="8"/>
  <c r="E27" i="8"/>
  <c r="D27" i="8"/>
  <c r="C27" i="8"/>
  <c r="O27" i="8" s="1"/>
  <c r="N26" i="8"/>
  <c r="N32" i="8"/>
  <c r="M26" i="8"/>
  <c r="L26" i="8"/>
  <c r="J26" i="8"/>
  <c r="I26" i="8"/>
  <c r="H26" i="8"/>
  <c r="G26" i="8"/>
  <c r="F34" i="8" s="1"/>
  <c r="G32" i="8"/>
  <c r="F26" i="8"/>
  <c r="E26" i="8"/>
  <c r="D26" i="8"/>
  <c r="D32" i="8" s="1"/>
  <c r="C26" i="8"/>
  <c r="N25" i="8"/>
  <c r="M25" i="8"/>
  <c r="M32" i="8" s="1"/>
  <c r="L25" i="8"/>
  <c r="J25" i="8"/>
  <c r="J32" i="8" s="1"/>
  <c r="I25" i="8"/>
  <c r="H25" i="8"/>
  <c r="H32" i="8"/>
  <c r="G25" i="8"/>
  <c r="F25" i="8"/>
  <c r="F32" i="8" s="1"/>
  <c r="E25" i="8"/>
  <c r="E32" i="8"/>
  <c r="D25" i="8"/>
  <c r="C25" i="8"/>
  <c r="C32" i="8" s="1"/>
  <c r="O24" i="8"/>
  <c r="O14" i="8"/>
  <c r="O13" i="8"/>
  <c r="O12" i="8"/>
  <c r="K11" i="8"/>
  <c r="K29" i="8" s="1"/>
  <c r="O10" i="8"/>
  <c r="L9" i="8"/>
  <c r="O9" i="8"/>
  <c r="O8" i="8"/>
  <c r="O7" i="8"/>
  <c r="O6" i="8"/>
  <c r="O26" i="8"/>
  <c r="D10" i="6"/>
  <c r="E10" i="6"/>
  <c r="F10" i="6"/>
  <c r="C10" i="6"/>
  <c r="K11" i="5"/>
  <c r="K29" i="5" s="1"/>
  <c r="K32" i="5" s="1"/>
  <c r="L38" i="5"/>
  <c r="L37" i="5"/>
  <c r="C32" i="5"/>
  <c r="O24" i="5"/>
  <c r="D31" i="5"/>
  <c r="E31" i="5"/>
  <c r="F31" i="5"/>
  <c r="O31" i="5" s="1"/>
  <c r="G31" i="5"/>
  <c r="H31" i="5"/>
  <c r="I31" i="5"/>
  <c r="J31" i="5"/>
  <c r="K31" i="5"/>
  <c r="L31" i="5"/>
  <c r="M31" i="5"/>
  <c r="N31" i="5"/>
  <c r="C31" i="5"/>
  <c r="D30" i="5"/>
  <c r="E30" i="5"/>
  <c r="O30" i="5" s="1"/>
  <c r="F30" i="5"/>
  <c r="G30" i="5"/>
  <c r="H30" i="5"/>
  <c r="I30" i="5"/>
  <c r="J30" i="5"/>
  <c r="K30" i="5"/>
  <c r="L30" i="5"/>
  <c r="M30" i="5"/>
  <c r="N30" i="5"/>
  <c r="C30" i="5"/>
  <c r="D27" i="5"/>
  <c r="E27" i="5"/>
  <c r="O27" i="5" s="1"/>
  <c r="F27" i="5"/>
  <c r="G27" i="5"/>
  <c r="H27" i="5"/>
  <c r="I27" i="5"/>
  <c r="J27" i="5"/>
  <c r="K27" i="5"/>
  <c r="M27" i="5"/>
  <c r="N27" i="5"/>
  <c r="C27" i="5"/>
  <c r="D29" i="5"/>
  <c r="E29" i="5"/>
  <c r="F29" i="5"/>
  <c r="G29" i="5"/>
  <c r="H29" i="5"/>
  <c r="I29" i="5"/>
  <c r="J29" i="5"/>
  <c r="L29" i="5"/>
  <c r="M29" i="5"/>
  <c r="N29" i="5"/>
  <c r="C29" i="5"/>
  <c r="D28" i="5"/>
  <c r="E28" i="5"/>
  <c r="F28" i="5"/>
  <c r="G28" i="5"/>
  <c r="H28" i="5"/>
  <c r="I28" i="5"/>
  <c r="J28" i="5"/>
  <c r="K28" i="5"/>
  <c r="L28" i="5"/>
  <c r="M28" i="5"/>
  <c r="N28" i="5"/>
  <c r="C28" i="5"/>
  <c r="O28" i="5" s="1"/>
  <c r="E26" i="5"/>
  <c r="F26" i="5"/>
  <c r="G26" i="5"/>
  <c r="H26" i="5"/>
  <c r="I26" i="5"/>
  <c r="J26" i="5"/>
  <c r="K26" i="5"/>
  <c r="L26" i="5"/>
  <c r="M26" i="5"/>
  <c r="N26" i="5"/>
  <c r="C26" i="5"/>
  <c r="O26" i="5" s="1"/>
  <c r="D25" i="5"/>
  <c r="D32" i="5" s="1"/>
  <c r="E25" i="5"/>
  <c r="E32" i="5" s="1"/>
  <c r="F25" i="5"/>
  <c r="F32" i="5" s="1"/>
  <c r="G25" i="5"/>
  <c r="G32" i="5" s="1"/>
  <c r="H25" i="5"/>
  <c r="H32" i="5" s="1"/>
  <c r="I25" i="5"/>
  <c r="I32" i="5" s="1"/>
  <c r="J25" i="5"/>
  <c r="J32" i="5" s="1"/>
  <c r="K25" i="5"/>
  <c r="L25" i="5"/>
  <c r="L32" i="5" s="1"/>
  <c r="M25" i="5"/>
  <c r="M32" i="5" s="1"/>
  <c r="N25" i="5"/>
  <c r="N32" i="5" s="1"/>
  <c r="C25" i="5"/>
  <c r="O14" i="5"/>
  <c r="O13" i="5"/>
  <c r="O12" i="5"/>
  <c r="O11" i="5"/>
  <c r="O10" i="5"/>
  <c r="L9" i="5"/>
  <c r="O8" i="5"/>
  <c r="O7" i="5"/>
  <c r="O6" i="5"/>
  <c r="O9" i="5"/>
  <c r="L27" i="5"/>
  <c r="J27" i="4"/>
  <c r="I22" i="4"/>
  <c r="D59" i="4"/>
  <c r="M48" i="4"/>
  <c r="L48" i="4"/>
  <c r="I48" i="4"/>
  <c r="H48" i="4"/>
  <c r="G48" i="4"/>
  <c r="E50" i="4" s="1"/>
  <c r="F48" i="4"/>
  <c r="E48" i="4"/>
  <c r="D48" i="4"/>
  <c r="C48" i="4"/>
  <c r="C50" i="4" s="1"/>
  <c r="N47" i="4"/>
  <c r="N46" i="4"/>
  <c r="N45" i="4"/>
  <c r="N44" i="4"/>
  <c r="N43" i="4"/>
  <c r="N42" i="4"/>
  <c r="N41" i="4"/>
  <c r="C36" i="4"/>
  <c r="F34" i="4"/>
  <c r="I30" i="4"/>
  <c r="I31" i="4" s="1"/>
  <c r="K27" i="4"/>
  <c r="L26" i="4"/>
  <c r="I26" i="4"/>
  <c r="H26" i="4"/>
  <c r="G26" i="4"/>
  <c r="F26" i="4"/>
  <c r="E26" i="4"/>
  <c r="D26" i="4"/>
  <c r="C26" i="4"/>
  <c r="M26" i="4" s="1"/>
  <c r="L25" i="4"/>
  <c r="I25" i="4"/>
  <c r="H25" i="4"/>
  <c r="G25" i="4"/>
  <c r="F25" i="4"/>
  <c r="E25" i="4"/>
  <c r="D25" i="4"/>
  <c r="C25" i="4"/>
  <c r="M25" i="4" s="1"/>
  <c r="L24" i="4"/>
  <c r="I24" i="4"/>
  <c r="H24" i="4"/>
  <c r="G24" i="4"/>
  <c r="F24" i="4"/>
  <c r="E24" i="4"/>
  <c r="M24" i="4" s="1"/>
  <c r="D24" i="4"/>
  <c r="I23" i="4"/>
  <c r="H23" i="4"/>
  <c r="G23" i="4"/>
  <c r="G27" i="4" s="1"/>
  <c r="F23" i="4"/>
  <c r="E23" i="4"/>
  <c r="D23" i="4"/>
  <c r="D27" i="4" s="1"/>
  <c r="C23" i="4"/>
  <c r="L22" i="4"/>
  <c r="H22" i="4"/>
  <c r="H27" i="4" s="1"/>
  <c r="G22" i="4"/>
  <c r="F22" i="4"/>
  <c r="E22" i="4"/>
  <c r="M22" i="4" s="1"/>
  <c r="L21" i="4"/>
  <c r="H21" i="4"/>
  <c r="G21" i="4"/>
  <c r="F21" i="4"/>
  <c r="M21" i="4" s="1"/>
  <c r="E21" i="4"/>
  <c r="D21" i="4"/>
  <c r="L20" i="4"/>
  <c r="L27" i="4" s="1"/>
  <c r="F20" i="4"/>
  <c r="F27" i="4" s="1"/>
  <c r="H16" i="4"/>
  <c r="F13" i="4"/>
  <c r="G13" i="4"/>
  <c r="I12" i="4"/>
  <c r="I11" i="4"/>
  <c r="I10" i="4"/>
  <c r="I9" i="4"/>
  <c r="I8" i="4"/>
  <c r="I7" i="4"/>
  <c r="I6" i="4"/>
  <c r="I27" i="4"/>
  <c r="E30" i="4"/>
  <c r="N48" i="4"/>
  <c r="J27" i="3"/>
  <c r="D59" i="3"/>
  <c r="D48" i="3"/>
  <c r="E48" i="3"/>
  <c r="M48" i="3" s="1"/>
  <c r="F48" i="3"/>
  <c r="G48" i="3"/>
  <c r="H48" i="3"/>
  <c r="I48" i="3"/>
  <c r="K48" i="3"/>
  <c r="L48" i="3"/>
  <c r="C48" i="3"/>
  <c r="C50" i="3"/>
  <c r="M42" i="3"/>
  <c r="M43" i="3"/>
  <c r="M44" i="3"/>
  <c r="M45" i="3"/>
  <c r="M46" i="3"/>
  <c r="M47" i="3"/>
  <c r="M41" i="3"/>
  <c r="C36" i="3"/>
  <c r="E50" i="3"/>
  <c r="D52" i="3" s="1"/>
  <c r="F34" i="3"/>
  <c r="E22" i="3"/>
  <c r="L22" i="3" s="1"/>
  <c r="G22" i="3"/>
  <c r="H22" i="3"/>
  <c r="I22" i="3"/>
  <c r="F22" i="3"/>
  <c r="K22" i="3"/>
  <c r="C23" i="3"/>
  <c r="D23" i="3"/>
  <c r="D27" i="3" s="1"/>
  <c r="C29" i="3" s="1"/>
  <c r="E23" i="3"/>
  <c r="G23" i="3"/>
  <c r="H23" i="3"/>
  <c r="I23" i="3"/>
  <c r="F23" i="3"/>
  <c r="E30" i="3" s="1"/>
  <c r="D24" i="3"/>
  <c r="E24" i="3"/>
  <c r="L24" i="3" s="1"/>
  <c r="G24" i="3"/>
  <c r="H24" i="3"/>
  <c r="I24" i="3"/>
  <c r="F24" i="3"/>
  <c r="K24" i="3"/>
  <c r="C25" i="3"/>
  <c r="D25" i="3"/>
  <c r="E25" i="3"/>
  <c r="G25" i="3"/>
  <c r="L25" i="3" s="1"/>
  <c r="H25" i="3"/>
  <c r="I25" i="3"/>
  <c r="F25" i="3"/>
  <c r="K25" i="3"/>
  <c r="C26" i="3"/>
  <c r="D26" i="3"/>
  <c r="E26" i="3"/>
  <c r="L26" i="3" s="1"/>
  <c r="G26" i="3"/>
  <c r="H26" i="3"/>
  <c r="I26" i="3"/>
  <c r="F26" i="3"/>
  <c r="K26" i="3"/>
  <c r="D21" i="3"/>
  <c r="E21" i="3"/>
  <c r="G21" i="3"/>
  <c r="H21" i="3"/>
  <c r="H27" i="3" s="1"/>
  <c r="I30" i="3"/>
  <c r="I31" i="3" s="1"/>
  <c r="F13" i="3"/>
  <c r="G13" i="3"/>
  <c r="F20" i="3"/>
  <c r="K20" i="3"/>
  <c r="F21" i="3"/>
  <c r="F27" i="3" s="1"/>
  <c r="K21" i="3"/>
  <c r="K27" i="3" s="1"/>
  <c r="H16" i="3"/>
  <c r="I12" i="3"/>
  <c r="I11" i="3"/>
  <c r="I10" i="3"/>
  <c r="I9" i="3"/>
  <c r="I8" i="3"/>
  <c r="I7" i="3"/>
  <c r="I6" i="3"/>
  <c r="H16" i="1"/>
  <c r="I12" i="1"/>
  <c r="I11" i="1"/>
  <c r="I10" i="1"/>
  <c r="I9" i="1"/>
  <c r="I8" i="1"/>
  <c r="I7" i="1"/>
  <c r="I6" i="1"/>
  <c r="L20" i="3"/>
  <c r="C27" i="3"/>
  <c r="I27" i="3"/>
  <c r="G27" i="3"/>
  <c r="L23" i="3"/>
  <c r="O29" i="8" l="1"/>
  <c r="D52" i="4"/>
  <c r="K32" i="8"/>
  <c r="O25" i="8"/>
  <c r="O29" i="5"/>
  <c r="O25" i="5"/>
  <c r="C27" i="4"/>
  <c r="C29" i="4" s="1"/>
  <c r="O11" i="8"/>
  <c r="M20" i="4"/>
  <c r="M27" i="4" s="1"/>
  <c r="M32" i="4" s="1"/>
  <c r="E27" i="3"/>
  <c r="E29" i="3" s="1"/>
  <c r="L21" i="3"/>
  <c r="L27" i="3" s="1"/>
  <c r="L32" i="3" s="1"/>
  <c r="M23" i="4"/>
  <c r="E27" i="4"/>
  <c r="E29" i="4" s="1"/>
  <c r="E31" i="4" l="1"/>
  <c r="C31" i="4"/>
  <c r="P25" i="8"/>
  <c r="O32" i="8"/>
  <c r="E31" i="3"/>
  <c r="C31" i="3"/>
  <c r="O32" i="5"/>
  <c r="P29" i="5" s="1"/>
  <c r="P32" i="5" l="1"/>
  <c r="P24" i="5"/>
  <c r="P26" i="5"/>
  <c r="P31" i="5"/>
  <c r="P27" i="5"/>
  <c r="P30" i="5"/>
  <c r="P28" i="5"/>
  <c r="P32" i="8"/>
  <c r="P24" i="8"/>
  <c r="P27" i="8"/>
  <c r="P26" i="8"/>
  <c r="P28" i="8"/>
  <c r="P30" i="8"/>
  <c r="P31" i="8"/>
  <c r="P25" i="5"/>
  <c r="P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Ossei Yaw Danquah</author>
  </authors>
  <commentList>
    <comment ref="K2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Ossei Yaw Danquah:</t>
        </r>
        <r>
          <rPr>
            <sz val="9"/>
            <color indexed="81"/>
            <rFont val="Tahoma"/>
            <family val="2"/>
          </rPr>
          <t xml:space="preserve">
This includes storage at Airport </t>
        </r>
        <r>
          <rPr>
            <b/>
            <sz val="9"/>
            <color indexed="81"/>
            <rFont val="Tahoma"/>
            <family val="2"/>
          </rPr>
          <t>8,060MT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Ossei Yaw Danquah</author>
  </authors>
  <commentList>
    <comment ref="K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Ossei Yaw Danquah:</t>
        </r>
        <r>
          <rPr>
            <sz val="9"/>
            <color indexed="81"/>
            <rFont val="Tahoma"/>
            <family val="2"/>
          </rPr>
          <t xml:space="preserve">
This includes storage at Airport </t>
        </r>
        <r>
          <rPr>
            <b/>
            <sz val="9"/>
            <color indexed="81"/>
            <rFont val="Tahoma"/>
            <family val="2"/>
          </rPr>
          <t>8,060MT</t>
        </r>
      </text>
    </comment>
  </commentList>
</comments>
</file>

<file path=xl/sharedStrings.xml><?xml version="1.0" encoding="utf-8"?>
<sst xmlns="http://schemas.openxmlformats.org/spreadsheetml/2006/main" count="494" uniqueCount="170">
  <si>
    <t>NATIONAL PRODUCT STORAGE CAPACITY</t>
  </si>
  <si>
    <t xml:space="preserve">     DEPOTS/                  PRODUCTS</t>
  </si>
  <si>
    <t>BOST</t>
  </si>
  <si>
    <t>TOTAL STORAGE  (M3)</t>
  </si>
  <si>
    <t>GHANA GAS</t>
  </si>
  <si>
    <t xml:space="preserve"> Metre Cube(m3) </t>
  </si>
  <si>
    <t>Metric Tonne (MT)</t>
  </si>
  <si>
    <t>CRUDE (MT)</t>
  </si>
  <si>
    <t xml:space="preserve">AGO </t>
  </si>
  <si>
    <t>MOGAS</t>
  </si>
  <si>
    <t>LPG</t>
  </si>
  <si>
    <t>KERO</t>
  </si>
  <si>
    <t xml:space="preserve">ATK </t>
  </si>
  <si>
    <t>PREMIX</t>
  </si>
  <si>
    <t>TOR (Tema)</t>
  </si>
  <si>
    <t>CHASE (Tema Tank Farm)</t>
  </si>
  <si>
    <t>FUELTRADE-Tema Fuel Company</t>
  </si>
  <si>
    <t>SAHARA (Tema) Petroleum Warehouse Services Limited)</t>
  </si>
  <si>
    <t>CIRRUS Oil Terminal (Takoradi)</t>
  </si>
  <si>
    <t>BOST (Tema-Akosombo-Takoradi)</t>
  </si>
  <si>
    <t>QUANTUM TERMINAL   (ATOABO)</t>
  </si>
  <si>
    <t xml:space="preserve">TOR </t>
  </si>
  <si>
    <t>PWSL</t>
  </si>
  <si>
    <t>CIRRUS TERMINAL</t>
  </si>
  <si>
    <t>TTF</t>
  </si>
  <si>
    <t>TFC</t>
  </si>
  <si>
    <t>QUANTUM TERMINAL</t>
  </si>
  <si>
    <t>Michael- 024201666</t>
  </si>
  <si>
    <t>Bortey- 0544337081</t>
  </si>
  <si>
    <t>Laydron- 0544341343</t>
  </si>
  <si>
    <t>Gideon- 0540115209</t>
  </si>
  <si>
    <t>Lartey- 0209978944</t>
  </si>
  <si>
    <t>Obuobi- 0268174729</t>
  </si>
  <si>
    <t>COMPANY</t>
  </si>
  <si>
    <t>CONTACT</t>
  </si>
  <si>
    <t>Sylvester - 024184986</t>
  </si>
  <si>
    <t>ago</t>
  </si>
  <si>
    <t xml:space="preserve">pms/premix </t>
  </si>
  <si>
    <t>kero/ATK</t>
  </si>
  <si>
    <t>lpg</t>
  </si>
  <si>
    <t>TOTAL</t>
  </si>
  <si>
    <t>NATIONAL PRODUCT STORAGE CAPACITY (MT)</t>
  </si>
  <si>
    <t>STATE OWNED STORAGE (MT)</t>
  </si>
  <si>
    <t>PRIVATE OWNED STORAGE (MT)</t>
  </si>
  <si>
    <t>Innocent- 0501395840</t>
  </si>
  <si>
    <t>PUMA Energy</t>
  </si>
  <si>
    <t xml:space="preserve"> DEPOTS/                  PRODUCTS</t>
  </si>
  <si>
    <t>QUANTITY (MT)</t>
  </si>
  <si>
    <t xml:space="preserve">QUANTUM TERMINAL </t>
  </si>
  <si>
    <t>TEMA OIL REFINERY</t>
  </si>
  <si>
    <t>TEMA FUEL COMPANY (Fueltrade)</t>
  </si>
  <si>
    <t>PUMA ENERGY</t>
  </si>
  <si>
    <t>GHANSTOCK</t>
  </si>
  <si>
    <t>STATE-OWNED</t>
  </si>
  <si>
    <t xml:space="preserve">PRIVATELY-OWNED </t>
  </si>
  <si>
    <t>TOR</t>
  </si>
  <si>
    <t>SAHARA</t>
  </si>
  <si>
    <t>CIRRUS</t>
  </si>
  <si>
    <t>CHASE</t>
  </si>
  <si>
    <t>FUELTRADE-TFC</t>
  </si>
  <si>
    <t>PLATON GASOIL</t>
  </si>
  <si>
    <t xml:space="preserve">BLUE OCEAN         </t>
  </si>
  <si>
    <t>JUHI</t>
  </si>
  <si>
    <t xml:space="preserve">QUANTUM   </t>
  </si>
  <si>
    <t>(Unit is in m3 except Crude which is in MT)</t>
  </si>
  <si>
    <t>RFO</t>
  </si>
  <si>
    <t>UNIFIED</t>
  </si>
  <si>
    <t>Conversion Factor</t>
  </si>
  <si>
    <t xml:space="preserve">Fuel  oil </t>
  </si>
  <si>
    <t xml:space="preserve">Gas oil </t>
  </si>
  <si>
    <t xml:space="preserve">Marine Gasoil </t>
  </si>
  <si>
    <t>Unified</t>
  </si>
  <si>
    <t xml:space="preserve">Kerosene </t>
  </si>
  <si>
    <t xml:space="preserve">LPG </t>
  </si>
  <si>
    <t xml:space="preserve">Premium </t>
  </si>
  <si>
    <t xml:space="preserve">TOTAL STORAGE </t>
  </si>
  <si>
    <t>CHASE-TTF</t>
  </si>
  <si>
    <t>SAHARA-PWSL</t>
  </si>
  <si>
    <t>PMS</t>
  </si>
  <si>
    <t>AGO</t>
  </si>
  <si>
    <t>PUMA TEMA- IN PROGRESS</t>
  </si>
  <si>
    <t>PLATON OIL &amp; GAS</t>
  </si>
  <si>
    <t>GHANSTOCK LTD.</t>
  </si>
  <si>
    <t>MT</t>
  </si>
  <si>
    <t xml:space="preserve">m3 </t>
  </si>
  <si>
    <t>PUMA ENERGY/BLUE OCEAN</t>
  </si>
  <si>
    <t>Depots</t>
  </si>
  <si>
    <t>Gasoline</t>
  </si>
  <si>
    <t>Gasoil</t>
  </si>
  <si>
    <t>Kero</t>
  </si>
  <si>
    <t>Total</t>
  </si>
  <si>
    <t>ACCRA PLAINS (APD)</t>
  </si>
  <si>
    <t>109,25</t>
  </si>
  <si>
    <t>KUMASI</t>
  </si>
  <si>
    <t> 87,000</t>
  </si>
  <si>
    <t>BUIPE</t>
  </si>
  <si>
    <t> 51,100</t>
  </si>
  <si>
    <t>BOLGATANGA</t>
  </si>
  <si>
    <t> 47,500</t>
  </si>
  <si>
    <t>AKOSOMBO</t>
  </si>
  <si>
    <t> 12,000</t>
  </si>
  <si>
    <t>MAMI-WATER</t>
  </si>
  <si>
    <t> 17,500</t>
  </si>
  <si>
    <t>% SHARE</t>
  </si>
  <si>
    <t>NATIONAL OPERATIONAL PRODUCT STORAGE CAPACITY (MT)</t>
  </si>
  <si>
    <t>CONDENSATE</t>
  </si>
  <si>
    <t>ZONES</t>
  </si>
  <si>
    <t>DEPOTS</t>
  </si>
  <si>
    <t>TEMA</t>
  </si>
  <si>
    <t>TAKORADI</t>
  </si>
  <si>
    <t>BOLGA</t>
  </si>
  <si>
    <t>GASOLINE</t>
  </si>
  <si>
    <t>GASOIL</t>
  </si>
  <si>
    <t>ATK</t>
  </si>
  <si>
    <t>MGO</t>
  </si>
  <si>
    <t>TEMA FUEL COMPANY (TFC)</t>
  </si>
  <si>
    <t>TEMA OIL REFINERY (TOR)</t>
  </si>
  <si>
    <t>TEMA MULTI- PRODUCT TERMINAL (TMPT)</t>
  </si>
  <si>
    <t>TEMA TANK FARM (TTF)</t>
  </si>
  <si>
    <t>GHANSTOCK DEPOT</t>
  </si>
  <si>
    <t>BLUE OCEAN DEPOT</t>
  </si>
  <si>
    <t>RIDGE DEPOT</t>
  </si>
  <si>
    <t>BOST DEPOT (BOLGA)</t>
  </si>
  <si>
    <t>BOST DEPOT (AKOSOMBO)</t>
  </si>
  <si>
    <t xml:space="preserve">BOST DEPOT (KUMASI) </t>
  </si>
  <si>
    <t>BOST DEPOT (BUIPE)</t>
  </si>
  <si>
    <t>BOST ACCRA PLAINS DEPOT (APD)</t>
  </si>
  <si>
    <t xml:space="preserve">CRUDE OIL </t>
  </si>
  <si>
    <t>NAPTHA (UNIFIED)</t>
  </si>
  <si>
    <t>GOIL DEPOT</t>
  </si>
  <si>
    <t>SEKONDI</t>
  </si>
  <si>
    <t>ALL PRODUCTS</t>
  </si>
  <si>
    <t>ADINKRA STORAGE</t>
  </si>
  <si>
    <t>PETROLEUM PRODUCTS STORAGE CAPACITY</t>
  </si>
  <si>
    <t>VANA OIL TERMINAL</t>
  </si>
  <si>
    <t>ZEN OIL TERMINAL</t>
  </si>
  <si>
    <t>GOIL MGO TERMINAL</t>
  </si>
  <si>
    <t>ATUABO</t>
  </si>
  <si>
    <t>CONVERSION FACTOR</t>
  </si>
  <si>
    <t>MAMI WATER</t>
  </si>
  <si>
    <t>FO</t>
  </si>
  <si>
    <t>TEMA OIL FACILITY (TOF)</t>
  </si>
  <si>
    <t>GREATER ACCRA</t>
  </si>
  <si>
    <t>REGION</t>
  </si>
  <si>
    <t>WESTERN</t>
  </si>
  <si>
    <t>ASHANTI</t>
  </si>
  <si>
    <t>EASTERN</t>
  </si>
  <si>
    <t>SAVANNAH</t>
  </si>
  <si>
    <t>UPPER EAST</t>
  </si>
  <si>
    <t>KOTOKA INTERNATIONAL AIRPORT (KIA)</t>
  </si>
  <si>
    <t xml:space="preserve">SPINTEX </t>
  </si>
  <si>
    <r>
      <t xml:space="preserve">UNIT: </t>
    </r>
    <r>
      <rPr>
        <b/>
        <i/>
        <sz val="22"/>
        <color theme="1"/>
        <rFont val="Times New Roman"/>
        <family val="1"/>
      </rPr>
      <t>CUBIC METERS</t>
    </r>
  </si>
  <si>
    <r>
      <t xml:space="preserve">UNIT: </t>
    </r>
    <r>
      <rPr>
        <b/>
        <i/>
        <sz val="22"/>
        <color theme="1"/>
        <rFont val="Times New Roman"/>
        <family val="1"/>
      </rPr>
      <t>METRIC TONNES</t>
    </r>
  </si>
  <si>
    <t>AKWAABA OIL REFINERY</t>
  </si>
  <si>
    <t>WOODFIELDS ENERGY RESOURCES LTD</t>
  </si>
  <si>
    <t xml:space="preserve">TOTAL STORAGE CAPACITY </t>
  </si>
  <si>
    <t>**BLUE OCEAN INVESTMENT</t>
  </si>
  <si>
    <t>**JUHI DEPOT</t>
  </si>
  <si>
    <t>*BOST DEPOT (MAMI WATER)</t>
  </si>
  <si>
    <t>** Marketing Tank</t>
  </si>
  <si>
    <t>* Non-operational</t>
  </si>
  <si>
    <t>*UNITED STORAGE COMPANY (USC)</t>
  </si>
  <si>
    <t>QUANTUM LPG LOGISTICS (QLLL)</t>
  </si>
  <si>
    <t>MATRIX GAS (GHANA) LIMITED</t>
  </si>
  <si>
    <t>TEMA OIL TERMINAL</t>
  </si>
  <si>
    <t xml:space="preserve">**PWSL </t>
  </si>
  <si>
    <t xml:space="preserve">*PWSL (SAHARA) </t>
  </si>
  <si>
    <t>GHANA NATIONAL GAS COMPANY (GNGC)</t>
  </si>
  <si>
    <t>* Not Operational</t>
  </si>
  <si>
    <t>PLATON GAS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</si>
</sst>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67" formatCode="_-* #,##0.0000_-;\-* #,##0.0000_-;_-* &quot;-&quot;??_-;_-@_-"/>
    <numFmt numFmtId="168" formatCode="0.0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Bookman Old Style"/>
      <family val="1"/>
    </font>
    <font>
      <b/>
      <sz val="14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18"/>
      <color theme="1"/>
      <name val="Bookman Old Style"/>
      <family val="1"/>
    </font>
    <font>
      <sz val="14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Bookman Old Style"/>
      <family val="1"/>
    </font>
    <font>
      <sz val="20"/>
      <color theme="1"/>
      <name val="Times New Roman"/>
      <family val="1"/>
    </font>
    <font>
      <b/>
      <sz val="24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20"/>
      <color theme="1"/>
      <name val="Times New Roman"/>
      <family val="1"/>
    </font>
    <font>
      <sz val="24"/>
      <color theme="1"/>
      <name val="Times New Roman"/>
      <family val="1"/>
    </font>
    <font>
      <sz val="24"/>
      <color rgb="FFFF0000"/>
      <name val="Times New Roman"/>
      <family val="1"/>
    </font>
    <font>
      <sz val="24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22"/>
      <color theme="1"/>
      <name val="Times New Roman"/>
      <family val="1"/>
    </font>
    <font>
      <sz val="20"/>
      <name val="Times New Roman"/>
      <family val="1"/>
    </font>
    <font>
      <sz val="1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4"/>
      <name val="Times New Roman"/>
      <family val="1"/>
    </font>
    <font>
      <b/>
      <i/>
      <sz val="22"/>
      <color theme="1"/>
      <name val="Times New Roman"/>
      <family val="1"/>
    </font>
    <font>
      <sz val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5">
    <xf numFmtId="0" fontId="0" fillId="0" borderId="0" xfId="0"/>
    <xf numFmtId="0" fontId="4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165" fontId="5" fillId="0" borderId="13" xfId="1" applyNumberFormat="1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center"/>
    </xf>
    <xf numFmtId="165" fontId="6" fillId="0" borderId="15" xfId="1" applyNumberFormat="1" applyFont="1" applyFill="1" applyBorder="1" applyAlignment="1"/>
    <xf numFmtId="165" fontId="6" fillId="0" borderId="16" xfId="1" applyNumberFormat="1" applyFont="1" applyFill="1" applyBorder="1" applyAlignment="1"/>
    <xf numFmtId="0" fontId="5" fillId="0" borderId="17" xfId="0" applyFont="1" applyFill="1" applyBorder="1" applyAlignment="1">
      <alignment horizontal="center"/>
    </xf>
    <xf numFmtId="165" fontId="6" fillId="0" borderId="18" xfId="1" applyNumberFormat="1" applyFont="1" applyFill="1" applyBorder="1"/>
    <xf numFmtId="165" fontId="6" fillId="0" borderId="19" xfId="1" applyNumberFormat="1" applyFont="1" applyFill="1" applyBorder="1"/>
    <xf numFmtId="165" fontId="8" fillId="0" borderId="19" xfId="1" applyNumberFormat="1" applyFont="1" applyFill="1" applyBorder="1"/>
    <xf numFmtId="0" fontId="5" fillId="0" borderId="20" xfId="0" applyFont="1" applyFill="1" applyBorder="1" applyAlignment="1">
      <alignment horizontal="center"/>
    </xf>
    <xf numFmtId="165" fontId="6" fillId="0" borderId="21" xfId="1" applyNumberFormat="1" applyFont="1" applyFill="1" applyBorder="1"/>
    <xf numFmtId="165" fontId="6" fillId="0" borderId="22" xfId="1" applyNumberFormat="1" applyFont="1" applyFill="1" applyBorder="1"/>
    <xf numFmtId="165" fontId="6" fillId="0" borderId="23" xfId="1" applyNumberFormat="1" applyFont="1" applyFill="1" applyBorder="1"/>
    <xf numFmtId="0" fontId="5" fillId="0" borderId="8" xfId="0" applyFont="1" applyFill="1" applyBorder="1" applyAlignment="1">
      <alignment horizontal="left" vertical="center" wrapText="1"/>
    </xf>
    <xf numFmtId="165" fontId="6" fillId="0" borderId="25" xfId="1" applyNumberFormat="1" applyFont="1" applyFill="1" applyBorder="1" applyAlignment="1"/>
    <xf numFmtId="165" fontId="8" fillId="0" borderId="26" xfId="1" applyNumberFormat="1" applyFont="1" applyFill="1" applyBorder="1"/>
    <xf numFmtId="165" fontId="6" fillId="0" borderId="26" xfId="1" applyNumberFormat="1" applyFont="1" applyFill="1" applyBorder="1"/>
    <xf numFmtId="165" fontId="6" fillId="0" borderId="27" xfId="1" applyNumberFormat="1" applyFont="1" applyFill="1" applyBorder="1"/>
    <xf numFmtId="165" fontId="7" fillId="0" borderId="29" xfId="1" applyNumberFormat="1" applyFont="1" applyFill="1" applyBorder="1" applyAlignment="1"/>
    <xf numFmtId="165" fontId="6" fillId="0" borderId="30" xfId="1" applyNumberFormat="1" applyFont="1" applyFill="1" applyBorder="1"/>
    <xf numFmtId="165" fontId="6" fillId="0" borderId="31" xfId="1" applyNumberFormat="1" applyFont="1" applyFill="1" applyBorder="1"/>
    <xf numFmtId="0" fontId="5" fillId="0" borderId="3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165" fontId="6" fillId="0" borderId="29" xfId="1" applyNumberFormat="1" applyFont="1" applyFill="1" applyBorder="1" applyAlignment="1">
      <alignment horizontal="center" wrapText="1"/>
    </xf>
    <xf numFmtId="165" fontId="5" fillId="0" borderId="33" xfId="1" applyNumberFormat="1" applyFont="1" applyFill="1" applyBorder="1" applyAlignment="1">
      <alignment horizontal="center" wrapText="1"/>
    </xf>
    <xf numFmtId="165" fontId="6" fillId="0" borderId="34" xfId="1" applyNumberFormat="1" applyFont="1" applyFill="1" applyBorder="1" applyAlignment="1"/>
    <xf numFmtId="165" fontId="8" fillId="0" borderId="35" xfId="1" applyNumberFormat="1" applyFont="1" applyFill="1" applyBorder="1"/>
    <xf numFmtId="165" fontId="6" fillId="0" borderId="35" xfId="1" applyNumberFormat="1" applyFont="1" applyFill="1" applyBorder="1"/>
    <xf numFmtId="165" fontId="6" fillId="0" borderId="5" xfId="1" applyNumberFormat="1" applyFont="1" applyFill="1" applyBorder="1"/>
    <xf numFmtId="0" fontId="5" fillId="0" borderId="2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wrapText="1"/>
    </xf>
    <xf numFmtId="165" fontId="5" fillId="0" borderId="15" xfId="1" applyNumberFormat="1" applyFont="1" applyFill="1" applyBorder="1" applyAlignment="1">
      <alignment horizontal="center" wrapText="1"/>
    </xf>
    <xf numFmtId="165" fontId="6" fillId="0" borderId="15" xfId="1" applyNumberFormat="1" applyFont="1" applyFill="1" applyBorder="1" applyAlignment="1">
      <alignment horizontal="center" wrapText="1"/>
    </xf>
    <xf numFmtId="165" fontId="5" fillId="0" borderId="25" xfId="1" applyNumberFormat="1" applyFont="1" applyFill="1" applyBorder="1" applyAlignment="1">
      <alignment horizontal="center" wrapText="1"/>
    </xf>
    <xf numFmtId="0" fontId="5" fillId="0" borderId="29" xfId="0" applyFont="1" applyFill="1" applyBorder="1" applyAlignment="1">
      <alignment horizontal="left"/>
    </xf>
    <xf numFmtId="0" fontId="5" fillId="0" borderId="30" xfId="0" applyFont="1" applyFill="1" applyBorder="1" applyAlignment="1">
      <alignment horizontal="left"/>
    </xf>
    <xf numFmtId="0" fontId="5" fillId="0" borderId="36" xfId="0" applyFont="1" applyFill="1" applyBorder="1" applyAlignment="1">
      <alignment horizontal="left"/>
    </xf>
    <xf numFmtId="0" fontId="6" fillId="0" borderId="28" xfId="0" applyFont="1" applyBorder="1"/>
    <xf numFmtId="0" fontId="6" fillId="0" borderId="30" xfId="0" applyFont="1" applyBorder="1"/>
    <xf numFmtId="0" fontId="6" fillId="0" borderId="36" xfId="0" applyFont="1" applyBorder="1"/>
    <xf numFmtId="0" fontId="5" fillId="2" borderId="24" xfId="0" applyFont="1" applyFill="1" applyBorder="1" applyAlignment="1">
      <alignment horizontal="center"/>
    </xf>
    <xf numFmtId="0" fontId="5" fillId="2" borderId="12" xfId="0" applyFont="1" applyFill="1" applyBorder="1"/>
    <xf numFmtId="0" fontId="5" fillId="0" borderId="0" xfId="0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/>
    <xf numFmtId="0" fontId="5" fillId="0" borderId="18" xfId="0" applyFont="1" applyFill="1" applyBorder="1" applyAlignment="1">
      <alignment horizontal="center"/>
    </xf>
    <xf numFmtId="2" fontId="6" fillId="0" borderId="18" xfId="1" applyNumberFormat="1" applyFont="1" applyFill="1" applyBorder="1"/>
    <xf numFmtId="165" fontId="5" fillId="0" borderId="18" xfId="1" applyNumberFormat="1" applyFont="1" applyFill="1" applyBorder="1"/>
    <xf numFmtId="0" fontId="5" fillId="2" borderId="8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center" wrapText="1"/>
    </xf>
    <xf numFmtId="165" fontId="6" fillId="0" borderId="18" xfId="1" applyNumberFormat="1" applyFont="1" applyFill="1" applyBorder="1" applyAlignment="1">
      <alignment horizontal="center" wrapText="1"/>
    </xf>
    <xf numFmtId="165" fontId="6" fillId="0" borderId="22" xfId="1" applyNumberFormat="1" applyFont="1" applyFill="1" applyBorder="1" applyAlignment="1">
      <alignment horizontal="center" wrapText="1"/>
    </xf>
    <xf numFmtId="165" fontId="6" fillId="0" borderId="37" xfId="1" applyNumberFormat="1" applyFont="1" applyFill="1" applyBorder="1" applyAlignment="1"/>
    <xf numFmtId="165" fontId="6" fillId="0" borderId="38" xfId="1" applyNumberFormat="1" applyFont="1" applyFill="1" applyBorder="1"/>
    <xf numFmtId="0" fontId="5" fillId="0" borderId="28" xfId="0" applyFont="1" applyFill="1" applyBorder="1" applyAlignment="1">
      <alignment horizontal="center" wrapText="1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65" fontId="5" fillId="0" borderId="24" xfId="0" applyNumberFormat="1" applyFont="1" applyBorder="1"/>
    <xf numFmtId="0" fontId="5" fillId="0" borderId="24" xfId="0" applyFont="1" applyFill="1" applyBorder="1" applyAlignment="1">
      <alignment horizontal="center"/>
    </xf>
    <xf numFmtId="165" fontId="9" fillId="3" borderId="28" xfId="0" applyNumberFormat="1" applyFont="1" applyFill="1" applyBorder="1"/>
    <xf numFmtId="165" fontId="9" fillId="3" borderId="30" xfId="0" applyNumberFormat="1" applyFont="1" applyFill="1" applyBorder="1"/>
    <xf numFmtId="165" fontId="5" fillId="3" borderId="24" xfId="0" applyNumberFormat="1" applyFont="1" applyFill="1" applyBorder="1"/>
    <xf numFmtId="0" fontId="4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2" borderId="7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/>
    <xf numFmtId="165" fontId="6" fillId="0" borderId="40" xfId="1" applyNumberFormat="1" applyFont="1" applyFill="1" applyBorder="1" applyAlignment="1"/>
    <xf numFmtId="165" fontId="6" fillId="0" borderId="17" xfId="1" applyNumberFormat="1" applyFont="1" applyFill="1" applyBorder="1"/>
    <xf numFmtId="165" fontId="6" fillId="0" borderId="41" xfId="1" applyNumberFormat="1" applyFont="1" applyFill="1" applyBorder="1"/>
    <xf numFmtId="165" fontId="6" fillId="0" borderId="42" xfId="1" applyNumberFormat="1" applyFont="1" applyFill="1" applyBorder="1"/>
    <xf numFmtId="165" fontId="6" fillId="0" borderId="43" xfId="1" applyNumberFormat="1" applyFont="1" applyFill="1" applyBorder="1"/>
    <xf numFmtId="165" fontId="6" fillId="0" borderId="19" xfId="1" applyNumberFormat="1" applyFont="1" applyFill="1" applyBorder="1" applyAlignment="1">
      <alignment horizontal="center" wrapText="1"/>
    </xf>
    <xf numFmtId="165" fontId="6" fillId="0" borderId="44" xfId="1" applyNumberFormat="1" applyFont="1" applyFill="1" applyBorder="1"/>
    <xf numFmtId="165" fontId="6" fillId="0" borderId="45" xfId="1" applyNumberFormat="1" applyFont="1" applyFill="1" applyBorder="1" applyAlignment="1">
      <alignment horizontal="center" wrapText="1"/>
    </xf>
    <xf numFmtId="165" fontId="6" fillId="0" borderId="16" xfId="1" applyNumberFormat="1" applyFont="1" applyFill="1" applyBorder="1" applyAlignment="1">
      <alignment horizontal="center" wrapText="1"/>
    </xf>
    <xf numFmtId="165" fontId="5" fillId="0" borderId="14" xfId="1" applyNumberFormat="1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 wrapText="1"/>
    </xf>
    <xf numFmtId="165" fontId="0" fillId="0" borderId="0" xfId="0" applyNumberFormat="1"/>
    <xf numFmtId="164" fontId="6" fillId="0" borderId="18" xfId="1" applyFont="1" applyBorder="1"/>
    <xf numFmtId="9" fontId="0" fillId="0" borderId="0" xfId="2" applyFont="1"/>
    <xf numFmtId="164" fontId="6" fillId="0" borderId="15" xfId="1" applyFont="1" applyBorder="1"/>
    <xf numFmtId="0" fontId="5" fillId="4" borderId="8" xfId="0" applyFont="1" applyFill="1" applyBorder="1"/>
    <xf numFmtId="0" fontId="5" fillId="4" borderId="8" xfId="0" applyFont="1" applyFill="1" applyBorder="1" applyAlignment="1">
      <alignment wrapText="1"/>
    </xf>
    <xf numFmtId="0" fontId="5" fillId="4" borderId="32" xfId="0" applyFont="1" applyFill="1" applyBorder="1" applyAlignment="1">
      <alignment wrapText="1"/>
    </xf>
    <xf numFmtId="0" fontId="5" fillId="4" borderId="49" xfId="0" applyFont="1" applyFill="1" applyBorder="1" applyAlignment="1">
      <alignment wrapText="1"/>
    </xf>
    <xf numFmtId="164" fontId="6" fillId="0" borderId="37" xfId="1" applyFont="1" applyBorder="1"/>
    <xf numFmtId="164" fontId="6" fillId="0" borderId="38" xfId="1" applyFont="1" applyBorder="1"/>
    <xf numFmtId="0" fontId="5" fillId="0" borderId="28" xfId="0" applyFont="1" applyBorder="1"/>
    <xf numFmtId="0" fontId="5" fillId="0" borderId="30" xfId="0" applyFont="1" applyBorder="1"/>
    <xf numFmtId="0" fontId="5" fillId="0" borderId="50" xfId="0" applyFont="1" applyBorder="1"/>
    <xf numFmtId="164" fontId="6" fillId="0" borderId="51" xfId="1" applyFont="1" applyBorder="1"/>
    <xf numFmtId="164" fontId="6" fillId="0" borderId="46" xfId="1" applyFont="1" applyBorder="1"/>
    <xf numFmtId="0" fontId="5" fillId="0" borderId="24" xfId="0" applyFont="1" applyBorder="1"/>
    <xf numFmtId="164" fontId="5" fillId="0" borderId="49" xfId="1" applyFont="1" applyBorder="1"/>
    <xf numFmtId="164" fontId="5" fillId="0" borderId="8" xfId="1" applyFont="1" applyBorder="1"/>
    <xf numFmtId="164" fontId="6" fillId="0" borderId="25" xfId="1" applyFont="1" applyBorder="1"/>
    <xf numFmtId="164" fontId="6" fillId="0" borderId="26" xfId="1" applyFont="1" applyBorder="1"/>
    <xf numFmtId="164" fontId="6" fillId="0" borderId="52" xfId="1" applyFont="1" applyBorder="1"/>
    <xf numFmtId="164" fontId="5" fillId="0" borderId="32" xfId="1" applyFont="1" applyBorder="1"/>
    <xf numFmtId="164" fontId="5" fillId="0" borderId="24" xfId="1" applyFont="1" applyBorder="1"/>
    <xf numFmtId="164" fontId="5" fillId="0" borderId="29" xfId="1" applyFont="1" applyBorder="1"/>
    <xf numFmtId="164" fontId="5" fillId="0" borderId="30" xfId="1" applyFont="1" applyBorder="1"/>
    <xf numFmtId="164" fontId="5" fillId="0" borderId="50" xfId="1" applyFont="1" applyBorder="1"/>
    <xf numFmtId="0" fontId="5" fillId="0" borderId="11" xfId="0" applyFont="1" applyFill="1" applyBorder="1" applyAlignment="1">
      <alignment horizontal="center" vertical="center" wrapText="1"/>
    </xf>
    <xf numFmtId="164" fontId="6" fillId="0" borderId="53" xfId="1" applyFont="1" applyBorder="1"/>
    <xf numFmtId="164" fontId="6" fillId="0" borderId="41" xfId="1" applyFont="1" applyBorder="1"/>
    <xf numFmtId="164" fontId="6" fillId="0" borderId="43" xfId="1" applyFont="1" applyBorder="1"/>
    <xf numFmtId="164" fontId="5" fillId="0" borderId="12" xfId="0" applyNumberFormat="1" applyFont="1" applyBorder="1"/>
    <xf numFmtId="0" fontId="5" fillId="0" borderId="24" xfId="0" applyFont="1" applyFill="1" applyBorder="1"/>
    <xf numFmtId="0" fontId="5" fillId="5" borderId="24" xfId="0" applyFont="1" applyFill="1" applyBorder="1"/>
    <xf numFmtId="0" fontId="5" fillId="5" borderId="12" xfId="0" applyFont="1" applyFill="1" applyBorder="1"/>
    <xf numFmtId="0" fontId="5" fillId="0" borderId="5" xfId="0" applyFont="1" applyFill="1" applyBorder="1" applyAlignment="1">
      <alignment horizontal="left" vertical="center" wrapText="1"/>
    </xf>
    <xf numFmtId="165" fontId="6" fillId="0" borderId="34" xfId="1" applyNumberFormat="1" applyFont="1" applyFill="1" applyBorder="1" applyAlignment="1">
      <alignment horizontal="center" wrapText="1"/>
    </xf>
    <xf numFmtId="165" fontId="7" fillId="0" borderId="34" xfId="1" applyNumberFormat="1" applyFont="1" applyFill="1" applyBorder="1" applyAlignment="1"/>
    <xf numFmtId="165" fontId="6" fillId="0" borderId="54" xfId="1" applyNumberFormat="1" applyFont="1" applyFill="1" applyBorder="1"/>
    <xf numFmtId="165" fontId="6" fillId="0" borderId="0" xfId="1" applyNumberFormat="1" applyFont="1" applyFill="1" applyBorder="1" applyAlignment="1"/>
    <xf numFmtId="0" fontId="5" fillId="0" borderId="11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left" vertical="center" wrapText="1"/>
    </xf>
    <xf numFmtId="165" fontId="5" fillId="0" borderId="31" xfId="0" applyNumberFormat="1" applyFont="1" applyBorder="1"/>
    <xf numFmtId="165" fontId="5" fillId="0" borderId="18" xfId="1" applyNumberFormat="1" applyFont="1" applyFill="1" applyBorder="1" applyAlignment="1">
      <alignment horizontal="center" wrapText="1"/>
    </xf>
    <xf numFmtId="165" fontId="6" fillId="0" borderId="18" xfId="1" applyNumberFormat="1" applyFont="1" applyFill="1" applyBorder="1" applyAlignment="1"/>
    <xf numFmtId="0" fontId="0" fillId="0" borderId="0" xfId="0" applyBorder="1"/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2" fillId="5" borderId="55" xfId="0" applyFont="1" applyFill="1" applyBorder="1" applyAlignment="1">
      <alignment horizontal="center" wrapText="1"/>
    </xf>
    <xf numFmtId="165" fontId="12" fillId="5" borderId="56" xfId="1" applyNumberFormat="1" applyFont="1" applyFill="1" applyBorder="1" applyAlignment="1">
      <alignment horizontal="center" wrapText="1"/>
    </xf>
    <xf numFmtId="165" fontId="0" fillId="5" borderId="57" xfId="1" applyNumberFormat="1" applyFont="1" applyFill="1" applyBorder="1" applyAlignment="1">
      <alignment horizontal="center" wrapText="1"/>
    </xf>
    <xf numFmtId="165" fontId="2" fillId="5" borderId="13" xfId="1" applyNumberFormat="1" applyFont="1" applyFill="1" applyBorder="1" applyAlignment="1">
      <alignment horizontal="center" wrapText="1"/>
    </xf>
    <xf numFmtId="165" fontId="12" fillId="5" borderId="14" xfId="1" applyNumberFormat="1" applyFont="1" applyFill="1" applyBorder="1" applyAlignment="1">
      <alignment horizontal="center" wrapText="1"/>
    </xf>
    <xf numFmtId="165" fontId="12" fillId="5" borderId="15" xfId="1" applyNumberFormat="1" applyFont="1" applyFill="1" applyBorder="1" applyAlignment="1">
      <alignment horizontal="center" wrapText="1"/>
    </xf>
    <xf numFmtId="165" fontId="2" fillId="5" borderId="25" xfId="1" applyNumberFormat="1" applyFont="1" applyFill="1" applyBorder="1" applyAlignment="1">
      <alignment horizontal="center" wrapText="1"/>
    </xf>
    <xf numFmtId="165" fontId="2" fillId="5" borderId="15" xfId="1" applyNumberFormat="1" applyFont="1" applyFill="1" applyBorder="1" applyAlignment="1">
      <alignment horizontal="center" wrapText="1"/>
    </xf>
    <xf numFmtId="165" fontId="2" fillId="5" borderId="16" xfId="1" applyNumberFormat="1" applyFont="1" applyFill="1" applyBorder="1" applyAlignment="1">
      <alignment horizontal="center" wrapText="1"/>
    </xf>
    <xf numFmtId="165" fontId="12" fillId="5" borderId="53" xfId="1" applyNumberFormat="1" applyFont="1" applyFill="1" applyBorder="1" applyAlignment="1">
      <alignment horizontal="center" wrapText="1"/>
    </xf>
    <xf numFmtId="0" fontId="12" fillId="5" borderId="58" xfId="0" applyFont="1" applyFill="1" applyBorder="1" applyAlignment="1">
      <alignment horizontal="center"/>
    </xf>
    <xf numFmtId="165" fontId="0" fillId="5" borderId="14" xfId="1" applyNumberFormat="1" applyFont="1" applyFill="1" applyBorder="1" applyAlignment="1"/>
    <xf numFmtId="165" fontId="0" fillId="5" borderId="15" xfId="1" applyNumberFormat="1" applyFont="1" applyFill="1" applyBorder="1" applyAlignment="1"/>
    <xf numFmtId="165" fontId="17" fillId="5" borderId="16" xfId="1" applyNumberFormat="1" applyFont="1" applyFill="1" applyBorder="1" applyAlignment="1"/>
    <xf numFmtId="165" fontId="17" fillId="5" borderId="26" xfId="1" applyNumberFormat="1" applyFont="1" applyFill="1" applyBorder="1" applyAlignment="1"/>
    <xf numFmtId="165" fontId="17" fillId="5" borderId="25" xfId="1" applyNumberFormat="1" applyFont="1" applyFill="1" applyBorder="1" applyAlignment="1"/>
    <xf numFmtId="165" fontId="2" fillId="5" borderId="18" xfId="1" applyNumberFormat="1" applyFont="1" applyFill="1" applyBorder="1" applyAlignment="1">
      <alignment horizontal="center" wrapText="1"/>
    </xf>
    <xf numFmtId="165" fontId="12" fillId="5" borderId="41" xfId="1" applyNumberFormat="1" applyFont="1" applyFill="1" applyBorder="1" applyAlignment="1">
      <alignment horizontal="center" wrapText="1"/>
    </xf>
    <xf numFmtId="0" fontId="12" fillId="5" borderId="59" xfId="0" applyFont="1" applyFill="1" applyBorder="1" applyAlignment="1">
      <alignment horizontal="center"/>
    </xf>
    <xf numFmtId="165" fontId="0" fillId="5" borderId="17" xfId="1" applyNumberFormat="1" applyFont="1" applyFill="1" applyBorder="1"/>
    <xf numFmtId="165" fontId="0" fillId="5" borderId="18" xfId="1" applyNumberFormat="1" applyFont="1" applyFill="1" applyBorder="1"/>
    <xf numFmtId="165" fontId="0" fillId="5" borderId="16" xfId="1" applyNumberFormat="1" applyFont="1" applyFill="1" applyBorder="1"/>
    <xf numFmtId="165" fontId="2" fillId="5" borderId="18" xfId="1" applyNumberFormat="1" applyFont="1" applyFill="1" applyBorder="1"/>
    <xf numFmtId="165" fontId="0" fillId="5" borderId="26" xfId="1" applyNumberFormat="1" applyFont="1" applyFill="1" applyBorder="1"/>
    <xf numFmtId="164" fontId="17" fillId="5" borderId="25" xfId="1" applyNumberFormat="1" applyFont="1" applyFill="1" applyBorder="1" applyAlignment="1"/>
    <xf numFmtId="165" fontId="0" fillId="5" borderId="25" xfId="1" applyNumberFormat="1" applyFont="1" applyFill="1" applyBorder="1"/>
    <xf numFmtId="165" fontId="0" fillId="5" borderId="60" xfId="1" applyNumberFormat="1" applyFont="1" applyFill="1" applyBorder="1"/>
    <xf numFmtId="165" fontId="0" fillId="5" borderId="52" xfId="1" applyNumberFormat="1" applyFont="1" applyFill="1" applyBorder="1"/>
    <xf numFmtId="165" fontId="0" fillId="5" borderId="61" xfId="1" applyNumberFormat="1" applyFont="1" applyFill="1" applyBorder="1"/>
    <xf numFmtId="0" fontId="12" fillId="5" borderId="62" xfId="0" applyFont="1" applyFill="1" applyBorder="1" applyAlignment="1">
      <alignment horizontal="center"/>
    </xf>
    <xf numFmtId="164" fontId="0" fillId="5" borderId="42" xfId="1" applyFont="1" applyFill="1" applyBorder="1"/>
    <xf numFmtId="164" fontId="0" fillId="5" borderId="22" xfId="1" applyFont="1" applyFill="1" applyBorder="1"/>
    <xf numFmtId="165" fontId="0" fillId="5" borderId="45" xfId="1" applyNumberFormat="1" applyFont="1" applyFill="1" applyBorder="1"/>
    <xf numFmtId="165" fontId="0" fillId="5" borderId="63" xfId="1" applyNumberFormat="1" applyFont="1" applyFill="1" applyBorder="1"/>
    <xf numFmtId="165" fontId="2" fillId="5" borderId="22" xfId="1" applyNumberFormat="1" applyFont="1" applyFill="1" applyBorder="1" applyAlignment="1">
      <alignment horizontal="center" wrapText="1"/>
    </xf>
    <xf numFmtId="165" fontId="12" fillId="5" borderId="43" xfId="1" applyNumberFormat="1" applyFont="1" applyFill="1" applyBorder="1" applyAlignment="1">
      <alignment horizontal="center" wrapText="1"/>
    </xf>
    <xf numFmtId="0" fontId="0" fillId="0" borderId="18" xfId="0" applyBorder="1"/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/>
    </xf>
    <xf numFmtId="165" fontId="21" fillId="0" borderId="17" xfId="1" applyNumberFormat="1" applyFont="1" applyFill="1" applyBorder="1" applyAlignment="1"/>
    <xf numFmtId="165" fontId="21" fillId="0" borderId="18" xfId="1" applyNumberFormat="1" applyFont="1" applyFill="1" applyBorder="1" applyAlignment="1"/>
    <xf numFmtId="165" fontId="21" fillId="0" borderId="19" xfId="1" applyNumberFormat="1" applyFont="1" applyFill="1" applyBorder="1" applyAlignment="1"/>
    <xf numFmtId="0" fontId="20" fillId="0" borderId="59" xfId="0" applyFont="1" applyFill="1" applyBorder="1" applyAlignment="1">
      <alignment horizontal="center"/>
    </xf>
    <xf numFmtId="165" fontId="21" fillId="0" borderId="17" xfId="1" applyNumberFormat="1" applyFont="1" applyFill="1" applyBorder="1"/>
    <xf numFmtId="165" fontId="21" fillId="0" borderId="18" xfId="1" applyNumberFormat="1" applyFont="1" applyFill="1" applyBorder="1"/>
    <xf numFmtId="165" fontId="21" fillId="0" borderId="19" xfId="1" applyNumberFormat="1" applyFont="1" applyFill="1" applyBorder="1"/>
    <xf numFmtId="0" fontId="20" fillId="0" borderId="62" xfId="0" applyFont="1" applyFill="1" applyBorder="1" applyAlignment="1">
      <alignment horizontal="center"/>
    </xf>
    <xf numFmtId="164" fontId="21" fillId="0" borderId="42" xfId="1" applyFont="1" applyFill="1" applyBorder="1"/>
    <xf numFmtId="164" fontId="21" fillId="0" borderId="22" xfId="1" applyFont="1" applyFill="1" applyBorder="1"/>
    <xf numFmtId="164" fontId="21" fillId="0" borderId="45" xfId="1" applyFont="1" applyFill="1" applyBorder="1"/>
    <xf numFmtId="0" fontId="20" fillId="0" borderId="55" xfId="0" applyFont="1" applyFill="1" applyBorder="1" applyAlignment="1">
      <alignment horizontal="center" wrapText="1"/>
    </xf>
    <xf numFmtId="165" fontId="20" fillId="0" borderId="56" xfId="1" applyNumberFormat="1" applyFont="1" applyFill="1" applyBorder="1" applyAlignment="1">
      <alignment horizontal="center" wrapText="1"/>
    </xf>
    <xf numFmtId="165" fontId="21" fillId="0" borderId="57" xfId="1" applyNumberFormat="1" applyFont="1" applyFill="1" applyBorder="1" applyAlignment="1">
      <alignment horizontal="center" wrapText="1"/>
    </xf>
    <xf numFmtId="165" fontId="21" fillId="0" borderId="13" xfId="1" applyNumberFormat="1" applyFont="1" applyFill="1" applyBorder="1" applyAlignment="1">
      <alignment horizontal="center" wrapText="1"/>
    </xf>
    <xf numFmtId="165" fontId="20" fillId="0" borderId="57" xfId="1" applyNumberFormat="1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 wrapText="1"/>
    </xf>
    <xf numFmtId="164" fontId="20" fillId="0" borderId="7" xfId="1" applyFont="1" applyFill="1" applyBorder="1"/>
    <xf numFmtId="164" fontId="20" fillId="0" borderId="24" xfId="1" applyFont="1" applyFill="1" applyBorder="1"/>
    <xf numFmtId="164" fontId="23" fillId="0" borderId="45" xfId="1" applyFont="1" applyBorder="1"/>
    <xf numFmtId="0" fontId="10" fillId="0" borderId="28" xfId="0" applyFont="1" applyBorder="1"/>
    <xf numFmtId="0" fontId="10" fillId="0" borderId="36" xfId="0" applyFont="1" applyBorder="1"/>
    <xf numFmtId="0" fontId="10" fillId="0" borderId="1" xfId="0" applyFont="1" applyBorder="1" applyAlignment="1">
      <alignment horizontal="center"/>
    </xf>
    <xf numFmtId="164" fontId="23" fillId="0" borderId="16" xfId="1" applyFont="1" applyBorder="1"/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3" fontId="0" fillId="0" borderId="0" xfId="0" applyNumberFormat="1"/>
    <xf numFmtId="0" fontId="21" fillId="0" borderId="0" xfId="0" applyFont="1" applyFill="1"/>
    <xf numFmtId="0" fontId="21" fillId="0" borderId="18" xfId="0" applyFont="1" applyFill="1" applyBorder="1" applyAlignment="1">
      <alignment vertical="top" wrapText="1"/>
    </xf>
    <xf numFmtId="3" fontId="21" fillId="0" borderId="18" xfId="0" applyNumberFormat="1" applyFont="1" applyFill="1" applyBorder="1" applyAlignment="1">
      <alignment vertical="top" wrapText="1"/>
    </xf>
    <xf numFmtId="3" fontId="26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top" wrapText="1"/>
    </xf>
    <xf numFmtId="3" fontId="20" fillId="0" borderId="18" xfId="0" applyNumberFormat="1" applyFont="1" applyFill="1" applyBorder="1" applyAlignment="1">
      <alignment vertical="top" wrapText="1"/>
    </xf>
    <xf numFmtId="0" fontId="21" fillId="0" borderId="15" xfId="0" applyFont="1" applyFill="1" applyBorder="1" applyAlignment="1">
      <alignment vertical="top" wrapText="1"/>
    </xf>
    <xf numFmtId="3" fontId="21" fillId="0" borderId="15" xfId="0" applyNumberFormat="1" applyFont="1" applyFill="1" applyBorder="1" applyAlignment="1">
      <alignment vertical="top" wrapText="1"/>
    </xf>
    <xf numFmtId="0" fontId="20" fillId="5" borderId="7" xfId="0" applyFont="1" applyFill="1" applyBorder="1" applyAlignment="1">
      <alignment horizontal="left" wrapText="1"/>
    </xf>
    <xf numFmtId="0" fontId="20" fillId="5" borderId="8" xfId="0" applyFont="1" applyFill="1" applyBorder="1" applyAlignment="1">
      <alignment horizontal="left" wrapText="1"/>
    </xf>
    <xf numFmtId="0" fontId="20" fillId="5" borderId="9" xfId="0" applyFont="1" applyFill="1" applyBorder="1" applyAlignment="1">
      <alignment horizontal="left" wrapText="1"/>
    </xf>
    <xf numFmtId="0" fontId="21" fillId="0" borderId="15" xfId="0" applyFont="1" applyFill="1" applyBorder="1" applyAlignment="1">
      <alignment horizontal="right" vertical="top" wrapText="1"/>
    </xf>
    <xf numFmtId="3" fontId="21" fillId="0" borderId="15" xfId="0" applyNumberFormat="1" applyFont="1" applyFill="1" applyBorder="1" applyAlignment="1">
      <alignment horizontal="right" vertical="top" wrapText="1"/>
    </xf>
    <xf numFmtId="0" fontId="21" fillId="0" borderId="18" xfId="0" applyFont="1" applyFill="1" applyBorder="1" applyAlignment="1">
      <alignment horizontal="right" vertical="top" wrapText="1"/>
    </xf>
    <xf numFmtId="0" fontId="10" fillId="0" borderId="50" xfId="0" applyFont="1" applyBorder="1"/>
    <xf numFmtId="164" fontId="23" fillId="0" borderId="64" xfId="1" applyFont="1" applyBorder="1"/>
    <xf numFmtId="164" fontId="23" fillId="0" borderId="14" xfId="1" applyFont="1" applyBorder="1"/>
    <xf numFmtId="164" fontId="23" fillId="0" borderId="65" xfId="1" applyFont="1" applyBorder="1"/>
    <xf numFmtId="164" fontId="23" fillId="0" borderId="42" xfId="1" applyFont="1" applyBorder="1"/>
    <xf numFmtId="165" fontId="20" fillId="0" borderId="55" xfId="1" applyNumberFormat="1" applyFont="1" applyFill="1" applyBorder="1" applyAlignment="1">
      <alignment horizontal="center" wrapText="1"/>
    </xf>
    <xf numFmtId="165" fontId="20" fillId="0" borderId="59" xfId="1" applyNumberFormat="1" applyFont="1" applyFill="1" applyBorder="1" applyAlignment="1">
      <alignment horizontal="center" wrapText="1"/>
    </xf>
    <xf numFmtId="165" fontId="20" fillId="0" borderId="62" xfId="1" applyNumberFormat="1" applyFont="1" applyFill="1" applyBorder="1" applyAlignment="1">
      <alignment horizontal="center" wrapText="1"/>
    </xf>
    <xf numFmtId="164" fontId="20" fillId="0" borderId="10" xfId="1" applyFont="1" applyFill="1" applyBorder="1"/>
    <xf numFmtId="9" fontId="12" fillId="0" borderId="24" xfId="2" applyNumberFormat="1" applyFont="1" applyBorder="1"/>
    <xf numFmtId="10" fontId="12" fillId="0" borderId="28" xfId="2" applyNumberFormat="1" applyFont="1" applyBorder="1"/>
    <xf numFmtId="10" fontId="12" fillId="0" borderId="30" xfId="2" applyNumberFormat="1" applyFont="1" applyBorder="1"/>
    <xf numFmtId="10" fontId="12" fillId="0" borderId="36" xfId="2" applyNumberFormat="1" applyFont="1" applyBorder="1"/>
    <xf numFmtId="0" fontId="20" fillId="0" borderId="10" xfId="0" applyFont="1" applyFill="1" applyBorder="1" applyAlignment="1">
      <alignment horizontal="center"/>
    </xf>
    <xf numFmtId="165" fontId="0" fillId="0" borderId="0" xfId="1" applyNumberFormat="1" applyFont="1"/>
    <xf numFmtId="0" fontId="27" fillId="0" borderId="18" xfId="3" applyFont="1" applyFill="1" applyBorder="1" applyAlignment="1">
      <alignment horizontal="left" vertical="center"/>
    </xf>
    <xf numFmtId="165" fontId="34" fillId="0" borderId="18" xfId="4" applyNumberFormat="1" applyFont="1" applyFill="1" applyBorder="1" applyAlignment="1">
      <alignment horizontal="center" vertical="center"/>
    </xf>
    <xf numFmtId="165" fontId="34" fillId="0" borderId="18" xfId="3" applyNumberFormat="1" applyFont="1" applyFill="1" applyBorder="1"/>
    <xf numFmtId="165" fontId="36" fillId="0" borderId="18" xfId="4" applyNumberFormat="1" applyFont="1" applyFill="1" applyBorder="1"/>
    <xf numFmtId="0" fontId="30" fillId="0" borderId="0" xfId="3" applyFont="1" applyFill="1"/>
    <xf numFmtId="0" fontId="27" fillId="0" borderId="18" xfId="3" applyFont="1" applyFill="1" applyBorder="1" applyAlignment="1">
      <alignment horizontal="left" vertical="center" wrapText="1"/>
    </xf>
    <xf numFmtId="165" fontId="34" fillId="0" borderId="38" xfId="3" applyNumberFormat="1" applyFont="1" applyFill="1" applyBorder="1"/>
    <xf numFmtId="0" fontId="27" fillId="0" borderId="18" xfId="3" applyFont="1" applyFill="1" applyBorder="1" applyAlignment="1">
      <alignment horizontal="left"/>
    </xf>
    <xf numFmtId="0" fontId="31" fillId="0" borderId="0" xfId="3" applyFont="1" applyFill="1" applyBorder="1" applyAlignment="1">
      <alignment horizontal="left" vertical="center"/>
    </xf>
    <xf numFmtId="165" fontId="31" fillId="0" borderId="0" xfId="4" applyNumberFormat="1" applyFont="1" applyFill="1" applyBorder="1" applyAlignment="1">
      <alignment horizontal="center" vertical="center"/>
    </xf>
    <xf numFmtId="0" fontId="29" fillId="0" borderId="0" xfId="3" applyFont="1" applyFill="1"/>
    <xf numFmtId="0" fontId="32" fillId="0" borderId="0" xfId="3" applyFont="1" applyFill="1"/>
    <xf numFmtId="0" fontId="33" fillId="0" borderId="18" xfId="3" applyFont="1" applyFill="1" applyBorder="1" applyAlignment="1">
      <alignment horizontal="center"/>
    </xf>
    <xf numFmtId="165" fontId="33" fillId="0" borderId="18" xfId="4" applyNumberFormat="1" applyFont="1" applyFill="1" applyBorder="1" applyAlignment="1">
      <alignment horizontal="center"/>
    </xf>
    <xf numFmtId="0" fontId="33" fillId="0" borderId="18" xfId="3" applyFont="1" applyFill="1" applyBorder="1" applyAlignment="1">
      <alignment horizontal="center" wrapText="1"/>
    </xf>
    <xf numFmtId="165" fontId="28" fillId="0" borderId="18" xfId="4" applyNumberFormat="1" applyFont="1" applyFill="1" applyBorder="1" applyAlignment="1">
      <alignment horizontal="center" vertical="center"/>
    </xf>
    <xf numFmtId="0" fontId="37" fillId="0" borderId="0" xfId="3" applyFont="1" applyFill="1" applyBorder="1" applyAlignment="1">
      <alignment horizontal="left" vertical="center"/>
    </xf>
    <xf numFmtId="0" fontId="38" fillId="0" borderId="0" xfId="3" applyFont="1" applyFill="1" applyBorder="1" applyAlignment="1">
      <alignment horizontal="left" vertical="center"/>
    </xf>
    <xf numFmtId="165" fontId="38" fillId="0" borderId="0" xfId="4" applyNumberFormat="1" applyFont="1" applyFill="1" applyBorder="1" applyAlignment="1">
      <alignment horizontal="center" vertical="center"/>
    </xf>
    <xf numFmtId="0" fontId="39" fillId="0" borderId="0" xfId="3" applyFont="1" applyFill="1"/>
    <xf numFmtId="0" fontId="40" fillId="0" borderId="0" xfId="3" applyFont="1" applyFill="1"/>
    <xf numFmtId="0" fontId="41" fillId="0" borderId="0" xfId="3" applyFont="1" applyFill="1" applyBorder="1" applyAlignment="1">
      <alignment horizontal="center" vertical="center"/>
    </xf>
    <xf numFmtId="0" fontId="30" fillId="0" borderId="0" xfId="3" applyFont="1" applyFill="1" applyBorder="1"/>
    <xf numFmtId="165" fontId="42" fillId="0" borderId="0" xfId="4" applyNumberFormat="1" applyFont="1" applyFill="1" applyBorder="1" applyAlignment="1">
      <alignment horizontal="center" vertical="center"/>
    </xf>
    <xf numFmtId="0" fontId="45" fillId="0" borderId="18" xfId="3" applyFont="1" applyFill="1" applyBorder="1" applyAlignment="1">
      <alignment horizontal="center" vertical="center"/>
    </xf>
    <xf numFmtId="165" fontId="47" fillId="0" borderId="18" xfId="4" applyNumberFormat="1" applyFont="1" applyFill="1" applyBorder="1" applyAlignment="1">
      <alignment horizontal="center"/>
    </xf>
    <xf numFmtId="0" fontId="47" fillId="0" borderId="18" xfId="3" applyFont="1" applyFill="1" applyBorder="1" applyAlignment="1">
      <alignment horizontal="center"/>
    </xf>
    <xf numFmtId="0" fontId="47" fillId="0" borderId="18" xfId="3" applyFont="1" applyFill="1" applyBorder="1" applyAlignment="1">
      <alignment horizontal="center" wrapText="1"/>
    </xf>
    <xf numFmtId="167" fontId="30" fillId="0" borderId="0" xfId="3" applyNumberFormat="1" applyFont="1" applyFill="1"/>
    <xf numFmtId="0" fontId="27" fillId="0" borderId="18" xfId="3" applyFont="1" applyFill="1" applyBorder="1" applyAlignment="1">
      <alignment horizontal="center" vertical="center"/>
    </xf>
    <xf numFmtId="0" fontId="44" fillId="0" borderId="0" xfId="3" applyFont="1" applyFill="1" applyBorder="1"/>
    <xf numFmtId="0" fontId="46" fillId="0" borderId="0" xfId="3" applyFont="1" applyFill="1"/>
    <xf numFmtId="165" fontId="49" fillId="0" borderId="18" xfId="4" applyNumberFormat="1" applyFont="1" applyFill="1" applyBorder="1"/>
    <xf numFmtId="165" fontId="36" fillId="0" borderId="18" xfId="3" applyNumberFormat="1" applyFont="1" applyFill="1" applyBorder="1"/>
    <xf numFmtId="165" fontId="34" fillId="0" borderId="18" xfId="4" applyNumberFormat="1" applyFont="1" applyFill="1" applyBorder="1"/>
    <xf numFmtId="165" fontId="48" fillId="0" borderId="0" xfId="3" applyNumberFormat="1" applyFont="1" applyFill="1"/>
    <xf numFmtId="0" fontId="45" fillId="0" borderId="18" xfId="3" applyFont="1" applyFill="1" applyBorder="1" applyAlignment="1">
      <alignment horizontal="left" vertical="center"/>
    </xf>
    <xf numFmtId="165" fontId="36" fillId="0" borderId="18" xfId="4" applyNumberFormat="1" applyFont="1" applyFill="1" applyBorder="1" applyAlignment="1">
      <alignment horizontal="center" vertical="center"/>
    </xf>
    <xf numFmtId="168" fontId="51" fillId="0" borderId="0" xfId="3" applyNumberFormat="1" applyFont="1" applyFill="1"/>
    <xf numFmtId="9" fontId="29" fillId="0" borderId="0" xfId="2" applyFont="1" applyFill="1"/>
    <xf numFmtId="166" fontId="34" fillId="0" borderId="18" xfId="4" applyNumberFormat="1" applyFont="1" applyFill="1" applyBorder="1" applyAlignment="1">
      <alignment horizontal="center" vertical="center"/>
    </xf>
    <xf numFmtId="165" fontId="35" fillId="0" borderId="18" xfId="3" applyNumberFormat="1" applyFont="1" applyFill="1" applyBorder="1"/>
    <xf numFmtId="165" fontId="30" fillId="0" borderId="0" xfId="3" applyNumberFormat="1" applyFont="1" applyFill="1"/>
    <xf numFmtId="165" fontId="34" fillId="0" borderId="0" xfId="3" applyNumberFormat="1" applyFont="1" applyFill="1"/>
    <xf numFmtId="165" fontId="36" fillId="0" borderId="0" xfId="4" applyNumberFormat="1" applyFont="1" applyFill="1" applyBorder="1"/>
    <xf numFmtId="0" fontId="27" fillId="0" borderId="0" xfId="3" applyFont="1" applyFill="1"/>
    <xf numFmtId="165" fontId="35" fillId="0" borderId="18" xfId="4" applyNumberFormat="1" applyFont="1" applyFill="1" applyBorder="1" applyAlignment="1">
      <alignment horizontal="center" vertical="center"/>
    </xf>
    <xf numFmtId="0" fontId="29" fillId="0" borderId="0" xfId="3" applyFont="1" applyFill="1" applyBorder="1"/>
    <xf numFmtId="0" fontId="51" fillId="0" borderId="0" xfId="3" applyFont="1" applyFill="1"/>
    <xf numFmtId="0" fontId="48" fillId="0" borderId="0" xfId="3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19" fillId="4" borderId="39" xfId="0" applyFont="1" applyFill="1" applyBorder="1" applyAlignment="1">
      <alignment horizontal="center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1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43" fillId="0" borderId="0" xfId="3" applyFont="1" applyFill="1" applyBorder="1" applyAlignment="1">
      <alignment horizontal="center" vertical="center"/>
    </xf>
    <xf numFmtId="0" fontId="27" fillId="0" borderId="46" xfId="3" applyFont="1" applyFill="1" applyBorder="1" applyAlignment="1">
      <alignment horizontal="center" vertical="center"/>
    </xf>
    <xf numFmtId="0" fontId="27" fillId="0" borderId="68" xfId="3" applyFont="1" applyFill="1" applyBorder="1" applyAlignment="1">
      <alignment horizontal="center" vertical="center"/>
    </xf>
    <xf numFmtId="0" fontId="27" fillId="0" borderId="15" xfId="3" applyFont="1" applyFill="1" applyBorder="1" applyAlignment="1">
      <alignment horizontal="center" vertical="center"/>
    </xf>
    <xf numFmtId="0" fontId="27" fillId="0" borderId="46" xfId="3" applyFont="1" applyFill="1" applyBorder="1" applyAlignment="1">
      <alignment horizontal="center" vertical="center" wrapText="1"/>
    </xf>
    <xf numFmtId="0" fontId="27" fillId="0" borderId="68" xfId="3" applyFont="1" applyFill="1" applyBorder="1" applyAlignment="1">
      <alignment horizontal="center" vertical="center" wrapText="1"/>
    </xf>
    <xf numFmtId="0" fontId="27" fillId="0" borderId="15" xfId="3" applyFont="1" applyFill="1" applyBorder="1" applyAlignment="1">
      <alignment horizontal="center" vertical="center" wrapText="1"/>
    </xf>
    <xf numFmtId="0" fontId="44" fillId="0" borderId="26" xfId="3" applyFont="1" applyFill="1" applyBorder="1" applyAlignment="1">
      <alignment horizontal="left" vertical="center"/>
    </xf>
    <xf numFmtId="0" fontId="44" fillId="0" borderId="35" xfId="3" applyFont="1" applyFill="1" applyBorder="1" applyAlignment="1">
      <alignment horizontal="left" vertical="center"/>
    </xf>
    <xf numFmtId="0" fontId="44" fillId="0" borderId="38" xfId="3" applyFont="1" applyFill="1" applyBorder="1" applyAlignment="1">
      <alignment horizontal="left" vertical="center"/>
    </xf>
    <xf numFmtId="165" fontId="47" fillId="0" borderId="18" xfId="4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0" fillId="0" borderId="47" xfId="0" applyFont="1" applyBorder="1" applyAlignment="1">
      <alignment horizontal="center"/>
    </xf>
    <xf numFmtId="0" fontId="9" fillId="4" borderId="3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/>
    </xf>
    <xf numFmtId="2" fontId="11" fillId="0" borderId="3" xfId="1" applyNumberFormat="1" applyFont="1" applyFill="1" applyBorder="1" applyAlignment="1">
      <alignment horizontal="center"/>
    </xf>
    <xf numFmtId="2" fontId="10" fillId="0" borderId="1" xfId="1" applyNumberFormat="1" applyFont="1" applyFill="1" applyBorder="1" applyAlignment="1">
      <alignment horizontal="center"/>
    </xf>
    <xf numFmtId="2" fontId="10" fillId="0" borderId="2" xfId="1" applyNumberFormat="1" applyFont="1" applyFill="1" applyBorder="1" applyAlignment="1">
      <alignment horizontal="center"/>
    </xf>
    <xf numFmtId="2" fontId="10" fillId="0" borderId="3" xfId="1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8"/>
  <sheetViews>
    <sheetView showGridLines="0" workbookViewId="0">
      <selection activeCell="C21" sqref="C21"/>
    </sheetView>
  </sheetViews>
  <sheetFormatPr defaultRowHeight="15" x14ac:dyDescent="0.25"/>
  <cols>
    <col min="1" max="1" width="4.5703125" customWidth="1"/>
    <col min="2" max="2" width="23.7109375" customWidth="1"/>
    <col min="3" max="3" width="25.140625" customWidth="1"/>
    <col min="4" max="4" width="16.140625" bestFit="1" customWidth="1"/>
    <col min="5" max="5" width="25.140625" customWidth="1"/>
    <col min="6" max="6" width="21.5703125" customWidth="1"/>
    <col min="7" max="7" width="18.42578125" bestFit="1" customWidth="1"/>
    <col min="8" max="8" width="16.7109375" customWidth="1"/>
    <col min="9" max="9" width="18.5703125" customWidth="1"/>
    <col min="10" max="11" width="13.28515625" customWidth="1"/>
    <col min="14" max="16" width="13.28515625" customWidth="1"/>
  </cols>
  <sheetData>
    <row r="1" spans="2:11" ht="15.75" thickBot="1" x14ac:dyDescent="0.3"/>
    <row r="2" spans="2:11" ht="19.5" customHeight="1" x14ac:dyDescent="0.25">
      <c r="B2" s="290" t="s">
        <v>0</v>
      </c>
      <c r="C2" s="291"/>
      <c r="D2" s="291"/>
      <c r="E2" s="291"/>
      <c r="F2" s="291"/>
      <c r="G2" s="291"/>
      <c r="H2" s="291"/>
      <c r="I2" s="291"/>
      <c r="J2" s="291"/>
      <c r="K2" s="292"/>
    </row>
    <row r="3" spans="2:11" ht="23.25" customHeight="1" thickBot="1" x14ac:dyDescent="0.3">
      <c r="B3" s="293"/>
      <c r="C3" s="294"/>
      <c r="D3" s="294"/>
      <c r="E3" s="294"/>
      <c r="F3" s="294"/>
      <c r="G3" s="294"/>
      <c r="H3" s="294"/>
      <c r="I3" s="295"/>
      <c r="J3" s="294"/>
      <c r="K3" s="296"/>
    </row>
    <row r="4" spans="2:11" ht="48.75" customHeight="1" thickBot="1" x14ac:dyDescent="0.3">
      <c r="B4" s="1" t="s">
        <v>1</v>
      </c>
      <c r="C4" s="16" t="s">
        <v>19</v>
      </c>
      <c r="D4" s="2" t="s">
        <v>14</v>
      </c>
      <c r="E4" s="16" t="s">
        <v>17</v>
      </c>
      <c r="F4" s="16" t="s">
        <v>18</v>
      </c>
      <c r="G4" s="16" t="s">
        <v>15</v>
      </c>
      <c r="H4" s="24" t="s">
        <v>16</v>
      </c>
      <c r="I4" s="32" t="s">
        <v>3</v>
      </c>
      <c r="J4" s="25" t="s">
        <v>4</v>
      </c>
      <c r="K4" s="3" t="s">
        <v>20</v>
      </c>
    </row>
    <row r="5" spans="2:11" ht="15.75" thickBot="1" x14ac:dyDescent="0.3">
      <c r="B5" s="297" t="s">
        <v>5</v>
      </c>
      <c r="C5" s="298"/>
      <c r="D5" s="298"/>
      <c r="E5" s="298"/>
      <c r="F5" s="298"/>
      <c r="G5" s="298"/>
      <c r="H5" s="298"/>
      <c r="I5" s="299"/>
      <c r="J5" s="298" t="s">
        <v>6</v>
      </c>
      <c r="K5" s="299"/>
    </row>
    <row r="6" spans="2:11" ht="41.25" customHeight="1" x14ac:dyDescent="0.25">
      <c r="B6" s="33" t="s">
        <v>7</v>
      </c>
      <c r="C6" s="34">
        <v>0</v>
      </c>
      <c r="D6" s="35">
        <v>300051</v>
      </c>
      <c r="E6" s="34">
        <v>0</v>
      </c>
      <c r="F6" s="34">
        <v>0</v>
      </c>
      <c r="G6" s="34">
        <v>0</v>
      </c>
      <c r="H6" s="36">
        <v>0</v>
      </c>
      <c r="I6" s="26">
        <f t="shared" ref="I6:I12" si="0">SUM(C6:H6)</f>
        <v>300051</v>
      </c>
      <c r="J6" s="27">
        <v>0</v>
      </c>
      <c r="K6" s="4">
        <v>0</v>
      </c>
    </row>
    <row r="7" spans="2:11" ht="41.25" customHeight="1" x14ac:dyDescent="0.25">
      <c r="B7" s="5" t="s">
        <v>8</v>
      </c>
      <c r="C7" s="6">
        <v>219691.497</v>
      </c>
      <c r="D7" s="6">
        <v>184625.49900000001</v>
      </c>
      <c r="E7" s="6">
        <v>21871.482</v>
      </c>
      <c r="F7" s="6">
        <v>47677</v>
      </c>
      <c r="G7" s="6">
        <v>55000</v>
      </c>
      <c r="H7" s="17">
        <v>40116</v>
      </c>
      <c r="I7" s="21">
        <f t="shared" si="0"/>
        <v>568981.47800000012</v>
      </c>
      <c r="J7" s="28">
        <v>0</v>
      </c>
      <c r="K7" s="7">
        <v>0</v>
      </c>
    </row>
    <row r="8" spans="2:11" ht="41.25" customHeight="1" x14ac:dyDescent="0.25">
      <c r="B8" s="8" t="s">
        <v>9</v>
      </c>
      <c r="C8" s="9">
        <v>169375.49900000001</v>
      </c>
      <c r="D8" s="9">
        <v>17288</v>
      </c>
      <c r="E8" s="9">
        <v>7750</v>
      </c>
      <c r="F8" s="9">
        <v>17000</v>
      </c>
      <c r="G8" s="9">
        <v>25000</v>
      </c>
      <c r="H8" s="18">
        <v>40000</v>
      </c>
      <c r="I8" s="22">
        <f t="shared" si="0"/>
        <v>276413.49900000001</v>
      </c>
      <c r="J8" s="29">
        <v>0</v>
      </c>
      <c r="K8" s="11">
        <v>0</v>
      </c>
    </row>
    <row r="9" spans="2:11" ht="41.25" customHeight="1" x14ac:dyDescent="0.25">
      <c r="B9" s="8" t="s">
        <v>10</v>
      </c>
      <c r="C9" s="9">
        <v>0</v>
      </c>
      <c r="D9" s="9">
        <v>8451</v>
      </c>
      <c r="E9" s="9">
        <v>0</v>
      </c>
      <c r="F9" s="9">
        <v>0</v>
      </c>
      <c r="G9" s="9">
        <v>0</v>
      </c>
      <c r="H9" s="19">
        <v>4000</v>
      </c>
      <c r="I9" s="22">
        <f t="shared" si="0"/>
        <v>12451</v>
      </c>
      <c r="J9" s="30">
        <v>4000</v>
      </c>
      <c r="K9" s="10">
        <v>1500</v>
      </c>
    </row>
    <row r="10" spans="2:11" ht="41.25" customHeight="1" x14ac:dyDescent="0.25">
      <c r="B10" s="8" t="s">
        <v>11</v>
      </c>
      <c r="C10" s="9">
        <v>24796</v>
      </c>
      <c r="D10" s="9">
        <v>16056</v>
      </c>
      <c r="E10" s="9">
        <v>0</v>
      </c>
      <c r="F10" s="9">
        <v>0</v>
      </c>
      <c r="G10" s="9">
        <v>0</v>
      </c>
      <c r="H10" s="19">
        <v>0</v>
      </c>
      <c r="I10" s="22">
        <f t="shared" si="0"/>
        <v>40852</v>
      </c>
      <c r="J10" s="30">
        <v>0</v>
      </c>
      <c r="K10" s="10">
        <v>0</v>
      </c>
    </row>
    <row r="11" spans="2:11" ht="41.25" customHeight="1" x14ac:dyDescent="0.25">
      <c r="B11" s="8" t="s">
        <v>12</v>
      </c>
      <c r="C11" s="9">
        <v>0</v>
      </c>
      <c r="D11" s="9">
        <v>42048</v>
      </c>
      <c r="E11" s="9">
        <v>0</v>
      </c>
      <c r="F11" s="9">
        <v>3500</v>
      </c>
      <c r="G11" s="9">
        <v>0</v>
      </c>
      <c r="H11" s="19">
        <v>0</v>
      </c>
      <c r="I11" s="22">
        <f t="shared" si="0"/>
        <v>45548</v>
      </c>
      <c r="J11" s="30">
        <v>0</v>
      </c>
      <c r="K11" s="10">
        <v>0</v>
      </c>
    </row>
    <row r="12" spans="2:11" ht="41.25" customHeight="1" thickBot="1" x14ac:dyDescent="0.3">
      <c r="B12" s="12" t="s">
        <v>13</v>
      </c>
      <c r="C12" s="13">
        <v>0</v>
      </c>
      <c r="D12" s="13">
        <v>5983</v>
      </c>
      <c r="E12" s="14">
        <v>0</v>
      </c>
      <c r="F12" s="13">
        <v>0</v>
      </c>
      <c r="G12" s="13">
        <v>0</v>
      </c>
      <c r="H12" s="20">
        <v>0</v>
      </c>
      <c r="I12" s="23">
        <f t="shared" si="0"/>
        <v>5983</v>
      </c>
      <c r="J12" s="31">
        <v>0</v>
      </c>
      <c r="K12" s="15">
        <v>0</v>
      </c>
    </row>
    <row r="13" spans="2:11" ht="41.25" customHeight="1" x14ac:dyDescent="0.25">
      <c r="B13" s="45"/>
      <c r="C13" s="46"/>
      <c r="D13" s="46"/>
      <c r="E13" s="46"/>
      <c r="F13" s="46"/>
      <c r="G13" s="46"/>
      <c r="H13" s="46"/>
      <c r="I13" s="46"/>
      <c r="J13" s="46"/>
      <c r="K13" s="46"/>
    </row>
    <row r="14" spans="2:11" x14ac:dyDescent="0.25">
      <c r="B14" s="48" t="s">
        <v>37</v>
      </c>
      <c r="C14" s="50" t="s">
        <v>36</v>
      </c>
      <c r="D14" s="50" t="s">
        <v>38</v>
      </c>
      <c r="E14" s="50" t="s">
        <v>39</v>
      </c>
      <c r="F14" s="46"/>
      <c r="G14" s="46"/>
      <c r="H14" s="46"/>
      <c r="I14" s="46"/>
      <c r="J14" s="46"/>
      <c r="K14" s="46"/>
    </row>
    <row r="15" spans="2:11" x14ac:dyDescent="0.25">
      <c r="B15" s="48">
        <v>1342.28</v>
      </c>
      <c r="C15" s="49">
        <v>1183.43</v>
      </c>
      <c r="D15" s="49">
        <v>1240.5999999999999</v>
      </c>
      <c r="E15" s="49">
        <v>1000</v>
      </c>
      <c r="F15" s="46"/>
      <c r="G15" s="46"/>
      <c r="H15" s="46"/>
      <c r="I15" s="46"/>
      <c r="J15" s="46"/>
      <c r="K15" s="46"/>
    </row>
    <row r="16" spans="2:11" x14ac:dyDescent="0.25">
      <c r="B16" s="45"/>
      <c r="C16" s="47"/>
      <c r="D16" s="47"/>
      <c r="E16" s="47"/>
      <c r="F16" s="46"/>
      <c r="G16" s="46"/>
      <c r="H16" s="46">
        <f>C10/1000*D15</f>
        <v>30761.917599999997</v>
      </c>
      <c r="I16" s="46"/>
      <c r="J16" s="46"/>
      <c r="K16" s="46"/>
    </row>
    <row r="17" spans="2:11" x14ac:dyDescent="0.25">
      <c r="B17" s="45"/>
      <c r="C17" s="47"/>
      <c r="D17" s="47"/>
      <c r="E17" s="47"/>
      <c r="F17" s="46"/>
      <c r="G17" s="46"/>
      <c r="H17" s="46"/>
      <c r="I17" s="46"/>
      <c r="J17" s="46"/>
      <c r="K17" s="46"/>
    </row>
    <row r="18" spans="2:11" x14ac:dyDescent="0.25">
      <c r="B18" s="45"/>
      <c r="C18" s="47"/>
      <c r="D18" s="47"/>
      <c r="E18" s="47"/>
      <c r="F18" s="46"/>
      <c r="G18" s="46"/>
      <c r="H18" s="46"/>
      <c r="I18" s="46"/>
      <c r="J18" s="46"/>
      <c r="K18" s="46"/>
    </row>
    <row r="19" spans="2:11" ht="15.75" thickBot="1" x14ac:dyDescent="0.3"/>
    <row r="20" spans="2:11" ht="15.75" thickBot="1" x14ac:dyDescent="0.3">
      <c r="B20" s="43" t="s">
        <v>33</v>
      </c>
      <c r="C20" s="44" t="s">
        <v>34</v>
      </c>
    </row>
    <row r="21" spans="2:11" x14ac:dyDescent="0.25">
      <c r="B21" s="37" t="s">
        <v>2</v>
      </c>
      <c r="C21" s="40" t="s">
        <v>32</v>
      </c>
    </row>
    <row r="22" spans="2:11" x14ac:dyDescent="0.25">
      <c r="B22" s="38" t="s">
        <v>21</v>
      </c>
      <c r="C22" s="41" t="s">
        <v>35</v>
      </c>
    </row>
    <row r="23" spans="2:11" x14ac:dyDescent="0.25">
      <c r="B23" s="38" t="s">
        <v>22</v>
      </c>
      <c r="C23" s="41" t="s">
        <v>27</v>
      </c>
    </row>
    <row r="24" spans="2:11" x14ac:dyDescent="0.25">
      <c r="B24" s="38" t="s">
        <v>23</v>
      </c>
      <c r="C24" s="41" t="s">
        <v>28</v>
      </c>
    </row>
    <row r="25" spans="2:11" x14ac:dyDescent="0.25">
      <c r="B25" s="38" t="s">
        <v>24</v>
      </c>
      <c r="C25" s="41" t="s">
        <v>29</v>
      </c>
    </row>
    <row r="26" spans="2:11" x14ac:dyDescent="0.25">
      <c r="B26" s="38" t="s">
        <v>25</v>
      </c>
      <c r="C26" s="41" t="s">
        <v>30</v>
      </c>
    </row>
    <row r="27" spans="2:11" x14ac:dyDescent="0.25">
      <c r="B27" s="38" t="s">
        <v>4</v>
      </c>
      <c r="C27" s="41" t="s">
        <v>31</v>
      </c>
    </row>
    <row r="28" spans="2:11" ht="15.75" thickBot="1" x14ac:dyDescent="0.3">
      <c r="B28" s="39" t="s">
        <v>26</v>
      </c>
      <c r="C28" s="42" t="s">
        <v>44</v>
      </c>
    </row>
  </sheetData>
  <mergeCells count="3">
    <mergeCell ref="B2:K3"/>
    <mergeCell ref="B5:I5"/>
    <mergeCell ref="J5:K5"/>
  </mergeCells>
  <pageMargins left="0.7" right="0.7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9"/>
  <sheetViews>
    <sheetView showGridLines="0" view="pageBreakPreview" topLeftCell="A20" zoomScale="60" zoomScaleNormal="80" workbookViewId="0">
      <selection activeCell="D26" sqref="D26"/>
    </sheetView>
  </sheetViews>
  <sheetFormatPr defaultRowHeight="27.75" customHeight="1" x14ac:dyDescent="0.25"/>
  <cols>
    <col min="1" max="1" width="4.5703125" customWidth="1"/>
    <col min="2" max="2" width="18.7109375" customWidth="1"/>
    <col min="3" max="3" width="17" bestFit="1" customWidth="1"/>
    <col min="4" max="5" width="15.85546875" customWidth="1"/>
    <col min="6" max="6" width="23.140625" customWidth="1"/>
    <col min="7" max="7" width="15.85546875" customWidth="1"/>
    <col min="8" max="8" width="17.42578125" customWidth="1"/>
    <col min="9" max="9" width="21.7109375" customWidth="1"/>
    <col min="10" max="10" width="19.85546875" bestFit="1" customWidth="1"/>
    <col min="11" max="11" width="27.140625" customWidth="1"/>
    <col min="12" max="12" width="20.28515625" bestFit="1" customWidth="1"/>
    <col min="13" max="14" width="15.85546875" customWidth="1"/>
    <col min="15" max="15" width="27" bestFit="1" customWidth="1"/>
    <col min="16" max="16" width="17.7109375" customWidth="1"/>
    <col min="18" max="20" width="13.28515625" customWidth="1"/>
  </cols>
  <sheetData>
    <row r="1" spans="1:16" ht="27.75" customHeight="1" thickBot="1" x14ac:dyDescent="0.3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16" ht="27" customHeight="1" thickBot="1" x14ac:dyDescent="0.4">
      <c r="A2" s="133"/>
      <c r="B2" s="319" t="s">
        <v>0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1"/>
      <c r="P2" s="133"/>
    </row>
    <row r="3" spans="1:16" ht="40.5" customHeight="1" thickBot="1" x14ac:dyDescent="0.3">
      <c r="B3" s="322" t="s">
        <v>1</v>
      </c>
      <c r="C3" s="324" t="s">
        <v>53</v>
      </c>
      <c r="D3" s="325"/>
      <c r="E3" s="326"/>
      <c r="F3" s="327" t="s">
        <v>54</v>
      </c>
      <c r="G3" s="328"/>
      <c r="H3" s="328"/>
      <c r="I3" s="328"/>
      <c r="J3" s="328"/>
      <c r="K3" s="328"/>
      <c r="L3" s="328"/>
      <c r="M3" s="328"/>
      <c r="N3" s="329"/>
      <c r="O3" s="330" t="s">
        <v>3</v>
      </c>
    </row>
    <row r="4" spans="1:16" ht="40.5" customHeight="1" thickBot="1" x14ac:dyDescent="0.3">
      <c r="B4" s="323"/>
      <c r="C4" s="134" t="s">
        <v>2</v>
      </c>
      <c r="D4" s="135" t="s">
        <v>55</v>
      </c>
      <c r="E4" s="136" t="s">
        <v>4</v>
      </c>
      <c r="F4" s="134" t="s">
        <v>56</v>
      </c>
      <c r="G4" s="135" t="s">
        <v>57</v>
      </c>
      <c r="H4" s="135" t="s">
        <v>58</v>
      </c>
      <c r="I4" s="137" t="s">
        <v>59</v>
      </c>
      <c r="J4" s="138" t="s">
        <v>60</v>
      </c>
      <c r="K4" s="137" t="s">
        <v>61</v>
      </c>
      <c r="L4" s="137" t="s">
        <v>52</v>
      </c>
      <c r="M4" s="138" t="s">
        <v>62</v>
      </c>
      <c r="N4" s="136" t="s">
        <v>63</v>
      </c>
      <c r="O4" s="331"/>
    </row>
    <row r="5" spans="1:16" ht="27" customHeight="1" thickBot="1" x14ac:dyDescent="0.4">
      <c r="B5" s="316" t="s">
        <v>64</v>
      </c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8"/>
    </row>
    <row r="6" spans="1:16" ht="29.25" customHeight="1" x14ac:dyDescent="0.25">
      <c r="B6" s="139" t="s">
        <v>7</v>
      </c>
      <c r="C6" s="140">
        <v>0</v>
      </c>
      <c r="D6" s="141">
        <v>300051</v>
      </c>
      <c r="E6" s="142"/>
      <c r="F6" s="143">
        <v>0</v>
      </c>
      <c r="G6" s="144">
        <v>0</v>
      </c>
      <c r="H6" s="144">
        <v>0</v>
      </c>
      <c r="I6" s="144">
        <v>0</v>
      </c>
      <c r="J6" s="145">
        <v>0</v>
      </c>
      <c r="K6" s="145">
        <v>0</v>
      </c>
      <c r="L6" s="145"/>
      <c r="M6" s="146">
        <v>0</v>
      </c>
      <c r="N6" s="147"/>
      <c r="O6" s="148">
        <f t="shared" ref="O6:O14" si="0">SUM(C6:N6)</f>
        <v>300051</v>
      </c>
    </row>
    <row r="7" spans="1:16" ht="29.25" customHeight="1" x14ac:dyDescent="0.25">
      <c r="B7" s="149" t="s">
        <v>8</v>
      </c>
      <c r="C7" s="150">
        <v>219691.497</v>
      </c>
      <c r="D7" s="151">
        <v>184625.49900000001</v>
      </c>
      <c r="E7" s="152"/>
      <c r="F7" s="150">
        <v>21871.482</v>
      </c>
      <c r="G7" s="151">
        <v>47677</v>
      </c>
      <c r="H7" s="151">
        <v>55000</v>
      </c>
      <c r="I7" s="151">
        <v>40116</v>
      </c>
      <c r="J7" s="153">
        <v>1150</v>
      </c>
      <c r="K7" s="154">
        <v>18000</v>
      </c>
      <c r="L7" s="154">
        <v>24000</v>
      </c>
      <c r="M7" s="155">
        <v>0</v>
      </c>
      <c r="N7" s="152"/>
      <c r="O7" s="156">
        <f t="shared" si="0"/>
        <v>612131.47800000012</v>
      </c>
    </row>
    <row r="8" spans="1:16" ht="29.25" customHeight="1" x14ac:dyDescent="0.25">
      <c r="B8" s="157" t="s">
        <v>9</v>
      </c>
      <c r="C8" s="158">
        <v>169375.49900000001</v>
      </c>
      <c r="D8" s="159">
        <v>17288</v>
      </c>
      <c r="E8" s="160"/>
      <c r="F8" s="158">
        <v>7750</v>
      </c>
      <c r="G8" s="159">
        <v>17000</v>
      </c>
      <c r="H8" s="159">
        <v>25000</v>
      </c>
      <c r="I8" s="161">
        <v>45000</v>
      </c>
      <c r="J8" s="162">
        <v>0</v>
      </c>
      <c r="K8" s="162">
        <v>14000</v>
      </c>
      <c r="L8" s="163"/>
      <c r="M8" s="155">
        <v>0</v>
      </c>
      <c r="N8" s="160"/>
      <c r="O8" s="156">
        <f t="shared" si="0"/>
        <v>295413.49900000001</v>
      </c>
    </row>
    <row r="9" spans="1:16" ht="29.25" customHeight="1" x14ac:dyDescent="0.25">
      <c r="B9" s="157" t="s">
        <v>10</v>
      </c>
      <c r="C9" s="158">
        <v>0</v>
      </c>
      <c r="D9" s="159">
        <v>8451</v>
      </c>
      <c r="E9" s="160">
        <v>4000</v>
      </c>
      <c r="F9" s="158">
        <v>0</v>
      </c>
      <c r="G9" s="159">
        <v>0</v>
      </c>
      <c r="H9" s="159">
        <v>0</v>
      </c>
      <c r="I9" s="159">
        <v>4000</v>
      </c>
      <c r="J9" s="162">
        <v>0</v>
      </c>
      <c r="K9" s="162">
        <v>0</v>
      </c>
      <c r="L9" s="163">
        <f>((4000*1000)/1000)-I9</f>
        <v>0</v>
      </c>
      <c r="M9" s="155">
        <v>0</v>
      </c>
      <c r="N9" s="160">
        <v>750</v>
      </c>
      <c r="O9" s="156">
        <f t="shared" si="0"/>
        <v>17201</v>
      </c>
    </row>
    <row r="10" spans="1:16" ht="29.25" customHeight="1" x14ac:dyDescent="0.25">
      <c r="B10" s="157" t="s">
        <v>11</v>
      </c>
      <c r="C10" s="158">
        <v>24796</v>
      </c>
      <c r="D10" s="159">
        <v>16056</v>
      </c>
      <c r="E10" s="160"/>
      <c r="F10" s="158">
        <v>0</v>
      </c>
      <c r="G10" s="159">
        <v>0</v>
      </c>
      <c r="H10" s="159">
        <v>0</v>
      </c>
      <c r="I10" s="159">
        <v>0</v>
      </c>
      <c r="J10" s="162">
        <v>0</v>
      </c>
      <c r="K10" s="162">
        <v>0</v>
      </c>
      <c r="L10" s="164"/>
      <c r="M10" s="155">
        <v>0</v>
      </c>
      <c r="N10" s="160"/>
      <c r="O10" s="156">
        <f t="shared" si="0"/>
        <v>40852</v>
      </c>
    </row>
    <row r="11" spans="1:16" ht="29.25" customHeight="1" x14ac:dyDescent="0.25">
      <c r="B11" s="157" t="s">
        <v>12</v>
      </c>
      <c r="C11" s="158">
        <v>0</v>
      </c>
      <c r="D11" s="159">
        <v>42048</v>
      </c>
      <c r="E11" s="160"/>
      <c r="F11" s="158">
        <v>0</v>
      </c>
      <c r="G11" s="159">
        <v>3500</v>
      </c>
      <c r="H11" s="159">
        <v>0</v>
      </c>
      <c r="I11" s="159">
        <v>0</v>
      </c>
      <c r="J11" s="162">
        <v>0</v>
      </c>
      <c r="K11" s="162">
        <f>15000+10000</f>
        <v>25000</v>
      </c>
      <c r="L11" s="164"/>
      <c r="M11" s="155">
        <v>1500</v>
      </c>
      <c r="N11" s="160"/>
      <c r="O11" s="156">
        <f t="shared" si="0"/>
        <v>72048</v>
      </c>
    </row>
    <row r="12" spans="1:16" ht="29.25" customHeight="1" x14ac:dyDescent="0.25">
      <c r="B12" s="157" t="s">
        <v>13</v>
      </c>
      <c r="C12" s="158">
        <v>0</v>
      </c>
      <c r="D12" s="159">
        <v>5983</v>
      </c>
      <c r="E12" s="160"/>
      <c r="F12" s="158">
        <v>0</v>
      </c>
      <c r="G12" s="159">
        <v>0</v>
      </c>
      <c r="H12" s="159">
        <v>0</v>
      </c>
      <c r="I12" s="159">
        <v>0</v>
      </c>
      <c r="J12" s="162">
        <v>0</v>
      </c>
      <c r="K12" s="162">
        <v>0</v>
      </c>
      <c r="L12" s="164"/>
      <c r="M12" s="155">
        <v>0</v>
      </c>
      <c r="N12" s="160"/>
      <c r="O12" s="156">
        <f t="shared" si="0"/>
        <v>5983</v>
      </c>
    </row>
    <row r="13" spans="1:16" ht="29.25" hidden="1" customHeight="1" x14ac:dyDescent="0.25">
      <c r="B13" s="157" t="s">
        <v>65</v>
      </c>
      <c r="C13" s="158">
        <v>0</v>
      </c>
      <c r="D13" s="159">
        <v>0</v>
      </c>
      <c r="E13" s="165"/>
      <c r="F13" s="158">
        <v>0</v>
      </c>
      <c r="G13" s="159">
        <v>0</v>
      </c>
      <c r="H13" s="159">
        <v>0</v>
      </c>
      <c r="I13" s="159">
        <v>0</v>
      </c>
      <c r="J13" s="166">
        <v>300</v>
      </c>
      <c r="K13" s="166"/>
      <c r="L13" s="167"/>
      <c r="M13" s="155">
        <v>0</v>
      </c>
      <c r="N13" s="165"/>
      <c r="O13" s="156">
        <f t="shared" si="0"/>
        <v>300</v>
      </c>
    </row>
    <row r="14" spans="1:16" ht="29.25" customHeight="1" thickBot="1" x14ac:dyDescent="0.3">
      <c r="B14" s="168" t="s">
        <v>66</v>
      </c>
      <c r="C14" s="169">
        <v>0</v>
      </c>
      <c r="D14" s="170">
        <v>0</v>
      </c>
      <c r="E14" s="171"/>
      <c r="F14" s="169">
        <v>0</v>
      </c>
      <c r="G14" s="170">
        <v>0</v>
      </c>
      <c r="H14" s="170">
        <v>0</v>
      </c>
      <c r="I14" s="170">
        <v>0</v>
      </c>
      <c r="J14" s="172">
        <v>1150</v>
      </c>
      <c r="K14" s="172">
        <v>0</v>
      </c>
      <c r="L14" s="172"/>
      <c r="M14" s="173">
        <v>0</v>
      </c>
      <c r="N14" s="171"/>
      <c r="O14" s="174">
        <f t="shared" si="0"/>
        <v>1150</v>
      </c>
    </row>
    <row r="15" spans="1:16" ht="27.75" customHeight="1" x14ac:dyDescent="0.25">
      <c r="C15" s="89"/>
    </row>
    <row r="17" spans="2:16" ht="27.75" customHeight="1" x14ac:dyDescent="0.25">
      <c r="B17" s="175" t="s">
        <v>67</v>
      </c>
      <c r="C17" s="175" t="s">
        <v>68</v>
      </c>
      <c r="D17" s="175" t="s">
        <v>69</v>
      </c>
      <c r="E17" s="175" t="s">
        <v>70</v>
      </c>
      <c r="F17" s="175" t="s">
        <v>71</v>
      </c>
      <c r="G17" s="175" t="s">
        <v>72</v>
      </c>
      <c r="H17" s="175" t="s">
        <v>73</v>
      </c>
      <c r="I17" s="175" t="s">
        <v>74</v>
      </c>
      <c r="K17" s="210"/>
    </row>
    <row r="18" spans="2:16" ht="27.75" customHeight="1" x14ac:dyDescent="0.25">
      <c r="B18" s="175"/>
      <c r="C18" s="175">
        <v>1005.03</v>
      </c>
      <c r="D18" s="175">
        <v>1183.43</v>
      </c>
      <c r="E18" s="175">
        <v>1183.43</v>
      </c>
      <c r="F18" s="175">
        <v>1342.28</v>
      </c>
      <c r="G18" s="175">
        <v>1240.5999999999999</v>
      </c>
      <c r="H18" s="175">
        <v>1000</v>
      </c>
      <c r="I18" s="175">
        <v>1342.28</v>
      </c>
      <c r="K18" s="239">
        <v>26857.834617700002</v>
      </c>
    </row>
    <row r="21" spans="2:16" ht="27.75" customHeight="1" thickBot="1" x14ac:dyDescent="0.4">
      <c r="B21" s="302" t="s">
        <v>104</v>
      </c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</row>
    <row r="22" spans="2:16" ht="27.75" customHeight="1" thickBot="1" x14ac:dyDescent="0.3">
      <c r="B22" s="307" t="s">
        <v>1</v>
      </c>
      <c r="C22" s="309" t="s">
        <v>53</v>
      </c>
      <c r="D22" s="310"/>
      <c r="E22" s="311"/>
      <c r="F22" s="312" t="s">
        <v>54</v>
      </c>
      <c r="G22" s="313"/>
      <c r="H22" s="313"/>
      <c r="I22" s="313"/>
      <c r="J22" s="313"/>
      <c r="K22" s="313"/>
      <c r="L22" s="313"/>
      <c r="M22" s="313"/>
      <c r="N22" s="314"/>
      <c r="O22" s="300" t="s">
        <v>75</v>
      </c>
      <c r="P22" s="300" t="s">
        <v>103</v>
      </c>
    </row>
    <row r="23" spans="2:16" ht="54.75" thickBot="1" x14ac:dyDescent="0.3">
      <c r="B23" s="308"/>
      <c r="C23" s="198" t="s">
        <v>2</v>
      </c>
      <c r="D23" s="199" t="s">
        <v>55</v>
      </c>
      <c r="E23" s="200" t="s">
        <v>4</v>
      </c>
      <c r="F23" s="176" t="s">
        <v>77</v>
      </c>
      <c r="G23" s="177" t="s">
        <v>57</v>
      </c>
      <c r="H23" s="177" t="s">
        <v>76</v>
      </c>
      <c r="I23" s="179" t="s">
        <v>59</v>
      </c>
      <c r="J23" s="180" t="s">
        <v>81</v>
      </c>
      <c r="K23" s="179" t="s">
        <v>85</v>
      </c>
      <c r="L23" s="179" t="s">
        <v>82</v>
      </c>
      <c r="M23" s="180" t="s">
        <v>62</v>
      </c>
      <c r="N23" s="178" t="s">
        <v>63</v>
      </c>
      <c r="O23" s="315"/>
      <c r="P23" s="301"/>
    </row>
    <row r="24" spans="2:16" ht="27.75" customHeight="1" x14ac:dyDescent="0.25">
      <c r="B24" s="193" t="s">
        <v>7</v>
      </c>
      <c r="C24" s="194"/>
      <c r="D24" s="195">
        <v>300051</v>
      </c>
      <c r="E24" s="196"/>
      <c r="F24" s="194"/>
      <c r="G24" s="197"/>
      <c r="H24" s="197"/>
      <c r="I24" s="197"/>
      <c r="J24" s="195"/>
      <c r="K24" s="195"/>
      <c r="L24" s="195"/>
      <c r="M24" s="195"/>
      <c r="N24" s="196"/>
      <c r="O24" s="230">
        <f>SUM(C24:N24)</f>
        <v>300051</v>
      </c>
      <c r="P24" s="235">
        <f>O24/$O$32</f>
        <v>0.23024545260920729</v>
      </c>
    </row>
    <row r="25" spans="2:16" ht="27.75" customHeight="1" x14ac:dyDescent="0.25">
      <c r="B25" s="181" t="s">
        <v>8</v>
      </c>
      <c r="C25" s="182">
        <f>(C7*1000)/$D$18</f>
        <v>185639.62127037509</v>
      </c>
      <c r="D25" s="183">
        <f t="shared" ref="D25:N25" si="1">(D7*1000)/$D$18</f>
        <v>156008.8040695267</v>
      </c>
      <c r="E25" s="184">
        <f t="shared" si="1"/>
        <v>0</v>
      </c>
      <c r="F25" s="182">
        <f t="shared" si="1"/>
        <v>18481.432784364093</v>
      </c>
      <c r="G25" s="183">
        <f t="shared" si="1"/>
        <v>40287.131473766931</v>
      </c>
      <c r="H25" s="183">
        <f t="shared" si="1"/>
        <v>46475.076683876527</v>
      </c>
      <c r="I25" s="183">
        <f t="shared" si="1"/>
        <v>33898.075931825282</v>
      </c>
      <c r="J25" s="183">
        <f t="shared" si="1"/>
        <v>971.75160339014553</v>
      </c>
      <c r="K25" s="183">
        <f t="shared" si="1"/>
        <v>15210.025096541409</v>
      </c>
      <c r="L25" s="183">
        <f t="shared" si="1"/>
        <v>20280.033462055213</v>
      </c>
      <c r="M25" s="183">
        <f t="shared" si="1"/>
        <v>0</v>
      </c>
      <c r="N25" s="184">
        <f t="shared" si="1"/>
        <v>0</v>
      </c>
      <c r="O25" s="231">
        <f t="shared" ref="O25:O31" si="2">SUM(C25:N25)</f>
        <v>517251.95237572136</v>
      </c>
      <c r="P25" s="236">
        <f t="shared" ref="P25:P32" si="3">O25/$O$32</f>
        <v>0.39691555731440353</v>
      </c>
    </row>
    <row r="26" spans="2:16" ht="27.75" customHeight="1" x14ac:dyDescent="0.25">
      <c r="B26" s="185" t="s">
        <v>9</v>
      </c>
      <c r="C26" s="186">
        <f>(C8*1000)/$D$18</f>
        <v>143122.53280717912</v>
      </c>
      <c r="D26" s="187">
        <v>137340</v>
      </c>
      <c r="E26" s="188">
        <f t="shared" ref="E26:N26" si="4">(E8*1000)/$D$18</f>
        <v>0</v>
      </c>
      <c r="F26" s="186">
        <f t="shared" si="4"/>
        <v>6548.7608054553284</v>
      </c>
      <c r="G26" s="187">
        <f t="shared" si="4"/>
        <v>14365.023702289109</v>
      </c>
      <c r="H26" s="187">
        <f t="shared" si="4"/>
        <v>21125.034856307513</v>
      </c>
      <c r="I26" s="187">
        <f t="shared" si="4"/>
        <v>38025.062741353519</v>
      </c>
      <c r="J26" s="187">
        <f t="shared" si="4"/>
        <v>0</v>
      </c>
      <c r="K26" s="187">
        <f t="shared" si="4"/>
        <v>11830.019519532207</v>
      </c>
      <c r="L26" s="187">
        <f t="shared" si="4"/>
        <v>0</v>
      </c>
      <c r="M26" s="187">
        <f t="shared" si="4"/>
        <v>0</v>
      </c>
      <c r="N26" s="188">
        <f t="shared" si="4"/>
        <v>0</v>
      </c>
      <c r="O26" s="231">
        <f t="shared" si="2"/>
        <v>372356.4344321168</v>
      </c>
      <c r="P26" s="236">
        <f t="shared" si="3"/>
        <v>0.2857293452705485</v>
      </c>
    </row>
    <row r="27" spans="2:16" ht="27.75" customHeight="1" x14ac:dyDescent="0.25">
      <c r="B27" s="185" t="s">
        <v>10</v>
      </c>
      <c r="C27" s="186">
        <f>(C9*1000)/$H$18</f>
        <v>0</v>
      </c>
      <c r="D27" s="187">
        <f t="shared" ref="D27:N27" si="5">(D9*1000)/$H$18</f>
        <v>8451</v>
      </c>
      <c r="E27" s="188">
        <f t="shared" si="5"/>
        <v>4000</v>
      </c>
      <c r="F27" s="186">
        <f t="shared" si="5"/>
        <v>0</v>
      </c>
      <c r="G27" s="187">
        <f t="shared" si="5"/>
        <v>0</v>
      </c>
      <c r="H27" s="187">
        <f t="shared" si="5"/>
        <v>0</v>
      </c>
      <c r="I27" s="187">
        <f t="shared" si="5"/>
        <v>4000</v>
      </c>
      <c r="J27" s="187">
        <f t="shared" si="5"/>
        <v>0</v>
      </c>
      <c r="K27" s="187">
        <f t="shared" si="5"/>
        <v>0</v>
      </c>
      <c r="L27" s="187">
        <f t="shared" si="5"/>
        <v>0</v>
      </c>
      <c r="M27" s="187">
        <f t="shared" si="5"/>
        <v>0</v>
      </c>
      <c r="N27" s="188">
        <f t="shared" si="5"/>
        <v>750</v>
      </c>
      <c r="O27" s="231">
        <f t="shared" si="2"/>
        <v>17201</v>
      </c>
      <c r="P27" s="236">
        <f t="shared" si="3"/>
        <v>1.3199262893078092E-2</v>
      </c>
    </row>
    <row r="28" spans="2:16" ht="27.75" customHeight="1" x14ac:dyDescent="0.25">
      <c r="B28" s="185" t="s">
        <v>11</v>
      </c>
      <c r="C28" s="186">
        <f>(C10*1000)/$G$18</f>
        <v>19987.103014670323</v>
      </c>
      <c r="D28" s="187">
        <f t="shared" ref="D28:N28" si="6">(D10*1000)/$G$18</f>
        <v>12942.124778333065</v>
      </c>
      <c r="E28" s="188">
        <f t="shared" si="6"/>
        <v>0</v>
      </c>
      <c r="F28" s="186">
        <f t="shared" si="6"/>
        <v>0</v>
      </c>
      <c r="G28" s="187">
        <f t="shared" si="6"/>
        <v>0</v>
      </c>
      <c r="H28" s="187">
        <f t="shared" si="6"/>
        <v>0</v>
      </c>
      <c r="I28" s="187">
        <f t="shared" si="6"/>
        <v>0</v>
      </c>
      <c r="J28" s="187">
        <f t="shared" si="6"/>
        <v>0</v>
      </c>
      <c r="K28" s="187">
        <f t="shared" si="6"/>
        <v>0</v>
      </c>
      <c r="L28" s="187">
        <f t="shared" si="6"/>
        <v>0</v>
      </c>
      <c r="M28" s="187">
        <f t="shared" si="6"/>
        <v>0</v>
      </c>
      <c r="N28" s="188">
        <f t="shared" si="6"/>
        <v>0</v>
      </c>
      <c r="O28" s="231">
        <f t="shared" si="2"/>
        <v>32929.227793003389</v>
      </c>
      <c r="P28" s="236">
        <f t="shared" si="3"/>
        <v>2.5268387565019791E-2</v>
      </c>
    </row>
    <row r="29" spans="2:16" ht="27.75" customHeight="1" x14ac:dyDescent="0.25">
      <c r="B29" s="185" t="s">
        <v>12</v>
      </c>
      <c r="C29" s="186">
        <f>(C11*1000)/$G$18</f>
        <v>0</v>
      </c>
      <c r="D29" s="187">
        <f t="shared" ref="D29:N29" si="7">(D11*1000)/$G$18</f>
        <v>33893.277446396911</v>
      </c>
      <c r="E29" s="188">
        <f t="shared" si="7"/>
        <v>0</v>
      </c>
      <c r="F29" s="186">
        <f t="shared" si="7"/>
        <v>0</v>
      </c>
      <c r="G29" s="187">
        <f t="shared" si="7"/>
        <v>2821.2155408673225</v>
      </c>
      <c r="H29" s="187">
        <f t="shared" si="7"/>
        <v>0</v>
      </c>
      <c r="I29" s="187">
        <f t="shared" si="7"/>
        <v>0</v>
      </c>
      <c r="J29" s="187">
        <f t="shared" si="7"/>
        <v>0</v>
      </c>
      <c r="K29" s="187">
        <f t="shared" si="7"/>
        <v>20151.539577623731</v>
      </c>
      <c r="L29" s="187">
        <f t="shared" si="7"/>
        <v>0</v>
      </c>
      <c r="M29" s="187">
        <f t="shared" si="7"/>
        <v>1209.092374657424</v>
      </c>
      <c r="N29" s="188">
        <f t="shared" si="7"/>
        <v>0</v>
      </c>
      <c r="O29" s="231">
        <f t="shared" si="2"/>
        <v>58075.124939545392</v>
      </c>
      <c r="P29" s="236">
        <f t="shared" si="3"/>
        <v>4.4564202175769757E-2</v>
      </c>
    </row>
    <row r="30" spans="2:16" ht="27.75" customHeight="1" x14ac:dyDescent="0.25">
      <c r="B30" s="185" t="s">
        <v>13</v>
      </c>
      <c r="C30" s="186">
        <f>(C12*1000)/$I$18</f>
        <v>0</v>
      </c>
      <c r="D30" s="187">
        <f t="shared" ref="D30:N30" si="8">(D12*1000)/$I$18</f>
        <v>4457.3412402777367</v>
      </c>
      <c r="E30" s="188">
        <f t="shared" si="8"/>
        <v>0</v>
      </c>
      <c r="F30" s="186">
        <f t="shared" si="8"/>
        <v>0</v>
      </c>
      <c r="G30" s="187">
        <f t="shared" si="8"/>
        <v>0</v>
      </c>
      <c r="H30" s="187">
        <f t="shared" si="8"/>
        <v>0</v>
      </c>
      <c r="I30" s="187">
        <f t="shared" si="8"/>
        <v>0</v>
      </c>
      <c r="J30" s="187">
        <f t="shared" si="8"/>
        <v>0</v>
      </c>
      <c r="K30" s="187">
        <f t="shared" si="8"/>
        <v>0</v>
      </c>
      <c r="L30" s="187">
        <f t="shared" si="8"/>
        <v>0</v>
      </c>
      <c r="M30" s="187">
        <f t="shared" si="8"/>
        <v>0</v>
      </c>
      <c r="N30" s="188">
        <f t="shared" si="8"/>
        <v>0</v>
      </c>
      <c r="O30" s="231">
        <f t="shared" si="2"/>
        <v>4457.3412402777367</v>
      </c>
      <c r="P30" s="236">
        <f t="shared" si="3"/>
        <v>3.4203603764074537E-3</v>
      </c>
    </row>
    <row r="31" spans="2:16" ht="27.75" customHeight="1" thickBot="1" x14ac:dyDescent="0.3">
      <c r="B31" s="189" t="s">
        <v>66</v>
      </c>
      <c r="C31" s="190">
        <f>(C14*1000)/$F$18</f>
        <v>0</v>
      </c>
      <c r="D31" s="191">
        <f t="shared" ref="D31:N31" si="9">(D14*1000)/$F$18</f>
        <v>0</v>
      </c>
      <c r="E31" s="192">
        <f t="shared" si="9"/>
        <v>0</v>
      </c>
      <c r="F31" s="190">
        <f t="shared" si="9"/>
        <v>0</v>
      </c>
      <c r="G31" s="191">
        <f t="shared" si="9"/>
        <v>0</v>
      </c>
      <c r="H31" s="191">
        <f t="shared" si="9"/>
        <v>0</v>
      </c>
      <c r="I31" s="191">
        <f t="shared" si="9"/>
        <v>0</v>
      </c>
      <c r="J31" s="191">
        <f t="shared" si="9"/>
        <v>856.75119945167921</v>
      </c>
      <c r="K31" s="191">
        <f t="shared" si="9"/>
        <v>0</v>
      </c>
      <c r="L31" s="191">
        <f t="shared" si="9"/>
        <v>0</v>
      </c>
      <c r="M31" s="191">
        <f t="shared" si="9"/>
        <v>0</v>
      </c>
      <c r="N31" s="192">
        <f t="shared" si="9"/>
        <v>0</v>
      </c>
      <c r="O31" s="232">
        <f t="shared" si="2"/>
        <v>856.75119945167921</v>
      </c>
      <c r="P31" s="237">
        <f t="shared" si="3"/>
        <v>6.5743179556553087E-4</v>
      </c>
    </row>
    <row r="32" spans="2:16" ht="27.75" customHeight="1" thickBot="1" x14ac:dyDescent="0.3">
      <c r="B32" s="238" t="s">
        <v>40</v>
      </c>
      <c r="C32" s="201">
        <f>SUM(C24:C31)</f>
        <v>348749.25709222455</v>
      </c>
      <c r="D32" s="201">
        <f t="shared" ref="D32:O32" si="10">SUM(D24:D31)</f>
        <v>653143.54753453447</v>
      </c>
      <c r="E32" s="202">
        <f t="shared" si="10"/>
        <v>4000</v>
      </c>
      <c r="F32" s="201">
        <f t="shared" si="10"/>
        <v>25030.193589819421</v>
      </c>
      <c r="G32" s="201">
        <f t="shared" si="10"/>
        <v>57473.37071692336</v>
      </c>
      <c r="H32" s="201">
        <f t="shared" si="10"/>
        <v>67600.111540184036</v>
      </c>
      <c r="I32" s="201">
        <f t="shared" si="10"/>
        <v>75923.138673178793</v>
      </c>
      <c r="J32" s="201">
        <f t="shared" si="10"/>
        <v>1828.5028028418246</v>
      </c>
      <c r="K32" s="201">
        <f t="shared" si="10"/>
        <v>47191.584193697345</v>
      </c>
      <c r="L32" s="201">
        <f t="shared" si="10"/>
        <v>20280.033462055213</v>
      </c>
      <c r="M32" s="201">
        <f t="shared" si="10"/>
        <v>1209.092374657424</v>
      </c>
      <c r="N32" s="201">
        <f t="shared" si="10"/>
        <v>750</v>
      </c>
      <c r="O32" s="233">
        <f t="shared" si="10"/>
        <v>1303178.8319801164</v>
      </c>
      <c r="P32" s="234">
        <f t="shared" si="3"/>
        <v>1</v>
      </c>
    </row>
    <row r="34" spans="10:12" ht="27.75" customHeight="1" thickBot="1" x14ac:dyDescent="0.3"/>
    <row r="35" spans="10:12" ht="27.75" customHeight="1" thickBot="1" x14ac:dyDescent="0.35">
      <c r="J35" s="304" t="s">
        <v>80</v>
      </c>
      <c r="K35" s="305"/>
      <c r="L35" s="306"/>
    </row>
    <row r="36" spans="10:12" ht="27.75" customHeight="1" thickBot="1" x14ac:dyDescent="0.35">
      <c r="J36" s="206"/>
      <c r="K36" s="208" t="s">
        <v>84</v>
      </c>
      <c r="L36" s="209" t="s">
        <v>83</v>
      </c>
    </row>
    <row r="37" spans="10:12" ht="27.75" customHeight="1" x14ac:dyDescent="0.3">
      <c r="J37" s="204" t="s">
        <v>78</v>
      </c>
      <c r="K37" s="227">
        <v>50000</v>
      </c>
      <c r="L37" s="207">
        <f>(K37*1000)/I18</f>
        <v>37250.05215007301</v>
      </c>
    </row>
    <row r="38" spans="10:12" ht="27.75" customHeight="1" x14ac:dyDescent="0.3">
      <c r="J38" s="225" t="s">
        <v>79</v>
      </c>
      <c r="K38" s="228">
        <v>50000</v>
      </c>
      <c r="L38" s="226">
        <f>(K38*1000)/D18</f>
        <v>42250.069712615026</v>
      </c>
    </row>
    <row r="39" spans="10:12" ht="27.75" customHeight="1" thickBot="1" x14ac:dyDescent="0.35">
      <c r="J39" s="205" t="s">
        <v>10</v>
      </c>
      <c r="K39" s="229">
        <v>8000</v>
      </c>
      <c r="L39" s="203">
        <v>8000</v>
      </c>
    </row>
  </sheetData>
  <mergeCells count="13">
    <mergeCell ref="B5:O5"/>
    <mergeCell ref="B2:O2"/>
    <mergeCell ref="B3:B4"/>
    <mergeCell ref="C3:E3"/>
    <mergeCell ref="F3:N3"/>
    <mergeCell ref="O3:O4"/>
    <mergeCell ref="P22:P23"/>
    <mergeCell ref="B21:P21"/>
    <mergeCell ref="J35:L35"/>
    <mergeCell ref="B22:B23"/>
    <mergeCell ref="C22:E22"/>
    <mergeCell ref="F22:N22"/>
    <mergeCell ref="O22:O23"/>
  </mergeCells>
  <pageMargins left="0.7" right="0.7" top="0.75" bottom="0.75" header="0.3" footer="0.3"/>
  <pageSetup scale="41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13" sqref="B13"/>
    </sheetView>
  </sheetViews>
  <sheetFormatPr defaultColWidth="20.5703125" defaultRowHeight="15" x14ac:dyDescent="0.25"/>
  <cols>
    <col min="1" max="1" width="20.5703125" style="211"/>
    <col min="2" max="2" width="25" style="211" customWidth="1"/>
    <col min="3" max="16384" width="20.5703125" style="211"/>
  </cols>
  <sheetData>
    <row r="2" spans="2:6" ht="15.75" thickBot="1" x14ac:dyDescent="0.3"/>
    <row r="3" spans="2:6" ht="15.75" thickBot="1" x14ac:dyDescent="0.3">
      <c r="B3" s="219" t="s">
        <v>86</v>
      </c>
      <c r="C3" s="220" t="s">
        <v>87</v>
      </c>
      <c r="D3" s="220" t="s">
        <v>88</v>
      </c>
      <c r="E3" s="220" t="s">
        <v>89</v>
      </c>
      <c r="F3" s="221" t="s">
        <v>90</v>
      </c>
    </row>
    <row r="4" spans="2:6" x14ac:dyDescent="0.25">
      <c r="B4" s="217" t="s">
        <v>91</v>
      </c>
      <c r="C4" s="218">
        <v>101250</v>
      </c>
      <c r="D4" s="222" t="s">
        <v>92</v>
      </c>
      <c r="E4" s="217"/>
      <c r="F4" s="223">
        <v>210500</v>
      </c>
    </row>
    <row r="5" spans="2:6" x14ac:dyDescent="0.25">
      <c r="B5" s="212" t="s">
        <v>93</v>
      </c>
      <c r="C5" s="213">
        <v>34000</v>
      </c>
      <c r="D5" s="213">
        <v>43000</v>
      </c>
      <c r="E5" s="212">
        <v>10000</v>
      </c>
      <c r="F5" s="224" t="s">
        <v>94</v>
      </c>
    </row>
    <row r="6" spans="2:6" x14ac:dyDescent="0.25">
      <c r="B6" s="212" t="s">
        <v>95</v>
      </c>
      <c r="C6" s="214">
        <v>13500</v>
      </c>
      <c r="D6" s="213">
        <v>37600</v>
      </c>
      <c r="E6" s="212"/>
      <c r="F6" s="224" t="s">
        <v>96</v>
      </c>
    </row>
    <row r="7" spans="2:6" x14ac:dyDescent="0.25">
      <c r="B7" s="212" t="s">
        <v>97</v>
      </c>
      <c r="C7" s="213">
        <v>12500</v>
      </c>
      <c r="D7" s="213">
        <v>35000</v>
      </c>
      <c r="E7" s="212"/>
      <c r="F7" s="224" t="s">
        <v>98</v>
      </c>
    </row>
    <row r="8" spans="2:6" x14ac:dyDescent="0.25">
      <c r="B8" s="212" t="s">
        <v>99</v>
      </c>
      <c r="C8" s="213">
        <v>5000</v>
      </c>
      <c r="D8" s="213">
        <v>7000</v>
      </c>
      <c r="E8" s="212"/>
      <c r="F8" s="224" t="s">
        <v>100</v>
      </c>
    </row>
    <row r="9" spans="2:6" x14ac:dyDescent="0.25">
      <c r="B9" s="212" t="s">
        <v>101</v>
      </c>
      <c r="C9" s="213">
        <v>5000</v>
      </c>
      <c r="D9" s="213">
        <v>12500</v>
      </c>
      <c r="E9" s="212"/>
      <c r="F9" s="224" t="s">
        <v>102</v>
      </c>
    </row>
    <row r="10" spans="2:6" x14ac:dyDescent="0.25">
      <c r="B10" s="215" t="s">
        <v>90</v>
      </c>
      <c r="C10" s="216">
        <f>SUM(C4:C9)</f>
        <v>171250</v>
      </c>
      <c r="D10" s="216">
        <f t="shared" ref="D10:F10" si="0">SUM(D4:D9)</f>
        <v>135100</v>
      </c>
      <c r="E10" s="216">
        <f t="shared" si="0"/>
        <v>10000</v>
      </c>
      <c r="F10" s="216">
        <f t="shared" si="0"/>
        <v>210500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39"/>
  <sheetViews>
    <sheetView showGridLines="0" view="pageBreakPreview" topLeftCell="A17" zoomScale="60" zoomScaleNormal="80" workbookViewId="0">
      <selection activeCell="D26" sqref="D26"/>
    </sheetView>
  </sheetViews>
  <sheetFormatPr defaultRowHeight="27.75" customHeight="1" x14ac:dyDescent="0.25"/>
  <cols>
    <col min="1" max="1" width="4.5703125" customWidth="1"/>
    <col min="2" max="2" width="18.7109375" customWidth="1"/>
    <col min="3" max="3" width="17" bestFit="1" customWidth="1"/>
    <col min="4" max="5" width="15.85546875" customWidth="1"/>
    <col min="6" max="6" width="23.140625" customWidth="1"/>
    <col min="7" max="7" width="15.85546875" customWidth="1"/>
    <col min="8" max="8" width="17.42578125" customWidth="1"/>
    <col min="9" max="9" width="21.7109375" customWidth="1"/>
    <col min="10" max="10" width="19.85546875" bestFit="1" customWidth="1"/>
    <col min="11" max="11" width="27.140625" customWidth="1"/>
    <col min="12" max="12" width="20.28515625" bestFit="1" customWidth="1"/>
    <col min="13" max="14" width="15.85546875" customWidth="1"/>
    <col min="15" max="15" width="27" bestFit="1" customWidth="1"/>
    <col min="16" max="16" width="17.7109375" customWidth="1"/>
    <col min="18" max="20" width="13.28515625" customWidth="1"/>
  </cols>
  <sheetData>
    <row r="1" spans="1:16" ht="27.75" customHeight="1" thickBot="1" x14ac:dyDescent="0.3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16" ht="27" customHeight="1" thickBot="1" x14ac:dyDescent="0.4">
      <c r="A2" s="133"/>
      <c r="B2" s="319" t="s">
        <v>0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1"/>
      <c r="P2" s="133"/>
    </row>
    <row r="3" spans="1:16" ht="40.5" customHeight="1" thickBot="1" x14ac:dyDescent="0.3">
      <c r="B3" s="322" t="s">
        <v>1</v>
      </c>
      <c r="C3" s="324" t="s">
        <v>53</v>
      </c>
      <c r="D3" s="325"/>
      <c r="E3" s="326"/>
      <c r="F3" s="327" t="s">
        <v>54</v>
      </c>
      <c r="G3" s="328"/>
      <c r="H3" s="328"/>
      <c r="I3" s="328"/>
      <c r="J3" s="328"/>
      <c r="K3" s="328"/>
      <c r="L3" s="328"/>
      <c r="M3" s="328"/>
      <c r="N3" s="329"/>
      <c r="O3" s="330" t="s">
        <v>3</v>
      </c>
    </row>
    <row r="4" spans="1:16" ht="40.5" customHeight="1" thickBot="1" x14ac:dyDescent="0.3">
      <c r="B4" s="323"/>
      <c r="C4" s="134" t="s">
        <v>2</v>
      </c>
      <c r="D4" s="135" t="s">
        <v>55</v>
      </c>
      <c r="E4" s="136" t="s">
        <v>4</v>
      </c>
      <c r="F4" s="134" t="s">
        <v>56</v>
      </c>
      <c r="G4" s="135" t="s">
        <v>57</v>
      </c>
      <c r="H4" s="135" t="s">
        <v>58</v>
      </c>
      <c r="I4" s="137" t="s">
        <v>59</v>
      </c>
      <c r="J4" s="138" t="s">
        <v>60</v>
      </c>
      <c r="K4" s="137" t="s">
        <v>61</v>
      </c>
      <c r="L4" s="137" t="s">
        <v>52</v>
      </c>
      <c r="M4" s="138" t="s">
        <v>62</v>
      </c>
      <c r="N4" s="136" t="s">
        <v>63</v>
      </c>
      <c r="O4" s="331"/>
    </row>
    <row r="5" spans="1:16" ht="27" customHeight="1" thickBot="1" x14ac:dyDescent="0.4">
      <c r="B5" s="316" t="s">
        <v>64</v>
      </c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8"/>
    </row>
    <row r="6" spans="1:16" ht="29.25" customHeight="1" x14ac:dyDescent="0.25">
      <c r="B6" s="139" t="s">
        <v>7</v>
      </c>
      <c r="C6" s="140">
        <v>0</v>
      </c>
      <c r="D6" s="141">
        <v>300051</v>
      </c>
      <c r="E6" s="142"/>
      <c r="F6" s="143">
        <v>0</v>
      </c>
      <c r="G6" s="144">
        <v>0</v>
      </c>
      <c r="H6" s="144">
        <v>0</v>
      </c>
      <c r="I6" s="144">
        <v>0</v>
      </c>
      <c r="J6" s="145">
        <v>0</v>
      </c>
      <c r="K6" s="145">
        <v>0</v>
      </c>
      <c r="L6" s="145"/>
      <c r="M6" s="146">
        <v>0</v>
      </c>
      <c r="N6" s="147"/>
      <c r="O6" s="148">
        <f t="shared" ref="O6:O14" si="0">SUM(C6:N6)</f>
        <v>300051</v>
      </c>
    </row>
    <row r="7" spans="1:16" ht="29.25" customHeight="1" x14ac:dyDescent="0.25">
      <c r="B7" s="149" t="s">
        <v>8</v>
      </c>
      <c r="C7" s="150">
        <v>219691.497</v>
      </c>
      <c r="D7" s="151">
        <v>184625.49900000001</v>
      </c>
      <c r="E7" s="152"/>
      <c r="F7" s="150">
        <v>21871.482</v>
      </c>
      <c r="G7" s="151">
        <v>47677</v>
      </c>
      <c r="H7" s="151">
        <v>55000</v>
      </c>
      <c r="I7" s="151">
        <v>40116</v>
      </c>
      <c r="J7" s="153">
        <v>1150</v>
      </c>
      <c r="K7" s="154">
        <v>18000</v>
      </c>
      <c r="L7" s="154">
        <v>24000</v>
      </c>
      <c r="M7" s="155">
        <v>0</v>
      </c>
      <c r="N7" s="152"/>
      <c r="O7" s="156">
        <f t="shared" si="0"/>
        <v>612131.47800000012</v>
      </c>
    </row>
    <row r="8" spans="1:16" ht="29.25" customHeight="1" x14ac:dyDescent="0.25">
      <c r="B8" s="157" t="s">
        <v>9</v>
      </c>
      <c r="C8" s="158">
        <v>169375.49900000001</v>
      </c>
      <c r="D8" s="159">
        <v>17288</v>
      </c>
      <c r="E8" s="160"/>
      <c r="F8" s="158">
        <v>7750</v>
      </c>
      <c r="G8" s="159">
        <v>17000</v>
      </c>
      <c r="H8" s="159">
        <v>25000</v>
      </c>
      <c r="I8" s="161">
        <v>45000</v>
      </c>
      <c r="J8" s="162">
        <v>0</v>
      </c>
      <c r="K8" s="162">
        <v>14000</v>
      </c>
      <c r="L8" s="163"/>
      <c r="M8" s="155">
        <v>0</v>
      </c>
      <c r="N8" s="160"/>
      <c r="O8" s="156">
        <f t="shared" si="0"/>
        <v>295413.49900000001</v>
      </c>
    </row>
    <row r="9" spans="1:16" ht="29.25" customHeight="1" x14ac:dyDescent="0.25">
      <c r="B9" s="157" t="s">
        <v>10</v>
      </c>
      <c r="C9" s="158">
        <v>0</v>
      </c>
      <c r="D9" s="159">
        <v>8451</v>
      </c>
      <c r="E9" s="160">
        <v>4000</v>
      </c>
      <c r="F9" s="158">
        <v>0</v>
      </c>
      <c r="G9" s="159">
        <v>0</v>
      </c>
      <c r="H9" s="159">
        <v>0</v>
      </c>
      <c r="I9" s="159">
        <v>4000</v>
      </c>
      <c r="J9" s="162">
        <v>0</v>
      </c>
      <c r="K9" s="162">
        <v>0</v>
      </c>
      <c r="L9" s="163">
        <f>((4000*1000)/1000)-I9</f>
        <v>0</v>
      </c>
      <c r="M9" s="155">
        <v>0</v>
      </c>
      <c r="N9" s="160">
        <v>750</v>
      </c>
      <c r="O9" s="156">
        <f t="shared" si="0"/>
        <v>17201</v>
      </c>
    </row>
    <row r="10" spans="1:16" ht="29.25" customHeight="1" x14ac:dyDescent="0.25">
      <c r="B10" s="157" t="s">
        <v>11</v>
      </c>
      <c r="C10" s="158">
        <v>24796</v>
      </c>
      <c r="D10" s="159">
        <v>16056</v>
      </c>
      <c r="E10" s="160"/>
      <c r="F10" s="158">
        <v>0</v>
      </c>
      <c r="G10" s="159">
        <v>0</v>
      </c>
      <c r="H10" s="159">
        <v>0</v>
      </c>
      <c r="I10" s="159">
        <v>0</v>
      </c>
      <c r="J10" s="162">
        <v>0</v>
      </c>
      <c r="K10" s="162">
        <v>0</v>
      </c>
      <c r="L10" s="164"/>
      <c r="M10" s="155">
        <v>0</v>
      </c>
      <c r="N10" s="160"/>
      <c r="O10" s="156">
        <f t="shared" si="0"/>
        <v>40852</v>
      </c>
    </row>
    <row r="11" spans="1:16" ht="29.25" customHeight="1" x14ac:dyDescent="0.25">
      <c r="B11" s="157" t="s">
        <v>12</v>
      </c>
      <c r="C11" s="158">
        <v>0</v>
      </c>
      <c r="D11" s="159">
        <v>42048</v>
      </c>
      <c r="E11" s="160"/>
      <c r="F11" s="158">
        <v>0</v>
      </c>
      <c r="G11" s="159">
        <v>3500</v>
      </c>
      <c r="H11" s="159">
        <v>0</v>
      </c>
      <c r="I11" s="159">
        <v>0</v>
      </c>
      <c r="J11" s="162">
        <v>0</v>
      </c>
      <c r="K11" s="162">
        <f>15000+10000</f>
        <v>25000</v>
      </c>
      <c r="L11" s="164"/>
      <c r="M11" s="155">
        <v>1500</v>
      </c>
      <c r="N11" s="160"/>
      <c r="O11" s="156">
        <f t="shared" si="0"/>
        <v>72048</v>
      </c>
    </row>
    <row r="12" spans="1:16" ht="29.25" customHeight="1" x14ac:dyDescent="0.25">
      <c r="B12" s="157" t="s">
        <v>13</v>
      </c>
      <c r="C12" s="158">
        <v>0</v>
      </c>
      <c r="D12" s="159">
        <v>5983</v>
      </c>
      <c r="E12" s="160"/>
      <c r="F12" s="158">
        <v>0</v>
      </c>
      <c r="G12" s="159">
        <v>0</v>
      </c>
      <c r="H12" s="159">
        <v>0</v>
      </c>
      <c r="I12" s="159">
        <v>0</v>
      </c>
      <c r="J12" s="162">
        <v>0</v>
      </c>
      <c r="K12" s="162">
        <v>0</v>
      </c>
      <c r="L12" s="164"/>
      <c r="M12" s="155">
        <v>0</v>
      </c>
      <c r="N12" s="160"/>
      <c r="O12" s="156">
        <f t="shared" si="0"/>
        <v>5983</v>
      </c>
    </row>
    <row r="13" spans="1:16" ht="29.25" hidden="1" customHeight="1" x14ac:dyDescent="0.25">
      <c r="B13" s="157" t="s">
        <v>65</v>
      </c>
      <c r="C13" s="158">
        <v>0</v>
      </c>
      <c r="D13" s="159">
        <v>0</v>
      </c>
      <c r="E13" s="165"/>
      <c r="F13" s="158">
        <v>0</v>
      </c>
      <c r="G13" s="159">
        <v>0</v>
      </c>
      <c r="H13" s="159">
        <v>0</v>
      </c>
      <c r="I13" s="159">
        <v>0</v>
      </c>
      <c r="J13" s="166">
        <v>300</v>
      </c>
      <c r="K13" s="166"/>
      <c r="L13" s="167"/>
      <c r="M13" s="155">
        <v>0</v>
      </c>
      <c r="N13" s="165"/>
      <c r="O13" s="156">
        <f t="shared" si="0"/>
        <v>300</v>
      </c>
    </row>
    <row r="14" spans="1:16" ht="29.25" customHeight="1" thickBot="1" x14ac:dyDescent="0.3">
      <c r="B14" s="168" t="s">
        <v>66</v>
      </c>
      <c r="C14" s="169">
        <v>0</v>
      </c>
      <c r="D14" s="170">
        <v>0</v>
      </c>
      <c r="E14" s="171"/>
      <c r="F14" s="169">
        <v>0</v>
      </c>
      <c r="G14" s="170">
        <v>0</v>
      </c>
      <c r="H14" s="170">
        <v>0</v>
      </c>
      <c r="I14" s="170">
        <v>0</v>
      </c>
      <c r="J14" s="172">
        <v>1150</v>
      </c>
      <c r="K14" s="172">
        <v>0</v>
      </c>
      <c r="L14" s="172"/>
      <c r="M14" s="173">
        <v>0</v>
      </c>
      <c r="N14" s="171"/>
      <c r="O14" s="174">
        <f t="shared" si="0"/>
        <v>1150</v>
      </c>
    </row>
    <row r="15" spans="1:16" ht="27.75" customHeight="1" x14ac:dyDescent="0.25">
      <c r="C15" s="89"/>
    </row>
    <row r="17" spans="2:16" ht="27.75" customHeight="1" x14ac:dyDescent="0.25">
      <c r="B17" s="175" t="s">
        <v>67</v>
      </c>
      <c r="C17" s="175" t="s">
        <v>68</v>
      </c>
      <c r="D17" s="175" t="s">
        <v>69</v>
      </c>
      <c r="E17" s="175" t="s">
        <v>70</v>
      </c>
      <c r="F17" s="175" t="s">
        <v>71</v>
      </c>
      <c r="G17" s="175" t="s">
        <v>72</v>
      </c>
      <c r="H17" s="175" t="s">
        <v>73</v>
      </c>
      <c r="I17" s="175" t="s">
        <v>74</v>
      </c>
      <c r="K17" s="210"/>
    </row>
    <row r="18" spans="2:16" ht="27.75" customHeight="1" x14ac:dyDescent="0.25">
      <c r="B18" s="175"/>
      <c r="C18" s="175">
        <v>1005.03</v>
      </c>
      <c r="D18" s="175">
        <v>1183.43</v>
      </c>
      <c r="E18" s="175">
        <v>1183.43</v>
      </c>
      <c r="F18" s="175">
        <v>1342.28</v>
      </c>
      <c r="G18" s="175">
        <v>1240.5999999999999</v>
      </c>
      <c r="H18" s="175">
        <v>1000</v>
      </c>
      <c r="I18" s="175">
        <v>1342.28</v>
      </c>
    </row>
    <row r="21" spans="2:16" ht="27.75" customHeight="1" thickBot="1" x14ac:dyDescent="0.4">
      <c r="B21" s="302" t="s">
        <v>41</v>
      </c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</row>
    <row r="22" spans="2:16" ht="27.75" customHeight="1" thickBot="1" x14ac:dyDescent="0.3">
      <c r="B22" s="307" t="s">
        <v>1</v>
      </c>
      <c r="C22" s="309" t="s">
        <v>53</v>
      </c>
      <c r="D22" s="310"/>
      <c r="E22" s="311"/>
      <c r="F22" s="312" t="s">
        <v>54</v>
      </c>
      <c r="G22" s="313"/>
      <c r="H22" s="313"/>
      <c r="I22" s="313"/>
      <c r="J22" s="313"/>
      <c r="K22" s="313"/>
      <c r="L22" s="313"/>
      <c r="M22" s="313"/>
      <c r="N22" s="314"/>
      <c r="O22" s="300" t="s">
        <v>75</v>
      </c>
      <c r="P22" s="300" t="s">
        <v>103</v>
      </c>
    </row>
    <row r="23" spans="2:16" ht="54.75" thickBot="1" x14ac:dyDescent="0.3">
      <c r="B23" s="308"/>
      <c r="C23" s="198" t="s">
        <v>2</v>
      </c>
      <c r="D23" s="199" t="s">
        <v>55</v>
      </c>
      <c r="E23" s="200" t="s">
        <v>4</v>
      </c>
      <c r="F23" s="176" t="s">
        <v>77</v>
      </c>
      <c r="G23" s="177" t="s">
        <v>57</v>
      </c>
      <c r="H23" s="177" t="s">
        <v>76</v>
      </c>
      <c r="I23" s="179" t="s">
        <v>59</v>
      </c>
      <c r="J23" s="180" t="s">
        <v>81</v>
      </c>
      <c r="K23" s="179" t="s">
        <v>85</v>
      </c>
      <c r="L23" s="179" t="s">
        <v>82</v>
      </c>
      <c r="M23" s="180" t="s">
        <v>62</v>
      </c>
      <c r="N23" s="178" t="s">
        <v>63</v>
      </c>
      <c r="O23" s="315"/>
      <c r="P23" s="301"/>
    </row>
    <row r="24" spans="2:16" ht="27.75" customHeight="1" x14ac:dyDescent="0.25">
      <c r="B24" s="193" t="s">
        <v>7</v>
      </c>
      <c r="C24" s="194"/>
      <c r="D24" s="195">
        <v>300051</v>
      </c>
      <c r="E24" s="196"/>
      <c r="F24" s="194"/>
      <c r="G24" s="197"/>
      <c r="H24" s="197"/>
      <c r="I24" s="197"/>
      <c r="J24" s="195"/>
      <c r="K24" s="195"/>
      <c r="L24" s="195"/>
      <c r="M24" s="195"/>
      <c r="N24" s="196"/>
      <c r="O24" s="230">
        <f>SUM(C24:N24)</f>
        <v>300051</v>
      </c>
      <c r="P24" s="235">
        <f>O24/$O$32</f>
        <v>0.23694958459019763</v>
      </c>
    </row>
    <row r="25" spans="2:16" ht="27.75" customHeight="1" x14ac:dyDescent="0.25">
      <c r="B25" s="181" t="s">
        <v>8</v>
      </c>
      <c r="C25" s="182">
        <f>(C7*1000)/$D$18</f>
        <v>185639.62127037509</v>
      </c>
      <c r="D25" s="183">
        <f t="shared" ref="D25:N26" si="1">(D7*1000)/$D$18</f>
        <v>156008.8040695267</v>
      </c>
      <c r="E25" s="184">
        <f t="shared" si="1"/>
        <v>0</v>
      </c>
      <c r="F25" s="182">
        <f t="shared" si="1"/>
        <v>18481.432784364093</v>
      </c>
      <c r="G25" s="183">
        <f t="shared" si="1"/>
        <v>40287.131473766931</v>
      </c>
      <c r="H25" s="183">
        <f t="shared" si="1"/>
        <v>46475.076683876527</v>
      </c>
      <c r="I25" s="183">
        <f t="shared" si="1"/>
        <v>33898.075931825282</v>
      </c>
      <c r="J25" s="183">
        <f t="shared" si="1"/>
        <v>971.75160339014553</v>
      </c>
      <c r="K25" s="183">
        <f>(K7*1000)/$D$18+L38</f>
        <v>60840.100386165635</v>
      </c>
      <c r="L25" s="183">
        <f t="shared" si="1"/>
        <v>20280.033462055213</v>
      </c>
      <c r="M25" s="183">
        <f t="shared" si="1"/>
        <v>0</v>
      </c>
      <c r="N25" s="184">
        <f t="shared" si="1"/>
        <v>0</v>
      </c>
      <c r="O25" s="231">
        <f t="shared" ref="O25:O31" si="2">SUM(C25:N25)</f>
        <v>562882.0276653457</v>
      </c>
      <c r="P25" s="236">
        <f t="shared" ref="P25:P32" si="3">O25/$O$32</f>
        <v>0.44450664263272505</v>
      </c>
    </row>
    <row r="26" spans="2:16" ht="27.75" customHeight="1" x14ac:dyDescent="0.25">
      <c r="B26" s="185" t="s">
        <v>9</v>
      </c>
      <c r="C26" s="186">
        <f>(C8*1000)/$D$18</f>
        <v>143122.53280717912</v>
      </c>
      <c r="D26" s="187">
        <f t="shared" si="1"/>
        <v>14608.38410383377</v>
      </c>
      <c r="E26" s="188">
        <f t="shared" si="1"/>
        <v>0</v>
      </c>
      <c r="F26" s="186">
        <f t="shared" si="1"/>
        <v>6548.7608054553284</v>
      </c>
      <c r="G26" s="187">
        <f t="shared" si="1"/>
        <v>14365.023702289109</v>
      </c>
      <c r="H26" s="187">
        <f t="shared" si="1"/>
        <v>21125.034856307513</v>
      </c>
      <c r="I26" s="187">
        <f t="shared" si="1"/>
        <v>38025.062741353519</v>
      </c>
      <c r="J26" s="187">
        <f t="shared" si="1"/>
        <v>0</v>
      </c>
      <c r="K26" s="187">
        <f>(K8*1000)/$D$18+L37</f>
        <v>52060.075841611062</v>
      </c>
      <c r="L26" s="187">
        <f t="shared" si="1"/>
        <v>0</v>
      </c>
      <c r="M26" s="187">
        <f t="shared" si="1"/>
        <v>0</v>
      </c>
      <c r="N26" s="188">
        <f t="shared" si="1"/>
        <v>0</v>
      </c>
      <c r="O26" s="231">
        <f t="shared" si="2"/>
        <v>289854.87485802942</v>
      </c>
      <c r="P26" s="236">
        <f t="shared" si="3"/>
        <v>0.2288977280164165</v>
      </c>
    </row>
    <row r="27" spans="2:16" ht="27.75" customHeight="1" x14ac:dyDescent="0.25">
      <c r="B27" s="185" t="s">
        <v>10</v>
      </c>
      <c r="C27" s="186">
        <f>(C9*1000)/$H$18</f>
        <v>0</v>
      </c>
      <c r="D27" s="187">
        <f t="shared" ref="D27:N27" si="4">(D9*1000)/$H$18</f>
        <v>8451</v>
      </c>
      <c r="E27" s="188">
        <f t="shared" si="4"/>
        <v>4000</v>
      </c>
      <c r="F27" s="186">
        <f t="shared" si="4"/>
        <v>0</v>
      </c>
      <c r="G27" s="187">
        <f t="shared" si="4"/>
        <v>0</v>
      </c>
      <c r="H27" s="187">
        <f t="shared" si="4"/>
        <v>0</v>
      </c>
      <c r="I27" s="187">
        <f t="shared" si="4"/>
        <v>4000</v>
      </c>
      <c r="J27" s="187">
        <f t="shared" si="4"/>
        <v>0</v>
      </c>
      <c r="K27" s="187">
        <f t="shared" si="4"/>
        <v>0</v>
      </c>
      <c r="L27" s="187">
        <f t="shared" si="4"/>
        <v>0</v>
      </c>
      <c r="M27" s="187">
        <f t="shared" si="4"/>
        <v>0</v>
      </c>
      <c r="N27" s="188">
        <f t="shared" si="4"/>
        <v>750</v>
      </c>
      <c r="O27" s="231">
        <f t="shared" si="2"/>
        <v>17201</v>
      </c>
      <c r="P27" s="236">
        <f t="shared" si="3"/>
        <v>1.3583590138129816E-2</v>
      </c>
    </row>
    <row r="28" spans="2:16" ht="27.75" customHeight="1" x14ac:dyDescent="0.25">
      <c r="B28" s="185" t="s">
        <v>11</v>
      </c>
      <c r="C28" s="186">
        <f>(C10*1000)/$G$18</f>
        <v>19987.103014670323</v>
      </c>
      <c r="D28" s="187">
        <f t="shared" ref="D28:N29" si="5">(D10*1000)/$G$18</f>
        <v>12942.124778333065</v>
      </c>
      <c r="E28" s="188">
        <f t="shared" si="5"/>
        <v>0</v>
      </c>
      <c r="F28" s="186">
        <f t="shared" si="5"/>
        <v>0</v>
      </c>
      <c r="G28" s="187">
        <f t="shared" si="5"/>
        <v>0</v>
      </c>
      <c r="H28" s="187">
        <f t="shared" si="5"/>
        <v>0</v>
      </c>
      <c r="I28" s="187">
        <f t="shared" si="5"/>
        <v>0</v>
      </c>
      <c r="J28" s="187">
        <f t="shared" si="5"/>
        <v>0</v>
      </c>
      <c r="K28" s="187">
        <f t="shared" si="5"/>
        <v>0</v>
      </c>
      <c r="L28" s="187">
        <f t="shared" si="5"/>
        <v>0</v>
      </c>
      <c r="M28" s="187">
        <f t="shared" si="5"/>
        <v>0</v>
      </c>
      <c r="N28" s="188">
        <f t="shared" si="5"/>
        <v>0</v>
      </c>
      <c r="O28" s="231">
        <f t="shared" si="2"/>
        <v>32929.227793003389</v>
      </c>
      <c r="P28" s="236">
        <f t="shared" si="3"/>
        <v>2.6004135451733683E-2</v>
      </c>
    </row>
    <row r="29" spans="2:16" ht="27.75" customHeight="1" x14ac:dyDescent="0.25">
      <c r="B29" s="185" t="s">
        <v>12</v>
      </c>
      <c r="C29" s="186">
        <f>(C11*1000)/$G$18</f>
        <v>0</v>
      </c>
      <c r="D29" s="187">
        <f t="shared" si="5"/>
        <v>33893.277446396911</v>
      </c>
      <c r="E29" s="188">
        <f t="shared" si="5"/>
        <v>0</v>
      </c>
      <c r="F29" s="186">
        <f t="shared" si="5"/>
        <v>0</v>
      </c>
      <c r="G29" s="187">
        <f t="shared" si="5"/>
        <v>2821.2155408673225</v>
      </c>
      <c r="H29" s="187">
        <f t="shared" si="5"/>
        <v>0</v>
      </c>
      <c r="I29" s="187">
        <f t="shared" si="5"/>
        <v>0</v>
      </c>
      <c r="J29" s="187">
        <f t="shared" si="5"/>
        <v>0</v>
      </c>
      <c r="K29" s="187">
        <f t="shared" si="5"/>
        <v>20151.539577623731</v>
      </c>
      <c r="L29" s="187">
        <f t="shared" si="5"/>
        <v>0</v>
      </c>
      <c r="M29" s="187">
        <f t="shared" si="5"/>
        <v>1209.092374657424</v>
      </c>
      <c r="N29" s="188">
        <f t="shared" si="5"/>
        <v>0</v>
      </c>
      <c r="O29" s="231">
        <f t="shared" si="2"/>
        <v>58075.124939545392</v>
      </c>
      <c r="P29" s="236">
        <f t="shared" si="3"/>
        <v>4.5861792593422809E-2</v>
      </c>
    </row>
    <row r="30" spans="2:16" ht="27.75" customHeight="1" x14ac:dyDescent="0.25">
      <c r="B30" s="185" t="s">
        <v>13</v>
      </c>
      <c r="C30" s="186">
        <f>(C12*1000)/$I$18</f>
        <v>0</v>
      </c>
      <c r="D30" s="187">
        <f t="shared" ref="D30:N30" si="6">(D12*1000)/$I$18</f>
        <v>4457.3412402777367</v>
      </c>
      <c r="E30" s="188">
        <f t="shared" si="6"/>
        <v>0</v>
      </c>
      <c r="F30" s="186">
        <f t="shared" si="6"/>
        <v>0</v>
      </c>
      <c r="G30" s="187">
        <f t="shared" si="6"/>
        <v>0</v>
      </c>
      <c r="H30" s="187">
        <f t="shared" si="6"/>
        <v>0</v>
      </c>
      <c r="I30" s="187">
        <f t="shared" si="6"/>
        <v>0</v>
      </c>
      <c r="J30" s="187">
        <f t="shared" si="6"/>
        <v>0</v>
      </c>
      <c r="K30" s="187">
        <f t="shared" si="6"/>
        <v>0</v>
      </c>
      <c r="L30" s="187">
        <f t="shared" si="6"/>
        <v>0</v>
      </c>
      <c r="M30" s="187">
        <f t="shared" si="6"/>
        <v>0</v>
      </c>
      <c r="N30" s="188">
        <f t="shared" si="6"/>
        <v>0</v>
      </c>
      <c r="O30" s="231">
        <f t="shared" si="2"/>
        <v>4457.3412402777367</v>
      </c>
      <c r="P30" s="236">
        <f t="shared" si="3"/>
        <v>3.5199521256738552E-3</v>
      </c>
    </row>
    <row r="31" spans="2:16" ht="27.75" customHeight="1" thickBot="1" x14ac:dyDescent="0.3">
      <c r="B31" s="189" t="s">
        <v>66</v>
      </c>
      <c r="C31" s="190">
        <f>(C14*1000)/$F$18</f>
        <v>0</v>
      </c>
      <c r="D31" s="191">
        <f t="shared" ref="D31:N31" si="7">(D14*1000)/$F$18</f>
        <v>0</v>
      </c>
      <c r="E31" s="192">
        <f t="shared" si="7"/>
        <v>0</v>
      </c>
      <c r="F31" s="190">
        <f t="shared" si="7"/>
        <v>0</v>
      </c>
      <c r="G31" s="191">
        <f t="shared" si="7"/>
        <v>0</v>
      </c>
      <c r="H31" s="191">
        <f t="shared" si="7"/>
        <v>0</v>
      </c>
      <c r="I31" s="191">
        <f t="shared" si="7"/>
        <v>0</v>
      </c>
      <c r="J31" s="191">
        <f t="shared" si="7"/>
        <v>856.75119945167921</v>
      </c>
      <c r="K31" s="191">
        <f t="shared" si="7"/>
        <v>0</v>
      </c>
      <c r="L31" s="191">
        <f t="shared" si="7"/>
        <v>0</v>
      </c>
      <c r="M31" s="191">
        <f t="shared" si="7"/>
        <v>0</v>
      </c>
      <c r="N31" s="192">
        <f t="shared" si="7"/>
        <v>0</v>
      </c>
      <c r="O31" s="232">
        <f t="shared" si="2"/>
        <v>856.75119945167921</v>
      </c>
      <c r="P31" s="237">
        <f t="shared" si="3"/>
        <v>6.7657445170064064E-4</v>
      </c>
    </row>
    <row r="32" spans="2:16" ht="27.75" customHeight="1" thickBot="1" x14ac:dyDescent="0.3">
      <c r="B32" s="238" t="s">
        <v>40</v>
      </c>
      <c r="C32" s="201">
        <f>SUM(C24:C31)</f>
        <v>348749.25709222455</v>
      </c>
      <c r="D32" s="201">
        <f t="shared" ref="D32:O32" si="8">SUM(D24:D31)</f>
        <v>530411.93163836817</v>
      </c>
      <c r="E32" s="202">
        <f t="shared" si="8"/>
        <v>4000</v>
      </c>
      <c r="F32" s="201">
        <f t="shared" si="8"/>
        <v>25030.193589819421</v>
      </c>
      <c r="G32" s="201">
        <f t="shared" si="8"/>
        <v>57473.37071692336</v>
      </c>
      <c r="H32" s="201">
        <f t="shared" si="8"/>
        <v>67600.111540184036</v>
      </c>
      <c r="I32" s="201">
        <f t="shared" si="8"/>
        <v>75923.138673178793</v>
      </c>
      <c r="J32" s="201">
        <f t="shared" si="8"/>
        <v>1828.5028028418246</v>
      </c>
      <c r="K32" s="201">
        <f t="shared" si="8"/>
        <v>133051.71580540042</v>
      </c>
      <c r="L32" s="201">
        <f t="shared" si="8"/>
        <v>20280.033462055213</v>
      </c>
      <c r="M32" s="201">
        <f t="shared" si="8"/>
        <v>1209.092374657424</v>
      </c>
      <c r="N32" s="201">
        <f t="shared" si="8"/>
        <v>750</v>
      </c>
      <c r="O32" s="233">
        <f t="shared" si="8"/>
        <v>1266307.3476956533</v>
      </c>
      <c r="P32" s="234">
        <f t="shared" si="3"/>
        <v>1</v>
      </c>
    </row>
    <row r="34" spans="5:12" ht="27.75" customHeight="1" thickBot="1" x14ac:dyDescent="0.3">
      <c r="F34" s="89">
        <f>SUM(F26:N26)</f>
        <v>132123.95794701652</v>
      </c>
    </row>
    <row r="35" spans="5:12" ht="27.75" customHeight="1" thickBot="1" x14ac:dyDescent="0.35">
      <c r="E35" s="181" t="s">
        <v>8</v>
      </c>
      <c r="F35">
        <v>221233.60232544382</v>
      </c>
      <c r="J35" s="304" t="s">
        <v>80</v>
      </c>
      <c r="K35" s="305"/>
      <c r="L35" s="306"/>
    </row>
    <row r="36" spans="5:12" ht="27.75" customHeight="1" thickBot="1" x14ac:dyDescent="0.35">
      <c r="E36" s="185" t="s">
        <v>9</v>
      </c>
      <c r="F36">
        <v>132123.95794701652</v>
      </c>
      <c r="J36" s="206"/>
      <c r="K36" s="208" t="s">
        <v>84</v>
      </c>
      <c r="L36" s="209" t="s">
        <v>83</v>
      </c>
    </row>
    <row r="37" spans="5:12" ht="27.75" customHeight="1" x14ac:dyDescent="0.3">
      <c r="J37" s="204" t="s">
        <v>78</v>
      </c>
      <c r="K37" s="227">
        <v>54000</v>
      </c>
      <c r="L37" s="207">
        <f>(K37*1000)/I18</f>
        <v>40230.056322078854</v>
      </c>
    </row>
    <row r="38" spans="5:12" ht="27.75" customHeight="1" x14ac:dyDescent="0.3">
      <c r="J38" s="225" t="s">
        <v>79</v>
      </c>
      <c r="K38" s="228">
        <v>54000</v>
      </c>
      <c r="L38" s="226">
        <f>(K38*1000)/D18</f>
        <v>45630.075289624227</v>
      </c>
    </row>
    <row r="39" spans="5:12" ht="27.75" customHeight="1" thickBot="1" x14ac:dyDescent="0.35">
      <c r="J39" s="205" t="s">
        <v>10</v>
      </c>
      <c r="K39" s="229">
        <v>8000</v>
      </c>
      <c r="L39" s="203">
        <v>8000</v>
      </c>
    </row>
  </sheetData>
  <mergeCells count="13">
    <mergeCell ref="J35:L35"/>
    <mergeCell ref="B21:P21"/>
    <mergeCell ref="B22:B23"/>
    <mergeCell ref="C22:E22"/>
    <mergeCell ref="F22:N22"/>
    <mergeCell ref="O22:O23"/>
    <mergeCell ref="P22:P23"/>
    <mergeCell ref="B5:O5"/>
    <mergeCell ref="B2:O2"/>
    <mergeCell ref="B3:B4"/>
    <mergeCell ref="C3:E3"/>
    <mergeCell ref="F3:N3"/>
    <mergeCell ref="O3:O4"/>
  </mergeCells>
  <pageMargins left="0.7" right="0.7" top="0.75" bottom="0.75" header="0.3" footer="0.3"/>
  <pageSetup scale="4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8602-9FD1-40E5-9FF1-0B425CD940ED}">
  <sheetPr>
    <pageSetUpPr fitToPage="1"/>
  </sheetPr>
  <dimension ref="B1:Z89"/>
  <sheetViews>
    <sheetView tabSelected="1" zoomScale="40" zoomScaleNormal="40" zoomScaleSheetLayoutView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T4" sqref="T4"/>
    </sheetView>
  </sheetViews>
  <sheetFormatPr defaultRowHeight="15" x14ac:dyDescent="0.25"/>
  <cols>
    <col min="1" max="1" width="9.140625" style="244" customWidth="1"/>
    <col min="2" max="2" width="36.42578125" style="244" customWidth="1"/>
    <col min="3" max="3" width="42.5703125" style="244" customWidth="1"/>
    <col min="4" max="4" width="81.85546875" style="244" customWidth="1"/>
    <col min="5" max="5" width="30.140625" style="244" customWidth="1"/>
    <col min="6" max="6" width="27.85546875" style="244" customWidth="1"/>
    <col min="7" max="7" width="21.85546875" style="244" customWidth="1"/>
    <col min="8" max="8" width="20.42578125" style="244" customWidth="1"/>
    <col min="9" max="9" width="21.7109375" style="244" customWidth="1"/>
    <col min="10" max="10" width="21.85546875" style="244" customWidth="1"/>
    <col min="11" max="11" width="23.28515625" style="244" bestFit="1" customWidth="1"/>
    <col min="12" max="12" width="21.7109375" style="244" customWidth="1"/>
    <col min="13" max="13" width="22.7109375" style="244" customWidth="1"/>
    <col min="14" max="14" width="30.5703125" style="244" customWidth="1"/>
    <col min="15" max="15" width="27.28515625" style="244" customWidth="1"/>
    <col min="16" max="16" width="33.7109375" style="244" customWidth="1"/>
    <col min="17" max="17" width="15.7109375" style="244" bestFit="1" customWidth="1"/>
    <col min="18" max="18" width="21.140625" style="244" customWidth="1"/>
    <col min="19" max="19" width="27.7109375" style="244" customWidth="1"/>
    <col min="20" max="20" width="25.5703125" style="244" customWidth="1"/>
    <col min="21" max="21" width="27.28515625" style="244" customWidth="1"/>
    <col min="22" max="22" width="16.140625" style="244" bestFit="1" customWidth="1"/>
    <col min="23" max="23" width="12.140625" style="244" bestFit="1" customWidth="1"/>
    <col min="24" max="25" width="9.140625" style="244"/>
    <col min="26" max="26" width="17.42578125" style="244" customWidth="1"/>
    <col min="27" max="16384" width="9.140625" style="244"/>
  </cols>
  <sheetData>
    <row r="1" spans="2:23" ht="57" customHeight="1" x14ac:dyDescent="0.25">
      <c r="C1" s="332" t="s">
        <v>133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</row>
    <row r="2" spans="2:23" ht="46.5" customHeight="1" x14ac:dyDescent="0.35">
      <c r="B2" s="270" t="s">
        <v>151</v>
      </c>
      <c r="D2" s="248"/>
      <c r="E2" s="249"/>
      <c r="F2" s="249"/>
      <c r="G2" s="249"/>
      <c r="H2" s="249"/>
      <c r="I2" s="249"/>
      <c r="J2" s="249"/>
      <c r="K2" s="250"/>
      <c r="L2" s="251"/>
      <c r="M2" s="250"/>
      <c r="N2" s="250"/>
      <c r="O2" s="250"/>
    </row>
    <row r="3" spans="2:23" ht="52.5" customHeight="1" x14ac:dyDescent="0.35">
      <c r="B3" s="252" t="s">
        <v>143</v>
      </c>
      <c r="C3" s="252" t="s">
        <v>106</v>
      </c>
      <c r="D3" s="252" t="s">
        <v>107</v>
      </c>
      <c r="E3" s="253" t="s">
        <v>111</v>
      </c>
      <c r="F3" s="253" t="s">
        <v>112</v>
      </c>
      <c r="G3" s="252" t="s">
        <v>10</v>
      </c>
      <c r="H3" s="252" t="s">
        <v>114</v>
      </c>
      <c r="I3" s="253" t="s">
        <v>11</v>
      </c>
      <c r="J3" s="253" t="s">
        <v>13</v>
      </c>
      <c r="K3" s="252" t="s">
        <v>113</v>
      </c>
      <c r="L3" s="252" t="s">
        <v>140</v>
      </c>
      <c r="M3" s="254" t="s">
        <v>128</v>
      </c>
      <c r="N3" s="254" t="s">
        <v>105</v>
      </c>
      <c r="O3" s="252" t="s">
        <v>127</v>
      </c>
      <c r="P3" s="252" t="s">
        <v>131</v>
      </c>
    </row>
    <row r="4" spans="2:23" ht="37.5" customHeight="1" x14ac:dyDescent="0.45">
      <c r="B4" s="333" t="s">
        <v>142</v>
      </c>
      <c r="C4" s="333" t="s">
        <v>108</v>
      </c>
      <c r="D4" s="240" t="s">
        <v>126</v>
      </c>
      <c r="E4" s="241">
        <v>100000</v>
      </c>
      <c r="F4" s="241">
        <v>109250</v>
      </c>
      <c r="G4" s="242"/>
      <c r="H4" s="242"/>
      <c r="I4" s="241"/>
      <c r="J4" s="242"/>
      <c r="K4" s="281"/>
      <c r="L4" s="243"/>
      <c r="M4" s="243"/>
      <c r="N4" s="243"/>
      <c r="O4" s="243"/>
      <c r="P4" s="272">
        <f>SUM(E4:O4)</f>
        <v>209250</v>
      </c>
      <c r="S4" s="287"/>
      <c r="T4" s="262"/>
    </row>
    <row r="5" spans="2:23" ht="30" customHeight="1" x14ac:dyDescent="0.45">
      <c r="B5" s="334"/>
      <c r="C5" s="334"/>
      <c r="D5" s="240" t="s">
        <v>134</v>
      </c>
      <c r="E5" s="241">
        <v>17866</v>
      </c>
      <c r="F5" s="241">
        <v>13451</v>
      </c>
      <c r="G5" s="242"/>
      <c r="H5" s="242"/>
      <c r="I5" s="282"/>
      <c r="J5" s="242"/>
      <c r="K5" s="241"/>
      <c r="L5" s="243"/>
      <c r="M5" s="243"/>
      <c r="N5" s="243"/>
      <c r="O5" s="243"/>
      <c r="P5" s="272">
        <f t="shared" ref="P5:P7" si="0">SUM(E5:O5)</f>
        <v>31317</v>
      </c>
      <c r="S5" s="287"/>
      <c r="T5" s="287"/>
    </row>
    <row r="6" spans="2:23" ht="30" customHeight="1" x14ac:dyDescent="0.45">
      <c r="B6" s="334"/>
      <c r="C6" s="334"/>
      <c r="D6" s="240" t="s">
        <v>166</v>
      </c>
      <c r="E6" s="241">
        <v>16000</v>
      </c>
      <c r="F6" s="241">
        <v>28371.482</v>
      </c>
      <c r="G6" s="242"/>
      <c r="H6" s="242"/>
      <c r="I6" s="286"/>
      <c r="J6" s="281"/>
      <c r="K6" s="286"/>
      <c r="L6" s="243"/>
      <c r="M6" s="243"/>
      <c r="N6" s="243"/>
      <c r="O6" s="243"/>
      <c r="P6" s="272">
        <f t="shared" si="0"/>
        <v>44371.482000000004</v>
      </c>
      <c r="S6" s="284"/>
      <c r="T6" s="284"/>
    </row>
    <row r="7" spans="2:23" ht="30" customHeight="1" x14ac:dyDescent="0.45">
      <c r="B7" s="334"/>
      <c r="C7" s="334"/>
      <c r="D7" s="240" t="s">
        <v>115</v>
      </c>
      <c r="E7" s="241">
        <v>51399</v>
      </c>
      <c r="F7" s="241">
        <v>47784</v>
      </c>
      <c r="G7" s="242">
        <v>8507.1600000000017</v>
      </c>
      <c r="H7" s="242"/>
      <c r="I7" s="241"/>
      <c r="J7" s="242"/>
      <c r="K7" s="281"/>
      <c r="L7" s="243"/>
      <c r="M7" s="243"/>
      <c r="N7" s="243"/>
      <c r="O7" s="243"/>
      <c r="P7" s="272">
        <f t="shared" si="0"/>
        <v>107690.16</v>
      </c>
      <c r="S7" s="284"/>
      <c r="T7" s="284"/>
    </row>
    <row r="8" spans="2:23" ht="30" customHeight="1" x14ac:dyDescent="0.45">
      <c r="B8" s="334"/>
      <c r="C8" s="334"/>
      <c r="D8" s="240" t="s">
        <v>116</v>
      </c>
      <c r="E8" s="241">
        <v>201200</v>
      </c>
      <c r="F8" s="241">
        <v>210730</v>
      </c>
      <c r="G8" s="273">
        <v>17500</v>
      </c>
      <c r="H8" s="242"/>
      <c r="I8" s="241">
        <v>14900</v>
      </c>
      <c r="J8" s="274">
        <v>2400</v>
      </c>
      <c r="K8" s="243">
        <v>43407</v>
      </c>
      <c r="L8" s="243">
        <v>93000</v>
      </c>
      <c r="M8" s="243">
        <v>2400</v>
      </c>
      <c r="N8" s="243"/>
      <c r="O8" s="243">
        <v>455000</v>
      </c>
      <c r="P8" s="272">
        <f>SUM(E8:O8)</f>
        <v>1040537</v>
      </c>
    </row>
    <row r="9" spans="2:23" ht="60" customHeight="1" x14ac:dyDescent="0.45">
      <c r="B9" s="334"/>
      <c r="C9" s="334"/>
      <c r="D9" s="245" t="s">
        <v>117</v>
      </c>
      <c r="E9" s="241">
        <v>54000</v>
      </c>
      <c r="F9" s="241">
        <v>54000</v>
      </c>
      <c r="G9" s="273">
        <v>9207.58</v>
      </c>
      <c r="H9" s="242"/>
      <c r="I9" s="241"/>
      <c r="J9" s="242"/>
      <c r="K9" s="281"/>
      <c r="L9" s="243"/>
      <c r="M9" s="243"/>
      <c r="N9" s="243"/>
      <c r="O9" s="243"/>
      <c r="P9" s="272">
        <f>SUM(E9:O9)</f>
        <v>117207.58</v>
      </c>
    </row>
    <row r="10" spans="2:23" ht="37.5" customHeight="1" x14ac:dyDescent="0.45">
      <c r="B10" s="334"/>
      <c r="C10" s="334"/>
      <c r="D10" s="240" t="s">
        <v>118</v>
      </c>
      <c r="E10" s="241">
        <v>52000</v>
      </c>
      <c r="F10" s="241">
        <v>70000</v>
      </c>
      <c r="G10" s="273"/>
      <c r="H10" s="242"/>
      <c r="I10" s="241"/>
      <c r="J10" s="242"/>
      <c r="K10" s="281"/>
      <c r="L10" s="243"/>
      <c r="M10" s="243"/>
      <c r="N10" s="243"/>
      <c r="O10" s="243"/>
      <c r="P10" s="272">
        <f t="shared" ref="P10:P35" si="1">SUM(E10:O10)</f>
        <v>122000</v>
      </c>
      <c r="W10" s="275"/>
    </row>
    <row r="11" spans="2:23" ht="30" customHeight="1" x14ac:dyDescent="0.45">
      <c r="B11" s="334"/>
      <c r="C11" s="334"/>
      <c r="D11" s="240" t="s">
        <v>141</v>
      </c>
      <c r="E11" s="241">
        <v>33000</v>
      </c>
      <c r="F11" s="241">
        <v>38600</v>
      </c>
      <c r="G11" s="242"/>
      <c r="H11" s="242"/>
      <c r="I11" s="241"/>
      <c r="J11" s="242"/>
      <c r="K11" s="281"/>
      <c r="L11" s="243"/>
      <c r="M11" s="243"/>
      <c r="N11" s="243"/>
      <c r="O11" s="243"/>
      <c r="P11" s="272">
        <f t="shared" si="1"/>
        <v>71600</v>
      </c>
    </row>
    <row r="12" spans="2:23" ht="30" customHeight="1" x14ac:dyDescent="0.45">
      <c r="B12" s="334"/>
      <c r="C12" s="334"/>
      <c r="D12" s="240" t="s">
        <v>154</v>
      </c>
      <c r="E12" s="241"/>
      <c r="F12" s="241">
        <v>63400</v>
      </c>
      <c r="G12" s="242"/>
      <c r="H12" s="242"/>
      <c r="I12" s="241"/>
      <c r="J12" s="242"/>
      <c r="K12" s="281"/>
      <c r="L12" s="243"/>
      <c r="M12" s="243"/>
      <c r="N12" s="243"/>
      <c r="O12" s="243"/>
      <c r="P12" s="272">
        <f t="shared" si="1"/>
        <v>63400</v>
      </c>
    </row>
    <row r="13" spans="2:23" ht="30" customHeight="1" x14ac:dyDescent="0.45">
      <c r="B13" s="334"/>
      <c r="C13" s="334"/>
      <c r="D13" s="240" t="s">
        <v>164</v>
      </c>
      <c r="E13" s="241">
        <v>25000</v>
      </c>
      <c r="F13" s="241">
        <v>25000</v>
      </c>
      <c r="G13" s="242"/>
      <c r="H13" s="242"/>
      <c r="I13" s="241"/>
      <c r="J13" s="242"/>
      <c r="K13" s="281"/>
      <c r="L13" s="243"/>
      <c r="M13" s="243"/>
      <c r="N13" s="243"/>
      <c r="O13" s="243"/>
      <c r="P13" s="272">
        <f t="shared" si="1"/>
        <v>50000</v>
      </c>
    </row>
    <row r="14" spans="2:23" ht="30" customHeight="1" x14ac:dyDescent="0.45">
      <c r="B14" s="334"/>
      <c r="C14" s="334"/>
      <c r="D14" s="240" t="s">
        <v>162</v>
      </c>
      <c r="E14" s="241"/>
      <c r="F14" s="241"/>
      <c r="G14" s="242">
        <v>5600</v>
      </c>
      <c r="H14" s="242"/>
      <c r="I14" s="241"/>
      <c r="J14" s="242"/>
      <c r="K14" s="281"/>
      <c r="L14" s="243"/>
      <c r="M14" s="243"/>
      <c r="N14" s="243"/>
      <c r="O14" s="243"/>
      <c r="P14" s="272">
        <f t="shared" si="1"/>
        <v>5600</v>
      </c>
    </row>
    <row r="15" spans="2:23" ht="30" customHeight="1" x14ac:dyDescent="0.45">
      <c r="B15" s="334"/>
      <c r="C15" s="334"/>
      <c r="D15" s="240" t="s">
        <v>163</v>
      </c>
      <c r="E15" s="241"/>
      <c r="F15" s="241"/>
      <c r="G15" s="242">
        <v>12000</v>
      </c>
      <c r="H15" s="242"/>
      <c r="I15" s="241"/>
      <c r="J15" s="242"/>
      <c r="K15" s="281"/>
      <c r="L15" s="243"/>
      <c r="M15" s="243"/>
      <c r="N15" s="243"/>
      <c r="O15" s="243"/>
      <c r="P15" s="272">
        <f t="shared" si="1"/>
        <v>12000</v>
      </c>
    </row>
    <row r="16" spans="2:23" ht="30" customHeight="1" x14ac:dyDescent="0.45">
      <c r="B16" s="334"/>
      <c r="C16" s="334"/>
      <c r="D16" s="240" t="s">
        <v>121</v>
      </c>
      <c r="E16" s="241"/>
      <c r="F16" s="241"/>
      <c r="G16" s="242"/>
      <c r="H16" s="242"/>
      <c r="I16" s="241"/>
      <c r="J16" s="242"/>
      <c r="K16" s="241">
        <v>15413.316999999999</v>
      </c>
      <c r="L16" s="243"/>
      <c r="M16" s="243"/>
      <c r="N16" s="243"/>
      <c r="O16" s="243"/>
      <c r="P16" s="272">
        <f t="shared" si="1"/>
        <v>15413.316999999999</v>
      </c>
    </row>
    <row r="17" spans="2:20" s="271" customFormat="1" ht="30" customHeight="1" x14ac:dyDescent="0.45">
      <c r="B17" s="334"/>
      <c r="C17" s="334"/>
      <c r="D17" s="276" t="s">
        <v>169</v>
      </c>
      <c r="E17" s="277"/>
      <c r="F17" s="277">
        <v>1300</v>
      </c>
      <c r="G17" s="277"/>
      <c r="H17" s="277"/>
      <c r="I17" s="277"/>
      <c r="J17" s="277"/>
      <c r="K17" s="277"/>
      <c r="L17" s="243">
        <v>3000</v>
      </c>
      <c r="M17" s="243">
        <v>1150</v>
      </c>
      <c r="N17" s="243"/>
      <c r="O17" s="243">
        <v>13300</v>
      </c>
      <c r="P17" s="272">
        <f t="shared" si="1"/>
        <v>18750</v>
      </c>
    </row>
    <row r="18" spans="2:20" ht="40.5" customHeight="1" x14ac:dyDescent="0.45">
      <c r="B18" s="334"/>
      <c r="C18" s="335"/>
      <c r="D18" s="247" t="s">
        <v>132</v>
      </c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>
        <v>78968</v>
      </c>
      <c r="P18" s="272">
        <f t="shared" si="1"/>
        <v>78968</v>
      </c>
    </row>
    <row r="19" spans="2:20" s="271" customFormat="1" ht="30" customHeight="1" x14ac:dyDescent="0.45">
      <c r="B19" s="334"/>
      <c r="C19" s="264" t="s">
        <v>150</v>
      </c>
      <c r="D19" s="276" t="s">
        <v>153</v>
      </c>
      <c r="E19" s="277"/>
      <c r="F19" s="277">
        <v>1827</v>
      </c>
      <c r="G19" s="277"/>
      <c r="H19" s="277"/>
      <c r="I19" s="277"/>
      <c r="J19" s="277"/>
      <c r="K19" s="277"/>
      <c r="L19" s="243">
        <v>1183</v>
      </c>
      <c r="M19" s="243">
        <v>645</v>
      </c>
      <c r="N19" s="243"/>
      <c r="O19" s="243">
        <v>7312</v>
      </c>
      <c r="P19" s="272">
        <f t="shared" si="1"/>
        <v>10967</v>
      </c>
    </row>
    <row r="20" spans="2:20" ht="49.5" customHeight="1" x14ac:dyDescent="0.45">
      <c r="B20" s="334"/>
      <c r="C20" s="336" t="s">
        <v>149</v>
      </c>
      <c r="D20" s="247" t="s">
        <v>156</v>
      </c>
      <c r="E20" s="243"/>
      <c r="F20" s="243"/>
      <c r="G20" s="243"/>
      <c r="H20" s="243"/>
      <c r="I20" s="243"/>
      <c r="J20" s="243"/>
      <c r="K20" s="246">
        <v>10000</v>
      </c>
      <c r="L20" s="243"/>
      <c r="M20" s="243"/>
      <c r="N20" s="243"/>
      <c r="O20" s="243"/>
      <c r="P20" s="272">
        <f t="shared" si="1"/>
        <v>10000</v>
      </c>
    </row>
    <row r="21" spans="2:20" ht="40.5" customHeight="1" x14ac:dyDescent="0.45">
      <c r="B21" s="334"/>
      <c r="C21" s="337"/>
      <c r="D21" s="247" t="s">
        <v>157</v>
      </c>
      <c r="E21" s="243"/>
      <c r="F21" s="243"/>
      <c r="G21" s="243"/>
      <c r="H21" s="243"/>
      <c r="I21" s="243"/>
      <c r="J21" s="243"/>
      <c r="K21" s="243">
        <v>1505</v>
      </c>
      <c r="L21" s="243"/>
      <c r="M21" s="243"/>
      <c r="N21" s="243"/>
      <c r="O21" s="243"/>
      <c r="P21" s="272">
        <f t="shared" si="1"/>
        <v>1505</v>
      </c>
    </row>
    <row r="22" spans="2:20" ht="40.5" customHeight="1" x14ac:dyDescent="0.45">
      <c r="B22" s="335"/>
      <c r="C22" s="338"/>
      <c r="D22" s="247" t="s">
        <v>165</v>
      </c>
      <c r="E22" s="243"/>
      <c r="F22" s="243"/>
      <c r="G22" s="243"/>
      <c r="H22" s="243"/>
      <c r="I22" s="243"/>
      <c r="J22" s="243"/>
      <c r="K22" s="243">
        <v>330</v>
      </c>
      <c r="L22" s="243"/>
      <c r="M22" s="243"/>
      <c r="N22" s="243"/>
      <c r="O22" s="243"/>
      <c r="P22" s="272">
        <f t="shared" si="1"/>
        <v>330</v>
      </c>
    </row>
    <row r="23" spans="2:20" ht="30" customHeight="1" x14ac:dyDescent="0.45">
      <c r="B23" s="333" t="s">
        <v>144</v>
      </c>
      <c r="C23" s="333" t="s">
        <v>109</v>
      </c>
      <c r="D23" s="240" t="s">
        <v>135</v>
      </c>
      <c r="E23" s="241"/>
      <c r="F23" s="241">
        <v>38529</v>
      </c>
      <c r="G23" s="242"/>
      <c r="H23" s="242"/>
      <c r="I23" s="241"/>
      <c r="J23" s="242"/>
      <c r="K23" s="281"/>
      <c r="L23" s="243"/>
      <c r="M23" s="243"/>
      <c r="N23" s="243"/>
      <c r="O23" s="243"/>
      <c r="P23" s="272">
        <f t="shared" si="1"/>
        <v>38529</v>
      </c>
    </row>
    <row r="24" spans="2:20" ht="39.75" customHeight="1" x14ac:dyDescent="0.45">
      <c r="B24" s="334"/>
      <c r="C24" s="334"/>
      <c r="D24" s="240" t="s">
        <v>161</v>
      </c>
      <c r="E24" s="241"/>
      <c r="F24" s="241">
        <v>10000</v>
      </c>
      <c r="G24" s="242"/>
      <c r="H24" s="242"/>
      <c r="I24" s="241"/>
      <c r="J24" s="242"/>
      <c r="K24" s="281"/>
      <c r="L24" s="243"/>
      <c r="M24" s="243"/>
      <c r="N24" s="243"/>
      <c r="O24" s="243"/>
      <c r="P24" s="272">
        <f t="shared" si="1"/>
        <v>10000</v>
      </c>
    </row>
    <row r="25" spans="2:20" ht="30" customHeight="1" x14ac:dyDescent="0.45">
      <c r="B25" s="334"/>
      <c r="C25" s="334"/>
      <c r="D25" s="240" t="s">
        <v>119</v>
      </c>
      <c r="E25" s="283"/>
      <c r="F25" s="241">
        <v>24000</v>
      </c>
      <c r="G25" s="242"/>
      <c r="H25" s="242"/>
      <c r="I25" s="241"/>
      <c r="J25" s="242"/>
      <c r="K25" s="281"/>
      <c r="L25" s="243"/>
      <c r="M25" s="243"/>
      <c r="N25" s="243"/>
      <c r="O25" s="243"/>
      <c r="P25" s="272">
        <f t="shared" si="1"/>
        <v>24000</v>
      </c>
    </row>
    <row r="26" spans="2:20" ht="30" customHeight="1" x14ac:dyDescent="0.45">
      <c r="B26" s="334"/>
      <c r="C26" s="334"/>
      <c r="D26" s="240" t="s">
        <v>120</v>
      </c>
      <c r="E26" s="241">
        <v>14000</v>
      </c>
      <c r="F26" s="241">
        <v>18000</v>
      </c>
      <c r="G26" s="242"/>
      <c r="H26" s="242"/>
      <c r="I26" s="241"/>
      <c r="J26" s="242"/>
      <c r="K26" s="281"/>
      <c r="L26" s="243"/>
      <c r="M26" s="243"/>
      <c r="N26" s="243"/>
      <c r="O26" s="243"/>
      <c r="P26" s="272">
        <f t="shared" si="1"/>
        <v>32000</v>
      </c>
    </row>
    <row r="27" spans="2:20" ht="30" customHeight="1" x14ac:dyDescent="0.45">
      <c r="B27" s="334"/>
      <c r="C27" s="335"/>
      <c r="D27" s="240" t="s">
        <v>136</v>
      </c>
      <c r="E27" s="241"/>
      <c r="F27" s="241"/>
      <c r="G27" s="242"/>
      <c r="H27" s="242">
        <v>13500</v>
      </c>
      <c r="I27" s="241"/>
      <c r="J27" s="242"/>
      <c r="K27" s="281"/>
      <c r="L27" s="243"/>
      <c r="M27" s="243"/>
      <c r="N27" s="243"/>
      <c r="O27" s="243"/>
      <c r="P27" s="272">
        <f t="shared" si="1"/>
        <v>13500</v>
      </c>
    </row>
    <row r="28" spans="2:20" ht="30" customHeight="1" x14ac:dyDescent="0.45">
      <c r="B28" s="334"/>
      <c r="C28" s="333" t="s">
        <v>137</v>
      </c>
      <c r="D28" s="240" t="s">
        <v>167</v>
      </c>
      <c r="E28" s="241"/>
      <c r="F28" s="241"/>
      <c r="G28" s="242">
        <v>8000</v>
      </c>
      <c r="H28" s="242"/>
      <c r="I28" s="241"/>
      <c r="J28" s="242"/>
      <c r="K28" s="281"/>
      <c r="L28" s="243"/>
      <c r="M28" s="243"/>
      <c r="N28" s="243">
        <v>999.99999999999989</v>
      </c>
      <c r="O28" s="243"/>
      <c r="P28" s="272">
        <f t="shared" si="1"/>
        <v>9000</v>
      </c>
      <c r="T28" s="289"/>
    </row>
    <row r="29" spans="2:20" ht="30" customHeight="1" x14ac:dyDescent="0.45">
      <c r="B29" s="334"/>
      <c r="C29" s="335"/>
      <c r="D29" s="240" t="s">
        <v>26</v>
      </c>
      <c r="E29" s="241"/>
      <c r="F29" s="241"/>
      <c r="G29" s="242">
        <v>1500</v>
      </c>
      <c r="H29" s="242"/>
      <c r="I29" s="241"/>
      <c r="J29" s="242"/>
      <c r="K29" s="281"/>
      <c r="L29" s="243"/>
      <c r="M29" s="243"/>
      <c r="N29" s="243"/>
      <c r="O29" s="243"/>
      <c r="P29" s="272">
        <f t="shared" si="1"/>
        <v>1500</v>
      </c>
      <c r="T29" s="289"/>
    </row>
    <row r="30" spans="2:20" ht="30" customHeight="1" x14ac:dyDescent="0.45">
      <c r="B30" s="335"/>
      <c r="C30" s="269" t="s">
        <v>130</v>
      </c>
      <c r="D30" s="240" t="s">
        <v>129</v>
      </c>
      <c r="E30" s="241"/>
      <c r="F30" s="241"/>
      <c r="G30" s="246"/>
      <c r="H30" s="246">
        <v>3850</v>
      </c>
      <c r="I30" s="241"/>
      <c r="J30" s="242"/>
      <c r="K30" s="281"/>
      <c r="L30" s="243"/>
      <c r="M30" s="243"/>
      <c r="N30" s="243"/>
      <c r="O30" s="243"/>
      <c r="P30" s="272">
        <f t="shared" si="1"/>
        <v>3850</v>
      </c>
      <c r="T30" s="289"/>
    </row>
    <row r="31" spans="2:20" ht="30" customHeight="1" x14ac:dyDescent="0.45">
      <c r="B31" s="269" t="s">
        <v>145</v>
      </c>
      <c r="C31" s="269" t="s">
        <v>93</v>
      </c>
      <c r="D31" s="240" t="s">
        <v>124</v>
      </c>
      <c r="E31" s="241">
        <v>34025</v>
      </c>
      <c r="F31" s="241">
        <v>52220</v>
      </c>
      <c r="G31" s="242"/>
      <c r="H31" s="242"/>
      <c r="I31" s="286"/>
      <c r="J31" s="242"/>
      <c r="K31" s="281"/>
      <c r="L31" s="243"/>
      <c r="M31" s="243"/>
      <c r="N31" s="243"/>
      <c r="O31" s="243"/>
      <c r="P31" s="272">
        <f t="shared" si="1"/>
        <v>86245</v>
      </c>
      <c r="T31" s="289"/>
    </row>
    <row r="32" spans="2:20" ht="30" customHeight="1" x14ac:dyDescent="0.45">
      <c r="B32" s="333" t="s">
        <v>146</v>
      </c>
      <c r="C32" s="269" t="s">
        <v>99</v>
      </c>
      <c r="D32" s="240" t="s">
        <v>123</v>
      </c>
      <c r="E32" s="241">
        <v>5008</v>
      </c>
      <c r="F32" s="241">
        <v>7090</v>
      </c>
      <c r="G32" s="242"/>
      <c r="H32" s="242"/>
      <c r="I32" s="241"/>
      <c r="J32" s="242"/>
      <c r="K32" s="281"/>
      <c r="L32" s="243"/>
      <c r="M32" s="243"/>
      <c r="N32" s="243"/>
      <c r="O32" s="243"/>
      <c r="P32" s="272">
        <f t="shared" si="1"/>
        <v>12098</v>
      </c>
    </row>
    <row r="33" spans="2:23" ht="39.75" customHeight="1" x14ac:dyDescent="0.45">
      <c r="B33" s="335"/>
      <c r="C33" s="269" t="s">
        <v>139</v>
      </c>
      <c r="D33" s="240" t="s">
        <v>158</v>
      </c>
      <c r="E33" s="241">
        <v>8383</v>
      </c>
      <c r="F33" s="241">
        <v>7657</v>
      </c>
      <c r="G33" s="242"/>
      <c r="H33" s="242"/>
      <c r="I33" s="241"/>
      <c r="J33" s="242"/>
      <c r="K33" s="281"/>
      <c r="L33" s="243"/>
      <c r="M33" s="243"/>
      <c r="N33" s="243"/>
      <c r="O33" s="243"/>
      <c r="P33" s="272">
        <f t="shared" si="1"/>
        <v>16040</v>
      </c>
    </row>
    <row r="34" spans="2:23" ht="30" customHeight="1" x14ac:dyDescent="0.45">
      <c r="B34" s="269" t="s">
        <v>147</v>
      </c>
      <c r="C34" s="269" t="s">
        <v>95</v>
      </c>
      <c r="D34" s="240" t="s">
        <v>125</v>
      </c>
      <c r="E34" s="241">
        <v>13460</v>
      </c>
      <c r="F34" s="241">
        <v>38320</v>
      </c>
      <c r="G34" s="242"/>
      <c r="H34" s="242"/>
      <c r="I34" s="241"/>
      <c r="J34" s="242"/>
      <c r="K34" s="281"/>
      <c r="L34" s="243"/>
      <c r="M34" s="243"/>
      <c r="N34" s="243"/>
      <c r="O34" s="243"/>
      <c r="P34" s="272">
        <f t="shared" si="1"/>
        <v>51780</v>
      </c>
    </row>
    <row r="35" spans="2:23" ht="30" customHeight="1" x14ac:dyDescent="0.45">
      <c r="B35" s="269" t="s">
        <v>148</v>
      </c>
      <c r="C35" s="269" t="s">
        <v>110</v>
      </c>
      <c r="D35" s="240" t="s">
        <v>122</v>
      </c>
      <c r="E35" s="241">
        <v>12000</v>
      </c>
      <c r="F35" s="241">
        <v>34500</v>
      </c>
      <c r="G35" s="242"/>
      <c r="H35" s="242"/>
      <c r="I35" s="241"/>
      <c r="J35" s="242"/>
      <c r="K35" s="281"/>
      <c r="L35" s="243"/>
      <c r="M35" s="243"/>
      <c r="N35" s="243"/>
      <c r="O35" s="243"/>
      <c r="P35" s="272">
        <f t="shared" si="1"/>
        <v>46500</v>
      </c>
    </row>
    <row r="36" spans="2:23" ht="37.5" customHeight="1" x14ac:dyDescent="0.25">
      <c r="B36" s="339" t="s">
        <v>155</v>
      </c>
      <c r="C36" s="340"/>
      <c r="D36" s="341"/>
      <c r="E36" s="255">
        <f t="shared" ref="E36:P36" si="2">SUM(E4:E35)</f>
        <v>637341</v>
      </c>
      <c r="F36" s="255">
        <f t="shared" si="2"/>
        <v>894029.48199999996</v>
      </c>
      <c r="G36" s="255">
        <f t="shared" si="2"/>
        <v>62314.740000000005</v>
      </c>
      <c r="H36" s="255">
        <f t="shared" si="2"/>
        <v>17350</v>
      </c>
      <c r="I36" s="255">
        <f t="shared" si="2"/>
        <v>14900</v>
      </c>
      <c r="J36" s="255">
        <f t="shared" si="2"/>
        <v>2400</v>
      </c>
      <c r="K36" s="255">
        <f t="shared" si="2"/>
        <v>70655.316999999995</v>
      </c>
      <c r="L36" s="255">
        <f t="shared" si="2"/>
        <v>97183</v>
      </c>
      <c r="M36" s="255">
        <f t="shared" si="2"/>
        <v>4195</v>
      </c>
      <c r="N36" s="255">
        <f t="shared" si="2"/>
        <v>999.99999999999989</v>
      </c>
      <c r="O36" s="255">
        <f t="shared" si="2"/>
        <v>554580</v>
      </c>
      <c r="P36" s="255">
        <f t="shared" si="2"/>
        <v>2355948.5389999999</v>
      </c>
    </row>
    <row r="37" spans="2:23" ht="20.25" customHeight="1" x14ac:dyDescent="0.3">
      <c r="C37" s="256"/>
      <c r="D37" s="257"/>
      <c r="E37" s="258"/>
      <c r="F37" s="258"/>
      <c r="G37" s="258"/>
      <c r="H37" s="258"/>
      <c r="I37" s="258"/>
      <c r="J37" s="258"/>
      <c r="L37" s="259"/>
      <c r="M37" s="259"/>
      <c r="N37" s="259"/>
      <c r="O37" s="260"/>
      <c r="V37" s="260"/>
      <c r="W37" s="260"/>
    </row>
    <row r="38" spans="2:23" ht="30" customHeight="1" x14ac:dyDescent="0.4">
      <c r="B38" s="285" t="s">
        <v>168</v>
      </c>
      <c r="C38" s="256"/>
      <c r="D38" s="257"/>
      <c r="E38" s="258"/>
      <c r="F38" s="258"/>
      <c r="G38" s="258"/>
      <c r="H38" s="258"/>
      <c r="I38" s="258"/>
      <c r="J38" s="258"/>
      <c r="L38" s="259"/>
      <c r="M38" s="259"/>
      <c r="N38" s="259"/>
      <c r="O38" s="260"/>
      <c r="V38" s="260"/>
      <c r="W38" s="260"/>
    </row>
    <row r="39" spans="2:23" ht="26.25" x14ac:dyDescent="0.4">
      <c r="B39" s="285" t="s">
        <v>159</v>
      </c>
      <c r="C39" s="256"/>
      <c r="D39" s="257"/>
      <c r="E39" s="258"/>
      <c r="F39" s="258"/>
      <c r="G39" s="258"/>
      <c r="H39" s="258"/>
      <c r="I39" s="258"/>
      <c r="J39" s="258"/>
      <c r="L39" s="259"/>
      <c r="M39" s="259"/>
      <c r="N39" s="259"/>
      <c r="O39" s="260"/>
      <c r="V39" s="260"/>
      <c r="W39" s="260"/>
    </row>
    <row r="40" spans="2:23" ht="18.75" x14ac:dyDescent="0.3">
      <c r="C40" s="261"/>
      <c r="D40" s="262"/>
      <c r="E40" s="262"/>
      <c r="F40" s="262"/>
      <c r="G40" s="263"/>
      <c r="H40" s="263"/>
      <c r="I40" s="263"/>
      <c r="J40" s="263"/>
      <c r="K40" s="263"/>
      <c r="L40" s="259"/>
      <c r="M40" s="259"/>
      <c r="N40" s="259"/>
      <c r="O40" s="260"/>
      <c r="V40" s="260"/>
      <c r="W40" s="260"/>
    </row>
    <row r="41" spans="2:23" ht="45" x14ac:dyDescent="0.3">
      <c r="D41" s="342" t="s">
        <v>138</v>
      </c>
      <c r="E41" s="265" t="s">
        <v>111</v>
      </c>
      <c r="F41" s="265" t="s">
        <v>112</v>
      </c>
      <c r="G41" s="266" t="s">
        <v>10</v>
      </c>
      <c r="H41" s="266" t="s">
        <v>114</v>
      </c>
      <c r="I41" s="265" t="s">
        <v>11</v>
      </c>
      <c r="J41" s="265" t="s">
        <v>13</v>
      </c>
      <c r="K41" s="266" t="s">
        <v>113</v>
      </c>
      <c r="L41" s="266" t="s">
        <v>140</v>
      </c>
      <c r="M41" s="267" t="s">
        <v>128</v>
      </c>
      <c r="N41" s="267" t="s">
        <v>105</v>
      </c>
      <c r="O41" s="266" t="s">
        <v>127</v>
      </c>
    </row>
    <row r="42" spans="2:23" ht="30.75" x14ac:dyDescent="0.25">
      <c r="D42" s="342"/>
      <c r="E42" s="280">
        <v>0.75500188750471875</v>
      </c>
      <c r="F42" s="280">
        <v>0.84500139425230048</v>
      </c>
      <c r="G42" s="280">
        <v>0.56000000000000005</v>
      </c>
      <c r="H42" s="280">
        <v>0.84500139425230048</v>
      </c>
      <c r="I42" s="280">
        <f>1000/1240.6</f>
        <v>0.80606158310494924</v>
      </c>
      <c r="J42" s="280">
        <v>0.75500188750471875</v>
      </c>
      <c r="K42" s="280">
        <f>1000/1240.6</f>
        <v>0.80606158310494924</v>
      </c>
      <c r="L42" s="280">
        <v>0.99100170452293179</v>
      </c>
      <c r="M42" s="280">
        <v>0.75500188750471875</v>
      </c>
      <c r="N42" s="280">
        <v>0.67500000000000004</v>
      </c>
      <c r="O42" s="280">
        <v>0.87</v>
      </c>
      <c r="T42" s="268"/>
    </row>
    <row r="44" spans="2:23" ht="30.75" x14ac:dyDescent="0.45">
      <c r="N44" s="284"/>
      <c r="O44" s="284"/>
    </row>
    <row r="45" spans="2:23" ht="27" x14ac:dyDescent="0.35">
      <c r="B45" s="270" t="s">
        <v>152</v>
      </c>
      <c r="D45" s="248"/>
      <c r="E45" s="249"/>
      <c r="F45" s="249"/>
      <c r="G45" s="249"/>
      <c r="H45" s="249"/>
      <c r="I45" s="249"/>
      <c r="J45" s="249"/>
      <c r="K45" s="250"/>
      <c r="L45" s="251"/>
      <c r="M45" s="250"/>
      <c r="N45" s="250"/>
      <c r="O45" s="250"/>
    </row>
    <row r="46" spans="2:23" s="271" customFormat="1" ht="51" x14ac:dyDescent="0.35">
      <c r="B46" s="252" t="s">
        <v>143</v>
      </c>
      <c r="C46" s="252" t="s">
        <v>106</v>
      </c>
      <c r="D46" s="252" t="s">
        <v>107</v>
      </c>
      <c r="E46" s="253" t="s">
        <v>111</v>
      </c>
      <c r="F46" s="253" t="s">
        <v>112</v>
      </c>
      <c r="G46" s="252" t="s">
        <v>10</v>
      </c>
      <c r="H46" s="252" t="s">
        <v>114</v>
      </c>
      <c r="I46" s="253" t="s">
        <v>11</v>
      </c>
      <c r="J46" s="253" t="s">
        <v>13</v>
      </c>
      <c r="K46" s="252" t="s">
        <v>113</v>
      </c>
      <c r="L46" s="252" t="s">
        <v>140</v>
      </c>
      <c r="M46" s="254" t="s">
        <v>128</v>
      </c>
      <c r="N46" s="254" t="s">
        <v>105</v>
      </c>
      <c r="O46" s="252" t="s">
        <v>127</v>
      </c>
      <c r="P46" s="252" t="s">
        <v>131</v>
      </c>
      <c r="S46" s="288"/>
    </row>
    <row r="47" spans="2:23" s="271" customFormat="1" ht="30.75" x14ac:dyDescent="0.4">
      <c r="B47" s="333" t="s">
        <v>142</v>
      </c>
      <c r="C47" s="333" t="s">
        <v>108</v>
      </c>
      <c r="D47" s="240" t="s">
        <v>126</v>
      </c>
      <c r="E47" s="241">
        <f t="shared" ref="E47:E78" si="3">E4*$E$42</f>
        <v>75500.188750471876</v>
      </c>
      <c r="F47" s="241">
        <f t="shared" ref="F47:F78" si="4">F4*$F$42</f>
        <v>92316.402322063834</v>
      </c>
      <c r="G47" s="241">
        <f t="shared" ref="G47:G78" si="5">G4*$G$42</f>
        <v>0</v>
      </c>
      <c r="H47" s="241">
        <f t="shared" ref="H47:H78" si="6">H4*$H$42</f>
        <v>0</v>
      </c>
      <c r="I47" s="241">
        <f t="shared" ref="I47:I78" si="7">I4*$I$42</f>
        <v>0</v>
      </c>
      <c r="J47" s="241">
        <f t="shared" ref="J47:J78" si="8">J4*$J$42</f>
        <v>0</v>
      </c>
      <c r="K47" s="241">
        <f t="shared" ref="K47:K78" si="9">K4*$K$42</f>
        <v>0</v>
      </c>
      <c r="L47" s="241">
        <f t="shared" ref="L47:L78" si="10">L4*$L$42</f>
        <v>0</v>
      </c>
      <c r="M47" s="241">
        <f t="shared" ref="M47:M78" si="11">M4*$M$42</f>
        <v>0</v>
      </c>
      <c r="N47" s="241">
        <f t="shared" ref="N47:N78" si="12">N4*$N$42</f>
        <v>0</v>
      </c>
      <c r="O47" s="241">
        <f t="shared" ref="O47:O78" si="13">O4*$O$42</f>
        <v>0</v>
      </c>
      <c r="P47" s="272">
        <f>SUM(E47:O47)</f>
        <v>167816.59107253572</v>
      </c>
    </row>
    <row r="48" spans="2:23" s="271" customFormat="1" ht="30.75" x14ac:dyDescent="0.4">
      <c r="B48" s="334"/>
      <c r="C48" s="334"/>
      <c r="D48" s="240" t="s">
        <v>134</v>
      </c>
      <c r="E48" s="241">
        <f t="shared" si="3"/>
        <v>13488.863722159305</v>
      </c>
      <c r="F48" s="241">
        <f t="shared" si="4"/>
        <v>11366.113754087693</v>
      </c>
      <c r="G48" s="241">
        <f t="shared" si="5"/>
        <v>0</v>
      </c>
      <c r="H48" s="241">
        <f t="shared" si="6"/>
        <v>0</v>
      </c>
      <c r="I48" s="241">
        <f t="shared" si="7"/>
        <v>0</v>
      </c>
      <c r="J48" s="241">
        <f t="shared" si="8"/>
        <v>0</v>
      </c>
      <c r="K48" s="241">
        <f t="shared" si="9"/>
        <v>0</v>
      </c>
      <c r="L48" s="241">
        <f t="shared" si="10"/>
        <v>0</v>
      </c>
      <c r="M48" s="241">
        <f t="shared" si="11"/>
        <v>0</v>
      </c>
      <c r="N48" s="241">
        <f t="shared" si="12"/>
        <v>0</v>
      </c>
      <c r="O48" s="241">
        <f t="shared" si="13"/>
        <v>0</v>
      </c>
      <c r="P48" s="272">
        <f>SUM(E48:O48)</f>
        <v>24854.977476246997</v>
      </c>
    </row>
    <row r="49" spans="2:26" s="271" customFormat="1" ht="30.75" x14ac:dyDescent="0.4">
      <c r="B49" s="334"/>
      <c r="C49" s="334"/>
      <c r="D49" s="240" t="s">
        <v>166</v>
      </c>
      <c r="E49" s="241">
        <f t="shared" si="3"/>
        <v>12080.0302000755</v>
      </c>
      <c r="F49" s="241">
        <f t="shared" si="4"/>
        <v>23973.941847004047</v>
      </c>
      <c r="G49" s="241">
        <f t="shared" si="5"/>
        <v>0</v>
      </c>
      <c r="H49" s="241">
        <f t="shared" si="6"/>
        <v>0</v>
      </c>
      <c r="I49" s="241">
        <f t="shared" si="7"/>
        <v>0</v>
      </c>
      <c r="J49" s="241">
        <f t="shared" si="8"/>
        <v>0</v>
      </c>
      <c r="K49" s="241">
        <f t="shared" si="9"/>
        <v>0</v>
      </c>
      <c r="L49" s="241">
        <f t="shared" si="10"/>
        <v>0</v>
      </c>
      <c r="M49" s="241">
        <f t="shared" si="11"/>
        <v>0</v>
      </c>
      <c r="N49" s="241">
        <f t="shared" si="12"/>
        <v>0</v>
      </c>
      <c r="O49" s="241">
        <f t="shared" si="13"/>
        <v>0</v>
      </c>
      <c r="P49" s="272">
        <f t="shared" ref="P49:P78" si="14">SUM(E49:O49)</f>
        <v>36053.972047079544</v>
      </c>
    </row>
    <row r="50" spans="2:26" s="271" customFormat="1" ht="30.75" x14ac:dyDescent="0.4">
      <c r="B50" s="334"/>
      <c r="C50" s="334"/>
      <c r="D50" s="240" t="s">
        <v>115</v>
      </c>
      <c r="E50" s="241">
        <f t="shared" si="3"/>
        <v>38806.342015855036</v>
      </c>
      <c r="F50" s="241">
        <f t="shared" si="4"/>
        <v>40377.546622951922</v>
      </c>
      <c r="G50" s="241">
        <f t="shared" si="5"/>
        <v>4764.0096000000012</v>
      </c>
      <c r="H50" s="241">
        <f t="shared" si="6"/>
        <v>0</v>
      </c>
      <c r="I50" s="241">
        <f t="shared" si="7"/>
        <v>0</v>
      </c>
      <c r="J50" s="241">
        <f t="shared" si="8"/>
        <v>0</v>
      </c>
      <c r="K50" s="241">
        <f t="shared" si="9"/>
        <v>0</v>
      </c>
      <c r="L50" s="241">
        <f t="shared" si="10"/>
        <v>0</v>
      </c>
      <c r="M50" s="241">
        <f t="shared" si="11"/>
        <v>0</v>
      </c>
      <c r="N50" s="241">
        <f t="shared" si="12"/>
        <v>0</v>
      </c>
      <c r="O50" s="241">
        <f t="shared" si="13"/>
        <v>0</v>
      </c>
      <c r="P50" s="272">
        <f t="shared" si="14"/>
        <v>83947.898238806971</v>
      </c>
    </row>
    <row r="51" spans="2:26" s="271" customFormat="1" ht="30.75" x14ac:dyDescent="0.4">
      <c r="B51" s="334"/>
      <c r="C51" s="334"/>
      <c r="D51" s="240" t="s">
        <v>116</v>
      </c>
      <c r="E51" s="241">
        <f t="shared" si="3"/>
        <v>151906.37976594942</v>
      </c>
      <c r="F51" s="241">
        <f t="shared" si="4"/>
        <v>178067.14381078727</v>
      </c>
      <c r="G51" s="241">
        <f t="shared" si="5"/>
        <v>9800.0000000000018</v>
      </c>
      <c r="H51" s="241">
        <f t="shared" si="6"/>
        <v>0</v>
      </c>
      <c r="I51" s="241">
        <f t="shared" si="7"/>
        <v>12010.317588263744</v>
      </c>
      <c r="J51" s="241">
        <f t="shared" si="8"/>
        <v>1812.004530011325</v>
      </c>
      <c r="K51" s="241">
        <f t="shared" si="9"/>
        <v>34988.715137836531</v>
      </c>
      <c r="L51" s="241">
        <f t="shared" si="10"/>
        <v>92163.158520632656</v>
      </c>
      <c r="M51" s="241">
        <f t="shared" si="11"/>
        <v>1812.004530011325</v>
      </c>
      <c r="N51" s="241">
        <f t="shared" si="12"/>
        <v>0</v>
      </c>
      <c r="O51" s="241">
        <f t="shared" si="13"/>
        <v>395850</v>
      </c>
      <c r="P51" s="272">
        <f t="shared" si="14"/>
        <v>878409.72388349229</v>
      </c>
    </row>
    <row r="52" spans="2:26" s="271" customFormat="1" ht="52.5" x14ac:dyDescent="0.4">
      <c r="B52" s="334"/>
      <c r="C52" s="334"/>
      <c r="D52" s="245" t="s">
        <v>117</v>
      </c>
      <c r="E52" s="241">
        <f t="shared" si="3"/>
        <v>40770.101925254814</v>
      </c>
      <c r="F52" s="241">
        <f t="shared" si="4"/>
        <v>45630.075289624227</v>
      </c>
      <c r="G52" s="241">
        <f t="shared" si="5"/>
        <v>5156.2448000000004</v>
      </c>
      <c r="H52" s="241">
        <f t="shared" si="6"/>
        <v>0</v>
      </c>
      <c r="I52" s="241">
        <f t="shared" si="7"/>
        <v>0</v>
      </c>
      <c r="J52" s="241">
        <f t="shared" si="8"/>
        <v>0</v>
      </c>
      <c r="K52" s="241">
        <f t="shared" si="9"/>
        <v>0</v>
      </c>
      <c r="L52" s="241">
        <f t="shared" si="10"/>
        <v>0</v>
      </c>
      <c r="M52" s="241">
        <f t="shared" si="11"/>
        <v>0</v>
      </c>
      <c r="N52" s="241">
        <f t="shared" si="12"/>
        <v>0</v>
      </c>
      <c r="O52" s="241">
        <f t="shared" si="13"/>
        <v>0</v>
      </c>
      <c r="P52" s="272">
        <f t="shared" si="14"/>
        <v>91556.422014879048</v>
      </c>
      <c r="Z52" s="278"/>
    </row>
    <row r="53" spans="2:26" s="271" customFormat="1" ht="30.75" x14ac:dyDescent="0.4">
      <c r="B53" s="334"/>
      <c r="C53" s="334"/>
      <c r="D53" s="240" t="s">
        <v>118</v>
      </c>
      <c r="E53" s="241">
        <f t="shared" si="3"/>
        <v>39260.098150245372</v>
      </c>
      <c r="F53" s="241">
        <f t="shared" si="4"/>
        <v>59150.097597661035</v>
      </c>
      <c r="G53" s="241">
        <f t="shared" si="5"/>
        <v>0</v>
      </c>
      <c r="H53" s="241">
        <f t="shared" si="6"/>
        <v>0</v>
      </c>
      <c r="I53" s="241">
        <f t="shared" si="7"/>
        <v>0</v>
      </c>
      <c r="J53" s="241">
        <f t="shared" si="8"/>
        <v>0</v>
      </c>
      <c r="K53" s="241">
        <f t="shared" si="9"/>
        <v>0</v>
      </c>
      <c r="L53" s="241">
        <f t="shared" si="10"/>
        <v>0</v>
      </c>
      <c r="M53" s="241">
        <f t="shared" si="11"/>
        <v>0</v>
      </c>
      <c r="N53" s="241">
        <f t="shared" si="12"/>
        <v>0</v>
      </c>
      <c r="O53" s="241">
        <f t="shared" si="13"/>
        <v>0</v>
      </c>
      <c r="P53" s="272">
        <f t="shared" si="14"/>
        <v>98410.1957479064</v>
      </c>
      <c r="Z53" s="278"/>
    </row>
    <row r="54" spans="2:26" s="271" customFormat="1" ht="30.75" x14ac:dyDescent="0.4">
      <c r="B54" s="334"/>
      <c r="C54" s="334"/>
      <c r="D54" s="240" t="s">
        <v>141</v>
      </c>
      <c r="E54" s="241">
        <f t="shared" si="3"/>
        <v>24915.062287655717</v>
      </c>
      <c r="F54" s="241">
        <f t="shared" si="4"/>
        <v>32617.0538181388</v>
      </c>
      <c r="G54" s="241">
        <f t="shared" si="5"/>
        <v>0</v>
      </c>
      <c r="H54" s="241">
        <f t="shared" si="6"/>
        <v>0</v>
      </c>
      <c r="I54" s="241">
        <f t="shared" si="7"/>
        <v>0</v>
      </c>
      <c r="J54" s="241">
        <f t="shared" si="8"/>
        <v>0</v>
      </c>
      <c r="K54" s="241">
        <f t="shared" si="9"/>
        <v>0</v>
      </c>
      <c r="L54" s="241">
        <f t="shared" si="10"/>
        <v>0</v>
      </c>
      <c r="M54" s="241">
        <f t="shared" si="11"/>
        <v>0</v>
      </c>
      <c r="N54" s="241">
        <f t="shared" si="12"/>
        <v>0</v>
      </c>
      <c r="O54" s="241">
        <f t="shared" si="13"/>
        <v>0</v>
      </c>
      <c r="P54" s="272">
        <f t="shared" si="14"/>
        <v>57532.116105794514</v>
      </c>
      <c r="Z54" s="278"/>
    </row>
    <row r="55" spans="2:26" ht="30" customHeight="1" x14ac:dyDescent="0.4">
      <c r="B55" s="334"/>
      <c r="C55" s="334"/>
      <c r="D55" s="240" t="s">
        <v>154</v>
      </c>
      <c r="E55" s="241">
        <f t="shared" si="3"/>
        <v>0</v>
      </c>
      <c r="F55" s="241">
        <f t="shared" si="4"/>
        <v>53573.088395595849</v>
      </c>
      <c r="G55" s="241">
        <f t="shared" si="5"/>
        <v>0</v>
      </c>
      <c r="H55" s="241">
        <f t="shared" si="6"/>
        <v>0</v>
      </c>
      <c r="I55" s="241">
        <f t="shared" si="7"/>
        <v>0</v>
      </c>
      <c r="J55" s="241">
        <f t="shared" si="8"/>
        <v>0</v>
      </c>
      <c r="K55" s="241">
        <f t="shared" si="9"/>
        <v>0</v>
      </c>
      <c r="L55" s="241">
        <f t="shared" si="10"/>
        <v>0</v>
      </c>
      <c r="M55" s="241">
        <f t="shared" si="11"/>
        <v>0</v>
      </c>
      <c r="N55" s="241">
        <f t="shared" si="12"/>
        <v>0</v>
      </c>
      <c r="O55" s="241">
        <f t="shared" si="13"/>
        <v>0</v>
      </c>
      <c r="P55" s="272">
        <f t="shared" si="14"/>
        <v>53573.088395595849</v>
      </c>
    </row>
    <row r="56" spans="2:26" ht="30" customHeight="1" x14ac:dyDescent="0.4">
      <c r="B56" s="334"/>
      <c r="C56" s="334"/>
      <c r="D56" s="240" t="s">
        <v>164</v>
      </c>
      <c r="E56" s="241">
        <f t="shared" si="3"/>
        <v>18875.047187617969</v>
      </c>
      <c r="F56" s="241">
        <f t="shared" si="4"/>
        <v>21125.034856307513</v>
      </c>
      <c r="G56" s="241">
        <f t="shared" si="5"/>
        <v>0</v>
      </c>
      <c r="H56" s="241">
        <f t="shared" si="6"/>
        <v>0</v>
      </c>
      <c r="I56" s="241">
        <f t="shared" si="7"/>
        <v>0</v>
      </c>
      <c r="J56" s="241">
        <f t="shared" si="8"/>
        <v>0</v>
      </c>
      <c r="K56" s="241">
        <f t="shared" si="9"/>
        <v>0</v>
      </c>
      <c r="L56" s="241">
        <f t="shared" si="10"/>
        <v>0</v>
      </c>
      <c r="M56" s="241">
        <f t="shared" si="11"/>
        <v>0</v>
      </c>
      <c r="N56" s="241">
        <f t="shared" si="12"/>
        <v>0</v>
      </c>
      <c r="O56" s="241">
        <f t="shared" si="13"/>
        <v>0</v>
      </c>
      <c r="P56" s="272">
        <f t="shared" si="14"/>
        <v>40000.082043925482</v>
      </c>
    </row>
    <row r="57" spans="2:26" ht="30" customHeight="1" x14ac:dyDescent="0.4">
      <c r="B57" s="334"/>
      <c r="C57" s="334"/>
      <c r="D57" s="240" t="s">
        <v>162</v>
      </c>
      <c r="E57" s="241">
        <f t="shared" si="3"/>
        <v>0</v>
      </c>
      <c r="F57" s="241">
        <f t="shared" si="4"/>
        <v>0</v>
      </c>
      <c r="G57" s="241">
        <f t="shared" si="5"/>
        <v>3136.0000000000005</v>
      </c>
      <c r="H57" s="241">
        <f t="shared" si="6"/>
        <v>0</v>
      </c>
      <c r="I57" s="241">
        <f t="shared" si="7"/>
        <v>0</v>
      </c>
      <c r="J57" s="241">
        <f t="shared" si="8"/>
        <v>0</v>
      </c>
      <c r="K57" s="241">
        <f t="shared" si="9"/>
        <v>0</v>
      </c>
      <c r="L57" s="241">
        <f t="shared" si="10"/>
        <v>0</v>
      </c>
      <c r="M57" s="241">
        <f t="shared" si="11"/>
        <v>0</v>
      </c>
      <c r="N57" s="241">
        <f t="shared" si="12"/>
        <v>0</v>
      </c>
      <c r="O57" s="241">
        <f t="shared" si="13"/>
        <v>0</v>
      </c>
      <c r="P57" s="272">
        <f t="shared" si="14"/>
        <v>3136.0000000000005</v>
      </c>
    </row>
    <row r="58" spans="2:26" ht="30" customHeight="1" x14ac:dyDescent="0.4">
      <c r="B58" s="334"/>
      <c r="C58" s="334"/>
      <c r="D58" s="240" t="s">
        <v>163</v>
      </c>
      <c r="E58" s="241">
        <f t="shared" si="3"/>
        <v>0</v>
      </c>
      <c r="F58" s="241">
        <f t="shared" si="4"/>
        <v>0</v>
      </c>
      <c r="G58" s="241">
        <f t="shared" si="5"/>
        <v>6720.0000000000009</v>
      </c>
      <c r="H58" s="241">
        <f t="shared" si="6"/>
        <v>0</v>
      </c>
      <c r="I58" s="241">
        <f t="shared" si="7"/>
        <v>0</v>
      </c>
      <c r="J58" s="241">
        <f t="shared" si="8"/>
        <v>0</v>
      </c>
      <c r="K58" s="241">
        <f t="shared" si="9"/>
        <v>0</v>
      </c>
      <c r="L58" s="241">
        <f t="shared" si="10"/>
        <v>0</v>
      </c>
      <c r="M58" s="241">
        <f t="shared" si="11"/>
        <v>0</v>
      </c>
      <c r="N58" s="241">
        <f t="shared" si="12"/>
        <v>0</v>
      </c>
      <c r="O58" s="241">
        <f t="shared" si="13"/>
        <v>0</v>
      </c>
      <c r="P58" s="272">
        <f t="shared" si="14"/>
        <v>6720.0000000000009</v>
      </c>
    </row>
    <row r="59" spans="2:26" s="271" customFormat="1" ht="30.75" x14ac:dyDescent="0.4">
      <c r="B59" s="334"/>
      <c r="C59" s="334"/>
      <c r="D59" s="240" t="s">
        <v>121</v>
      </c>
      <c r="E59" s="241">
        <f t="shared" si="3"/>
        <v>0</v>
      </c>
      <c r="F59" s="241">
        <f t="shared" si="4"/>
        <v>0</v>
      </c>
      <c r="G59" s="241">
        <f t="shared" si="5"/>
        <v>0</v>
      </c>
      <c r="H59" s="241">
        <f t="shared" si="6"/>
        <v>0</v>
      </c>
      <c r="I59" s="241">
        <f t="shared" si="7"/>
        <v>0</v>
      </c>
      <c r="J59" s="241">
        <f t="shared" si="8"/>
        <v>0</v>
      </c>
      <c r="K59" s="241">
        <f t="shared" si="9"/>
        <v>12424.082701918425</v>
      </c>
      <c r="L59" s="241">
        <f t="shared" si="10"/>
        <v>0</v>
      </c>
      <c r="M59" s="241">
        <f t="shared" si="11"/>
        <v>0</v>
      </c>
      <c r="N59" s="241">
        <f t="shared" si="12"/>
        <v>0</v>
      </c>
      <c r="O59" s="241">
        <f t="shared" si="13"/>
        <v>0</v>
      </c>
      <c r="P59" s="272">
        <f t="shared" si="14"/>
        <v>12424.082701918425</v>
      </c>
      <c r="Z59" s="278"/>
    </row>
    <row r="60" spans="2:26" s="271" customFormat="1" ht="30.75" x14ac:dyDescent="0.4">
      <c r="B60" s="334"/>
      <c r="C60" s="334"/>
      <c r="D60" s="276" t="s">
        <v>169</v>
      </c>
      <c r="E60" s="241">
        <f t="shared" si="3"/>
        <v>0</v>
      </c>
      <c r="F60" s="241">
        <f t="shared" si="4"/>
        <v>1098.5018125279905</v>
      </c>
      <c r="G60" s="241">
        <f t="shared" si="5"/>
        <v>0</v>
      </c>
      <c r="H60" s="241">
        <f t="shared" si="6"/>
        <v>0</v>
      </c>
      <c r="I60" s="241">
        <f t="shared" si="7"/>
        <v>0</v>
      </c>
      <c r="J60" s="241">
        <f t="shared" si="8"/>
        <v>0</v>
      </c>
      <c r="K60" s="241">
        <f t="shared" si="9"/>
        <v>0</v>
      </c>
      <c r="L60" s="241">
        <f t="shared" si="10"/>
        <v>2973.0051135687954</v>
      </c>
      <c r="M60" s="241">
        <f t="shared" si="11"/>
        <v>868.25217063042658</v>
      </c>
      <c r="N60" s="241">
        <f t="shared" si="12"/>
        <v>0</v>
      </c>
      <c r="O60" s="241">
        <f t="shared" si="13"/>
        <v>11571</v>
      </c>
      <c r="P60" s="272">
        <f t="shared" si="14"/>
        <v>16510.759096727212</v>
      </c>
      <c r="Z60" s="278"/>
    </row>
    <row r="61" spans="2:26" s="271" customFormat="1" ht="30.75" x14ac:dyDescent="0.4">
      <c r="B61" s="334"/>
      <c r="C61" s="335"/>
      <c r="D61" s="247" t="s">
        <v>132</v>
      </c>
      <c r="E61" s="241">
        <f t="shared" si="3"/>
        <v>0</v>
      </c>
      <c r="F61" s="241">
        <f t="shared" si="4"/>
        <v>0</v>
      </c>
      <c r="G61" s="241">
        <f t="shared" si="5"/>
        <v>0</v>
      </c>
      <c r="H61" s="241">
        <f t="shared" si="6"/>
        <v>0</v>
      </c>
      <c r="I61" s="241">
        <f t="shared" si="7"/>
        <v>0</v>
      </c>
      <c r="J61" s="241">
        <f t="shared" si="8"/>
        <v>0</v>
      </c>
      <c r="K61" s="241">
        <f t="shared" si="9"/>
        <v>0</v>
      </c>
      <c r="L61" s="241">
        <f t="shared" si="10"/>
        <v>0</v>
      </c>
      <c r="M61" s="241">
        <f t="shared" si="11"/>
        <v>0</v>
      </c>
      <c r="N61" s="241">
        <f t="shared" si="12"/>
        <v>0</v>
      </c>
      <c r="O61" s="241">
        <f t="shared" si="13"/>
        <v>68702.16</v>
      </c>
      <c r="P61" s="272">
        <f t="shared" si="14"/>
        <v>68702.16</v>
      </c>
      <c r="Z61" s="278"/>
    </row>
    <row r="62" spans="2:26" s="271" customFormat="1" ht="30.75" x14ac:dyDescent="0.4">
      <c r="B62" s="334"/>
      <c r="C62" s="264" t="s">
        <v>150</v>
      </c>
      <c r="D62" s="276" t="s">
        <v>153</v>
      </c>
      <c r="E62" s="241">
        <f t="shared" si="3"/>
        <v>0</v>
      </c>
      <c r="F62" s="241">
        <f t="shared" si="4"/>
        <v>1543.8175472989531</v>
      </c>
      <c r="G62" s="241">
        <f t="shared" si="5"/>
        <v>0</v>
      </c>
      <c r="H62" s="241">
        <f t="shared" si="6"/>
        <v>0</v>
      </c>
      <c r="I62" s="241">
        <f t="shared" si="7"/>
        <v>0</v>
      </c>
      <c r="J62" s="241">
        <f t="shared" si="8"/>
        <v>0</v>
      </c>
      <c r="K62" s="241">
        <f t="shared" si="9"/>
        <v>0</v>
      </c>
      <c r="L62" s="241">
        <f t="shared" si="10"/>
        <v>1172.3550164506282</v>
      </c>
      <c r="M62" s="241">
        <f t="shared" si="11"/>
        <v>486.97621744054362</v>
      </c>
      <c r="N62" s="241">
        <f t="shared" si="12"/>
        <v>0</v>
      </c>
      <c r="O62" s="241">
        <f t="shared" si="13"/>
        <v>6361.44</v>
      </c>
      <c r="P62" s="272">
        <f t="shared" si="14"/>
        <v>9564.5887811901248</v>
      </c>
      <c r="Z62" s="278"/>
    </row>
    <row r="63" spans="2:26" s="271" customFormat="1" ht="30.75" customHeight="1" x14ac:dyDescent="0.4">
      <c r="B63" s="334"/>
      <c r="C63" s="336" t="s">
        <v>149</v>
      </c>
      <c r="D63" s="247" t="s">
        <v>156</v>
      </c>
      <c r="E63" s="241">
        <f t="shared" si="3"/>
        <v>0</v>
      </c>
      <c r="F63" s="241">
        <f t="shared" si="4"/>
        <v>0</v>
      </c>
      <c r="G63" s="241">
        <f t="shared" si="5"/>
        <v>0</v>
      </c>
      <c r="H63" s="241">
        <f t="shared" si="6"/>
        <v>0</v>
      </c>
      <c r="I63" s="241">
        <f t="shared" si="7"/>
        <v>0</v>
      </c>
      <c r="J63" s="241">
        <f t="shared" si="8"/>
        <v>0</v>
      </c>
      <c r="K63" s="241">
        <f t="shared" si="9"/>
        <v>8060.615831049492</v>
      </c>
      <c r="L63" s="241">
        <f t="shared" si="10"/>
        <v>0</v>
      </c>
      <c r="M63" s="241">
        <f t="shared" si="11"/>
        <v>0</v>
      </c>
      <c r="N63" s="241">
        <f t="shared" si="12"/>
        <v>0</v>
      </c>
      <c r="O63" s="241">
        <f t="shared" si="13"/>
        <v>0</v>
      </c>
      <c r="P63" s="272">
        <f t="shared" si="14"/>
        <v>8060.615831049492</v>
      </c>
      <c r="Z63" s="278"/>
    </row>
    <row r="64" spans="2:26" s="271" customFormat="1" ht="44.25" customHeight="1" x14ac:dyDescent="0.4">
      <c r="B64" s="334"/>
      <c r="C64" s="337"/>
      <c r="D64" s="247" t="s">
        <v>157</v>
      </c>
      <c r="E64" s="241">
        <f t="shared" si="3"/>
        <v>0</v>
      </c>
      <c r="F64" s="241">
        <f t="shared" si="4"/>
        <v>0</v>
      </c>
      <c r="G64" s="241">
        <f t="shared" si="5"/>
        <v>0</v>
      </c>
      <c r="H64" s="241">
        <f t="shared" si="6"/>
        <v>0</v>
      </c>
      <c r="I64" s="241">
        <f t="shared" si="7"/>
        <v>0</v>
      </c>
      <c r="J64" s="241">
        <f t="shared" si="8"/>
        <v>0</v>
      </c>
      <c r="K64" s="241">
        <f t="shared" si="9"/>
        <v>1213.1226825729486</v>
      </c>
      <c r="L64" s="241">
        <f t="shared" si="10"/>
        <v>0</v>
      </c>
      <c r="M64" s="241">
        <f t="shared" si="11"/>
        <v>0</v>
      </c>
      <c r="N64" s="241">
        <f t="shared" si="12"/>
        <v>0</v>
      </c>
      <c r="O64" s="241">
        <f t="shared" si="13"/>
        <v>0</v>
      </c>
      <c r="P64" s="272">
        <f t="shared" si="14"/>
        <v>1213.1226825729486</v>
      </c>
    </row>
    <row r="65" spans="2:16" s="271" customFormat="1" ht="44.25" customHeight="1" x14ac:dyDescent="0.4">
      <c r="B65" s="335"/>
      <c r="C65" s="338"/>
      <c r="D65" s="247" t="s">
        <v>165</v>
      </c>
      <c r="E65" s="241">
        <f t="shared" si="3"/>
        <v>0</v>
      </c>
      <c r="F65" s="241">
        <f t="shared" si="4"/>
        <v>0</v>
      </c>
      <c r="G65" s="241">
        <f t="shared" si="5"/>
        <v>0</v>
      </c>
      <c r="H65" s="241">
        <f t="shared" si="6"/>
        <v>0</v>
      </c>
      <c r="I65" s="241">
        <f t="shared" si="7"/>
        <v>0</v>
      </c>
      <c r="J65" s="241">
        <f t="shared" si="8"/>
        <v>0</v>
      </c>
      <c r="K65" s="241">
        <f t="shared" si="9"/>
        <v>266.00032242463323</v>
      </c>
      <c r="L65" s="241">
        <f t="shared" si="10"/>
        <v>0</v>
      </c>
      <c r="M65" s="241">
        <f t="shared" si="11"/>
        <v>0</v>
      </c>
      <c r="N65" s="241">
        <f t="shared" si="12"/>
        <v>0</v>
      </c>
      <c r="O65" s="241">
        <f t="shared" si="13"/>
        <v>0</v>
      </c>
      <c r="P65" s="272">
        <f t="shared" si="14"/>
        <v>266.00032242463323</v>
      </c>
    </row>
    <row r="66" spans="2:16" s="271" customFormat="1" ht="30.75" x14ac:dyDescent="0.4">
      <c r="B66" s="333" t="s">
        <v>144</v>
      </c>
      <c r="C66" s="333" t="s">
        <v>109</v>
      </c>
      <c r="D66" s="240" t="s">
        <v>135</v>
      </c>
      <c r="E66" s="241">
        <f t="shared" si="3"/>
        <v>0</v>
      </c>
      <c r="F66" s="241">
        <f t="shared" si="4"/>
        <v>32557.058719146884</v>
      </c>
      <c r="G66" s="241">
        <f t="shared" si="5"/>
        <v>0</v>
      </c>
      <c r="H66" s="241">
        <f t="shared" si="6"/>
        <v>0</v>
      </c>
      <c r="I66" s="241">
        <f t="shared" si="7"/>
        <v>0</v>
      </c>
      <c r="J66" s="241">
        <f t="shared" si="8"/>
        <v>0</v>
      </c>
      <c r="K66" s="241">
        <f t="shared" si="9"/>
        <v>0</v>
      </c>
      <c r="L66" s="241">
        <f t="shared" si="10"/>
        <v>0</v>
      </c>
      <c r="M66" s="241">
        <f t="shared" si="11"/>
        <v>0</v>
      </c>
      <c r="N66" s="241">
        <f t="shared" si="12"/>
        <v>0</v>
      </c>
      <c r="O66" s="241">
        <f t="shared" si="13"/>
        <v>0</v>
      </c>
      <c r="P66" s="272">
        <f t="shared" si="14"/>
        <v>32557.058719146884</v>
      </c>
    </row>
    <row r="67" spans="2:16" s="271" customFormat="1" ht="30.75" x14ac:dyDescent="0.4">
      <c r="B67" s="334"/>
      <c r="C67" s="334"/>
      <c r="D67" s="240" t="s">
        <v>161</v>
      </c>
      <c r="E67" s="241">
        <f t="shared" si="3"/>
        <v>0</v>
      </c>
      <c r="F67" s="241">
        <f t="shared" si="4"/>
        <v>8450.0139425230045</v>
      </c>
      <c r="G67" s="241">
        <f t="shared" si="5"/>
        <v>0</v>
      </c>
      <c r="H67" s="241">
        <f t="shared" si="6"/>
        <v>0</v>
      </c>
      <c r="I67" s="241">
        <f t="shared" si="7"/>
        <v>0</v>
      </c>
      <c r="J67" s="241">
        <f t="shared" si="8"/>
        <v>0</v>
      </c>
      <c r="K67" s="241">
        <f t="shared" si="9"/>
        <v>0</v>
      </c>
      <c r="L67" s="241">
        <f t="shared" si="10"/>
        <v>0</v>
      </c>
      <c r="M67" s="241">
        <f t="shared" si="11"/>
        <v>0</v>
      </c>
      <c r="N67" s="241">
        <f t="shared" si="12"/>
        <v>0</v>
      </c>
      <c r="O67" s="241">
        <f t="shared" si="13"/>
        <v>0</v>
      </c>
      <c r="P67" s="272">
        <f t="shared" si="14"/>
        <v>8450.0139425230045</v>
      </c>
    </row>
    <row r="68" spans="2:16" s="271" customFormat="1" ht="30.75" x14ac:dyDescent="0.4">
      <c r="B68" s="334"/>
      <c r="C68" s="334"/>
      <c r="D68" s="240" t="s">
        <v>119</v>
      </c>
      <c r="E68" s="241">
        <f t="shared" si="3"/>
        <v>0</v>
      </c>
      <c r="F68" s="241">
        <f t="shared" si="4"/>
        <v>20280.033462055213</v>
      </c>
      <c r="G68" s="241">
        <f t="shared" si="5"/>
        <v>0</v>
      </c>
      <c r="H68" s="241">
        <f t="shared" si="6"/>
        <v>0</v>
      </c>
      <c r="I68" s="241">
        <f t="shared" si="7"/>
        <v>0</v>
      </c>
      <c r="J68" s="241">
        <f t="shared" si="8"/>
        <v>0</v>
      </c>
      <c r="K68" s="241">
        <f t="shared" si="9"/>
        <v>0</v>
      </c>
      <c r="L68" s="241">
        <f t="shared" si="10"/>
        <v>0</v>
      </c>
      <c r="M68" s="241">
        <f t="shared" si="11"/>
        <v>0</v>
      </c>
      <c r="N68" s="241">
        <f t="shared" si="12"/>
        <v>0</v>
      </c>
      <c r="O68" s="241">
        <f t="shared" si="13"/>
        <v>0</v>
      </c>
      <c r="P68" s="272">
        <f t="shared" si="14"/>
        <v>20280.033462055213</v>
      </c>
    </row>
    <row r="69" spans="2:16" s="271" customFormat="1" ht="30.75" x14ac:dyDescent="0.4">
      <c r="B69" s="334"/>
      <c r="C69" s="334"/>
      <c r="D69" s="240" t="s">
        <v>120</v>
      </c>
      <c r="E69" s="241">
        <f t="shared" si="3"/>
        <v>10570.026425066062</v>
      </c>
      <c r="F69" s="241">
        <f t="shared" si="4"/>
        <v>15210.025096541409</v>
      </c>
      <c r="G69" s="241">
        <f t="shared" si="5"/>
        <v>0</v>
      </c>
      <c r="H69" s="241">
        <f t="shared" si="6"/>
        <v>0</v>
      </c>
      <c r="I69" s="241">
        <f t="shared" si="7"/>
        <v>0</v>
      </c>
      <c r="J69" s="241">
        <f t="shared" si="8"/>
        <v>0</v>
      </c>
      <c r="K69" s="241">
        <f t="shared" si="9"/>
        <v>0</v>
      </c>
      <c r="L69" s="241">
        <f t="shared" si="10"/>
        <v>0</v>
      </c>
      <c r="M69" s="241">
        <f t="shared" si="11"/>
        <v>0</v>
      </c>
      <c r="N69" s="241">
        <f t="shared" si="12"/>
        <v>0</v>
      </c>
      <c r="O69" s="241">
        <f t="shared" si="13"/>
        <v>0</v>
      </c>
      <c r="P69" s="272">
        <f t="shared" si="14"/>
        <v>25780.051521607471</v>
      </c>
    </row>
    <row r="70" spans="2:16" s="271" customFormat="1" ht="30.75" x14ac:dyDescent="0.4">
      <c r="B70" s="334"/>
      <c r="C70" s="335"/>
      <c r="D70" s="240" t="s">
        <v>136</v>
      </c>
      <c r="E70" s="241">
        <f t="shared" si="3"/>
        <v>0</v>
      </c>
      <c r="F70" s="241">
        <f t="shared" si="4"/>
        <v>0</v>
      </c>
      <c r="G70" s="241">
        <f t="shared" si="5"/>
        <v>0</v>
      </c>
      <c r="H70" s="241">
        <f t="shared" si="6"/>
        <v>11407.518822406057</v>
      </c>
      <c r="I70" s="241">
        <f t="shared" si="7"/>
        <v>0</v>
      </c>
      <c r="J70" s="241">
        <f t="shared" si="8"/>
        <v>0</v>
      </c>
      <c r="K70" s="241">
        <f t="shared" si="9"/>
        <v>0</v>
      </c>
      <c r="L70" s="241">
        <f t="shared" si="10"/>
        <v>0</v>
      </c>
      <c r="M70" s="241">
        <f t="shared" si="11"/>
        <v>0</v>
      </c>
      <c r="N70" s="241">
        <f t="shared" si="12"/>
        <v>0</v>
      </c>
      <c r="O70" s="241">
        <f t="shared" si="13"/>
        <v>0</v>
      </c>
      <c r="P70" s="272">
        <f t="shared" si="14"/>
        <v>11407.518822406057</v>
      </c>
    </row>
    <row r="71" spans="2:16" s="271" customFormat="1" ht="30.75" x14ac:dyDescent="0.4">
      <c r="B71" s="334"/>
      <c r="C71" s="333" t="s">
        <v>137</v>
      </c>
      <c r="D71" s="240" t="s">
        <v>167</v>
      </c>
      <c r="E71" s="241">
        <f t="shared" si="3"/>
        <v>0</v>
      </c>
      <c r="F71" s="241">
        <f t="shared" si="4"/>
        <v>0</v>
      </c>
      <c r="G71" s="241">
        <f t="shared" si="5"/>
        <v>4480</v>
      </c>
      <c r="H71" s="241">
        <f t="shared" si="6"/>
        <v>0</v>
      </c>
      <c r="I71" s="241">
        <f t="shared" si="7"/>
        <v>0</v>
      </c>
      <c r="J71" s="241">
        <f t="shared" si="8"/>
        <v>0</v>
      </c>
      <c r="K71" s="241">
        <f t="shared" si="9"/>
        <v>0</v>
      </c>
      <c r="L71" s="241">
        <f t="shared" si="10"/>
        <v>0</v>
      </c>
      <c r="M71" s="241">
        <f t="shared" si="11"/>
        <v>0</v>
      </c>
      <c r="N71" s="241">
        <f t="shared" si="12"/>
        <v>675</v>
      </c>
      <c r="O71" s="241">
        <f t="shared" si="13"/>
        <v>0</v>
      </c>
      <c r="P71" s="272">
        <f t="shared" si="14"/>
        <v>5155</v>
      </c>
    </row>
    <row r="72" spans="2:16" s="271" customFormat="1" ht="30.75" x14ac:dyDescent="0.4">
      <c r="B72" s="334"/>
      <c r="C72" s="335"/>
      <c r="D72" s="240" t="s">
        <v>26</v>
      </c>
      <c r="E72" s="241">
        <f t="shared" si="3"/>
        <v>0</v>
      </c>
      <c r="F72" s="241">
        <f t="shared" si="4"/>
        <v>0</v>
      </c>
      <c r="G72" s="241">
        <f t="shared" si="5"/>
        <v>840.00000000000011</v>
      </c>
      <c r="H72" s="241">
        <f t="shared" si="6"/>
        <v>0</v>
      </c>
      <c r="I72" s="241">
        <f t="shared" si="7"/>
        <v>0</v>
      </c>
      <c r="J72" s="241">
        <f t="shared" si="8"/>
        <v>0</v>
      </c>
      <c r="K72" s="241">
        <f t="shared" si="9"/>
        <v>0</v>
      </c>
      <c r="L72" s="241">
        <f t="shared" si="10"/>
        <v>0</v>
      </c>
      <c r="M72" s="241">
        <f t="shared" si="11"/>
        <v>0</v>
      </c>
      <c r="N72" s="241">
        <f t="shared" si="12"/>
        <v>0</v>
      </c>
      <c r="O72" s="241">
        <f t="shared" si="13"/>
        <v>0</v>
      </c>
      <c r="P72" s="272">
        <f t="shared" si="14"/>
        <v>840.00000000000011</v>
      </c>
    </row>
    <row r="73" spans="2:16" s="271" customFormat="1" ht="30.75" x14ac:dyDescent="0.4">
      <c r="B73" s="335"/>
      <c r="C73" s="269" t="s">
        <v>130</v>
      </c>
      <c r="D73" s="240" t="s">
        <v>129</v>
      </c>
      <c r="E73" s="241">
        <f t="shared" si="3"/>
        <v>0</v>
      </c>
      <c r="F73" s="241">
        <f t="shared" si="4"/>
        <v>0</v>
      </c>
      <c r="G73" s="241">
        <f t="shared" si="5"/>
        <v>0</v>
      </c>
      <c r="H73" s="241">
        <f t="shared" si="6"/>
        <v>3253.2553678713566</v>
      </c>
      <c r="I73" s="241">
        <f t="shared" si="7"/>
        <v>0</v>
      </c>
      <c r="J73" s="241">
        <f t="shared" si="8"/>
        <v>0</v>
      </c>
      <c r="K73" s="241">
        <f t="shared" si="9"/>
        <v>0</v>
      </c>
      <c r="L73" s="241">
        <f t="shared" si="10"/>
        <v>0</v>
      </c>
      <c r="M73" s="241">
        <f t="shared" si="11"/>
        <v>0</v>
      </c>
      <c r="N73" s="241">
        <f t="shared" si="12"/>
        <v>0</v>
      </c>
      <c r="O73" s="241">
        <f t="shared" si="13"/>
        <v>0</v>
      </c>
      <c r="P73" s="272">
        <f t="shared" si="14"/>
        <v>3253.2553678713566</v>
      </c>
    </row>
    <row r="74" spans="2:16" s="271" customFormat="1" ht="30.75" x14ac:dyDescent="0.4">
      <c r="B74" s="269" t="s">
        <v>145</v>
      </c>
      <c r="C74" s="269" t="s">
        <v>93</v>
      </c>
      <c r="D74" s="240" t="s">
        <v>124</v>
      </c>
      <c r="E74" s="241">
        <f t="shared" si="3"/>
        <v>25688.939222348057</v>
      </c>
      <c r="F74" s="241">
        <f t="shared" si="4"/>
        <v>44125.972807855134</v>
      </c>
      <c r="G74" s="241">
        <f t="shared" si="5"/>
        <v>0</v>
      </c>
      <c r="H74" s="241">
        <f t="shared" si="6"/>
        <v>0</v>
      </c>
      <c r="I74" s="241">
        <f t="shared" si="7"/>
        <v>0</v>
      </c>
      <c r="J74" s="241">
        <f t="shared" si="8"/>
        <v>0</v>
      </c>
      <c r="K74" s="241">
        <f t="shared" si="9"/>
        <v>0</v>
      </c>
      <c r="L74" s="241">
        <f t="shared" si="10"/>
        <v>0</v>
      </c>
      <c r="M74" s="241">
        <f t="shared" si="11"/>
        <v>0</v>
      </c>
      <c r="N74" s="241">
        <f t="shared" si="12"/>
        <v>0</v>
      </c>
      <c r="O74" s="241">
        <f t="shared" si="13"/>
        <v>0</v>
      </c>
      <c r="P74" s="272">
        <f t="shared" si="14"/>
        <v>69814.912030203195</v>
      </c>
    </row>
    <row r="75" spans="2:16" s="271" customFormat="1" ht="30.75" x14ac:dyDescent="0.4">
      <c r="B75" s="333" t="s">
        <v>146</v>
      </c>
      <c r="C75" s="269" t="s">
        <v>99</v>
      </c>
      <c r="D75" s="240" t="s">
        <v>123</v>
      </c>
      <c r="E75" s="241">
        <f t="shared" si="3"/>
        <v>3781.0494526236316</v>
      </c>
      <c r="F75" s="241">
        <f t="shared" si="4"/>
        <v>5991.0598852488101</v>
      </c>
      <c r="G75" s="241">
        <f t="shared" si="5"/>
        <v>0</v>
      </c>
      <c r="H75" s="241">
        <f t="shared" si="6"/>
        <v>0</v>
      </c>
      <c r="I75" s="241">
        <f t="shared" si="7"/>
        <v>0</v>
      </c>
      <c r="J75" s="241">
        <f t="shared" si="8"/>
        <v>0</v>
      </c>
      <c r="K75" s="241">
        <f t="shared" si="9"/>
        <v>0</v>
      </c>
      <c r="L75" s="241">
        <f t="shared" si="10"/>
        <v>0</v>
      </c>
      <c r="M75" s="241">
        <f t="shared" si="11"/>
        <v>0</v>
      </c>
      <c r="N75" s="241">
        <f t="shared" si="12"/>
        <v>0</v>
      </c>
      <c r="O75" s="241">
        <f t="shared" si="13"/>
        <v>0</v>
      </c>
      <c r="P75" s="272">
        <f t="shared" si="14"/>
        <v>9772.1093378724418</v>
      </c>
    </row>
    <row r="76" spans="2:16" s="271" customFormat="1" ht="30.75" x14ac:dyDescent="0.4">
      <c r="B76" s="335"/>
      <c r="C76" s="269" t="s">
        <v>139</v>
      </c>
      <c r="D76" s="240" t="s">
        <v>158</v>
      </c>
      <c r="E76" s="241">
        <f t="shared" si="3"/>
        <v>6329.1808229520575</v>
      </c>
      <c r="F76" s="241">
        <f t="shared" si="4"/>
        <v>6470.1756757898647</v>
      </c>
      <c r="G76" s="241">
        <f t="shared" si="5"/>
        <v>0</v>
      </c>
      <c r="H76" s="241">
        <f t="shared" si="6"/>
        <v>0</v>
      </c>
      <c r="I76" s="241">
        <f t="shared" si="7"/>
        <v>0</v>
      </c>
      <c r="J76" s="241">
        <f t="shared" si="8"/>
        <v>0</v>
      </c>
      <c r="K76" s="241">
        <f t="shared" si="9"/>
        <v>0</v>
      </c>
      <c r="L76" s="241">
        <f t="shared" si="10"/>
        <v>0</v>
      </c>
      <c r="M76" s="241">
        <f t="shared" si="11"/>
        <v>0</v>
      </c>
      <c r="N76" s="241">
        <f t="shared" si="12"/>
        <v>0</v>
      </c>
      <c r="O76" s="241">
        <f t="shared" si="13"/>
        <v>0</v>
      </c>
      <c r="P76" s="272">
        <f t="shared" si="14"/>
        <v>12799.356498741923</v>
      </c>
    </row>
    <row r="77" spans="2:16" s="271" customFormat="1" ht="30.75" x14ac:dyDescent="0.4">
      <c r="B77" s="269" t="s">
        <v>147</v>
      </c>
      <c r="C77" s="269" t="s">
        <v>95</v>
      </c>
      <c r="D77" s="240" t="s">
        <v>125</v>
      </c>
      <c r="E77" s="241">
        <f t="shared" si="3"/>
        <v>10162.325405813513</v>
      </c>
      <c r="F77" s="241">
        <f t="shared" si="4"/>
        <v>32380.453427748154</v>
      </c>
      <c r="G77" s="241">
        <f t="shared" si="5"/>
        <v>0</v>
      </c>
      <c r="H77" s="241">
        <f t="shared" si="6"/>
        <v>0</v>
      </c>
      <c r="I77" s="241">
        <f t="shared" si="7"/>
        <v>0</v>
      </c>
      <c r="J77" s="241">
        <f t="shared" si="8"/>
        <v>0</v>
      </c>
      <c r="K77" s="241">
        <f t="shared" si="9"/>
        <v>0</v>
      </c>
      <c r="L77" s="241">
        <f t="shared" si="10"/>
        <v>0</v>
      </c>
      <c r="M77" s="241">
        <f t="shared" si="11"/>
        <v>0</v>
      </c>
      <c r="N77" s="241">
        <f t="shared" si="12"/>
        <v>0</v>
      </c>
      <c r="O77" s="241">
        <f t="shared" si="13"/>
        <v>0</v>
      </c>
      <c r="P77" s="272">
        <f t="shared" si="14"/>
        <v>42542.778833561664</v>
      </c>
    </row>
    <row r="78" spans="2:16" s="271" customFormat="1" ht="30.75" x14ac:dyDescent="0.4">
      <c r="B78" s="269" t="s">
        <v>148</v>
      </c>
      <c r="C78" s="269" t="s">
        <v>110</v>
      </c>
      <c r="D78" s="240" t="s">
        <v>122</v>
      </c>
      <c r="E78" s="241">
        <f t="shared" si="3"/>
        <v>9060.0226500566241</v>
      </c>
      <c r="F78" s="241">
        <f t="shared" si="4"/>
        <v>29152.548101704368</v>
      </c>
      <c r="G78" s="241">
        <f t="shared" si="5"/>
        <v>0</v>
      </c>
      <c r="H78" s="241">
        <f t="shared" si="6"/>
        <v>0</v>
      </c>
      <c r="I78" s="241">
        <f t="shared" si="7"/>
        <v>0</v>
      </c>
      <c r="J78" s="241">
        <f t="shared" si="8"/>
        <v>0</v>
      </c>
      <c r="K78" s="241">
        <f t="shared" si="9"/>
        <v>0</v>
      </c>
      <c r="L78" s="241">
        <f t="shared" si="10"/>
        <v>0</v>
      </c>
      <c r="M78" s="241">
        <f t="shared" si="11"/>
        <v>0</v>
      </c>
      <c r="N78" s="241">
        <f t="shared" si="12"/>
        <v>0</v>
      </c>
      <c r="O78" s="241">
        <f t="shared" si="13"/>
        <v>0</v>
      </c>
      <c r="P78" s="272">
        <f t="shared" si="14"/>
        <v>38212.570751760992</v>
      </c>
    </row>
    <row r="79" spans="2:16" s="271" customFormat="1" ht="30" x14ac:dyDescent="0.25">
      <c r="B79" s="339" t="s">
        <v>155</v>
      </c>
      <c r="C79" s="340"/>
      <c r="D79" s="341"/>
      <c r="E79" s="255">
        <f t="shared" ref="E79:P79" si="15">SUM(E47:E78)</f>
        <v>481193.65798414499</v>
      </c>
      <c r="F79" s="255">
        <f t="shared" si="15"/>
        <v>755456.15879266197</v>
      </c>
      <c r="G79" s="255">
        <f t="shared" si="15"/>
        <v>34896.254400000005</v>
      </c>
      <c r="H79" s="255">
        <f t="shared" si="15"/>
        <v>14660.774190277414</v>
      </c>
      <c r="I79" s="255">
        <f t="shared" si="15"/>
        <v>12010.317588263744</v>
      </c>
      <c r="J79" s="255">
        <f t="shared" si="15"/>
        <v>1812.004530011325</v>
      </c>
      <c r="K79" s="255">
        <f t="shared" si="15"/>
        <v>56952.536675802032</v>
      </c>
      <c r="L79" s="255">
        <f t="shared" si="15"/>
        <v>96308.518650652084</v>
      </c>
      <c r="M79" s="255">
        <f t="shared" si="15"/>
        <v>3167.2329180822953</v>
      </c>
      <c r="N79" s="255">
        <f t="shared" si="15"/>
        <v>675</v>
      </c>
      <c r="O79" s="255">
        <f t="shared" si="15"/>
        <v>482484.60000000003</v>
      </c>
      <c r="P79" s="255">
        <f t="shared" si="15"/>
        <v>1939617.0557298956</v>
      </c>
    </row>
    <row r="81" spans="2:14" ht="26.25" x14ac:dyDescent="0.4">
      <c r="B81" s="285" t="s">
        <v>160</v>
      </c>
    </row>
    <row r="82" spans="2:14" ht="26.25" x14ac:dyDescent="0.4">
      <c r="B82" s="285" t="s">
        <v>159</v>
      </c>
    </row>
    <row r="89" spans="2:14" ht="20.25" x14ac:dyDescent="0.3">
      <c r="N89" s="279"/>
    </row>
  </sheetData>
  <mergeCells count="18">
    <mergeCell ref="B66:B73"/>
    <mergeCell ref="C66:C70"/>
    <mergeCell ref="C71:C72"/>
    <mergeCell ref="B75:B76"/>
    <mergeCell ref="B79:D79"/>
    <mergeCell ref="C63:C65"/>
    <mergeCell ref="B47:B65"/>
    <mergeCell ref="B32:B33"/>
    <mergeCell ref="B36:D36"/>
    <mergeCell ref="D41:D42"/>
    <mergeCell ref="C47:C61"/>
    <mergeCell ref="C1:P1"/>
    <mergeCell ref="C4:C18"/>
    <mergeCell ref="B23:B30"/>
    <mergeCell ref="C23:C27"/>
    <mergeCell ref="C28:C29"/>
    <mergeCell ref="C20:C22"/>
    <mergeCell ref="B4:B22"/>
  </mergeCells>
  <pageMargins left="0.17" right="0.17" top="0.94" bottom="0.75" header="0.24" footer="0.3"/>
  <pageSetup scale="29" fitToHeight="0" orientation="landscape" r:id="rId1"/>
  <headerFooter>
    <oddHeader xml:space="preserve">&amp;CEXECUTIVE BRIEF ON PRICES AND STOCKS - 8TH NOVEMBER 2018           
</oddHeader>
  </headerFooter>
  <rowBreaks count="1" manualBreakCount="1">
    <brk id="39" min="1" max="15" man="1"/>
  </rowBreaks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59"/>
  <sheetViews>
    <sheetView showGridLines="0" view="pageBreakPreview" topLeftCell="F16" zoomScale="60" zoomScaleNormal="100" workbookViewId="0">
      <selection activeCell="I22" sqref="I22"/>
    </sheetView>
  </sheetViews>
  <sheetFormatPr defaultRowHeight="15" x14ac:dyDescent="0.25"/>
  <cols>
    <col min="1" max="1" width="4.5703125" customWidth="1"/>
    <col min="2" max="2" width="23.7109375" customWidth="1"/>
    <col min="3" max="3" width="32.7109375" customWidth="1"/>
    <col min="4" max="4" width="19.28515625" customWidth="1"/>
    <col min="5" max="5" width="24" customWidth="1"/>
    <col min="6" max="6" width="18.7109375" customWidth="1"/>
    <col min="7" max="7" width="18.7109375" bestFit="1" customWidth="1"/>
    <col min="8" max="8" width="16.7109375" customWidth="1"/>
    <col min="9" max="9" width="18.5703125" customWidth="1"/>
    <col min="10" max="10" width="21.85546875" bestFit="1" customWidth="1"/>
    <col min="11" max="11" width="15.42578125" customWidth="1"/>
    <col min="12" max="12" width="15.7109375" bestFit="1" customWidth="1"/>
    <col min="13" max="13" width="16" bestFit="1" customWidth="1"/>
    <col min="15" max="17" width="13.28515625" customWidth="1"/>
  </cols>
  <sheetData>
    <row r="1" spans="2:13" hidden="1" x14ac:dyDescent="0.25"/>
    <row r="2" spans="2:13" ht="19.5" hidden="1" customHeight="1" x14ac:dyDescent="0.25">
      <c r="B2" s="350" t="s">
        <v>41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2"/>
    </row>
    <row r="3" spans="2:13" ht="23.25" hidden="1" customHeight="1" thickBot="1" x14ac:dyDescent="0.3">
      <c r="B3" s="353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5"/>
    </row>
    <row r="4" spans="2:13" ht="48.75" hidden="1" customHeight="1" thickBot="1" x14ac:dyDescent="0.3">
      <c r="B4" s="66" t="s">
        <v>1</v>
      </c>
      <c r="C4" s="67" t="s">
        <v>19</v>
      </c>
      <c r="D4" s="68" t="s">
        <v>14</v>
      </c>
      <c r="E4" s="67" t="s">
        <v>17</v>
      </c>
      <c r="F4" s="67" t="s">
        <v>18</v>
      </c>
      <c r="G4" s="67" t="s">
        <v>15</v>
      </c>
      <c r="H4" s="69" t="s">
        <v>16</v>
      </c>
      <c r="I4" s="70" t="s">
        <v>3</v>
      </c>
      <c r="J4" s="123"/>
      <c r="K4" s="71" t="s">
        <v>4</v>
      </c>
      <c r="L4" s="72" t="s">
        <v>20</v>
      </c>
    </row>
    <row r="5" spans="2:13" ht="15.75" hidden="1" thickBot="1" x14ac:dyDescent="0.3">
      <c r="B5" s="297" t="s">
        <v>5</v>
      </c>
      <c r="C5" s="298"/>
      <c r="D5" s="298"/>
      <c r="E5" s="298"/>
      <c r="F5" s="298"/>
      <c r="G5" s="298"/>
      <c r="H5" s="298"/>
      <c r="I5" s="299"/>
      <c r="J5" s="115"/>
      <c r="K5" s="298" t="s">
        <v>6</v>
      </c>
      <c r="L5" s="299"/>
    </row>
    <row r="6" spans="2:13" ht="41.25" hidden="1" customHeight="1" x14ac:dyDescent="0.25">
      <c r="B6" s="33" t="s">
        <v>7</v>
      </c>
      <c r="C6" s="34">
        <v>0</v>
      </c>
      <c r="D6" s="35">
        <v>300051</v>
      </c>
      <c r="E6" s="34">
        <v>0</v>
      </c>
      <c r="F6" s="34">
        <v>0</v>
      </c>
      <c r="G6" s="34">
        <v>0</v>
      </c>
      <c r="H6" s="36">
        <v>0</v>
      </c>
      <c r="I6" s="26">
        <f t="shared" ref="I6:I12" si="0">SUM(C6:H6)</f>
        <v>300051</v>
      </c>
      <c r="J6" s="124"/>
      <c r="K6" s="27">
        <v>0</v>
      </c>
      <c r="L6" s="4">
        <v>0</v>
      </c>
    </row>
    <row r="7" spans="2:13" ht="41.25" hidden="1" customHeight="1" x14ac:dyDescent="0.25">
      <c r="B7" s="5" t="s">
        <v>8</v>
      </c>
      <c r="C7" s="6">
        <v>219691.497</v>
      </c>
      <c r="D7" s="6">
        <v>184625.49900000001</v>
      </c>
      <c r="E7" s="6">
        <v>21871.482</v>
      </c>
      <c r="F7" s="6">
        <v>47677</v>
      </c>
      <c r="G7" s="6">
        <v>55000</v>
      </c>
      <c r="H7" s="17">
        <v>40116</v>
      </c>
      <c r="I7" s="21">
        <f t="shared" si="0"/>
        <v>568981.47800000012</v>
      </c>
      <c r="J7" s="125"/>
      <c r="K7" s="28">
        <v>0</v>
      </c>
      <c r="L7" s="7">
        <v>0</v>
      </c>
    </row>
    <row r="8" spans="2:13" ht="41.25" hidden="1" customHeight="1" x14ac:dyDescent="0.25">
      <c r="B8" s="8" t="s">
        <v>9</v>
      </c>
      <c r="C8" s="9">
        <v>169375.49900000001</v>
      </c>
      <c r="D8" s="9">
        <v>17288</v>
      </c>
      <c r="E8" s="9">
        <v>7750</v>
      </c>
      <c r="F8" s="9">
        <v>17000</v>
      </c>
      <c r="G8" s="9">
        <v>25000</v>
      </c>
      <c r="H8" s="18">
        <v>40000</v>
      </c>
      <c r="I8" s="22">
        <f t="shared" si="0"/>
        <v>276413.49900000001</v>
      </c>
      <c r="J8" s="30"/>
      <c r="K8" s="29">
        <v>0</v>
      </c>
      <c r="L8" s="11">
        <v>0</v>
      </c>
    </row>
    <row r="9" spans="2:13" ht="41.25" hidden="1" customHeight="1" x14ac:dyDescent="0.25">
      <c r="B9" s="8" t="s">
        <v>10</v>
      </c>
      <c r="C9" s="9">
        <v>0</v>
      </c>
      <c r="D9" s="9">
        <v>8451</v>
      </c>
      <c r="E9" s="9">
        <v>0</v>
      </c>
      <c r="F9" s="9">
        <v>0</v>
      </c>
      <c r="G9" s="9">
        <v>0</v>
      </c>
      <c r="H9" s="19">
        <v>4000</v>
      </c>
      <c r="I9" s="22">
        <f t="shared" si="0"/>
        <v>12451</v>
      </c>
      <c r="J9" s="30"/>
      <c r="K9" s="30">
        <v>4000</v>
      </c>
      <c r="L9" s="10">
        <v>1500</v>
      </c>
    </row>
    <row r="10" spans="2:13" ht="41.25" hidden="1" customHeight="1" x14ac:dyDescent="0.25">
      <c r="B10" s="8" t="s">
        <v>11</v>
      </c>
      <c r="C10" s="9">
        <v>24796</v>
      </c>
      <c r="D10" s="9">
        <v>16056</v>
      </c>
      <c r="E10" s="9">
        <v>0</v>
      </c>
      <c r="F10" s="9">
        <v>0</v>
      </c>
      <c r="G10" s="9">
        <v>0</v>
      </c>
      <c r="H10" s="19">
        <v>0</v>
      </c>
      <c r="I10" s="22">
        <f t="shared" si="0"/>
        <v>40852</v>
      </c>
      <c r="J10" s="30"/>
      <c r="K10" s="30">
        <v>0</v>
      </c>
      <c r="L10" s="10">
        <v>0</v>
      </c>
    </row>
    <row r="11" spans="2:13" ht="41.25" hidden="1" customHeight="1" x14ac:dyDescent="0.25">
      <c r="B11" s="8" t="s">
        <v>12</v>
      </c>
      <c r="C11" s="9">
        <v>0</v>
      </c>
      <c r="D11" s="9">
        <v>42048</v>
      </c>
      <c r="E11" s="9">
        <v>0</v>
      </c>
      <c r="F11" s="9">
        <v>3500</v>
      </c>
      <c r="G11" s="9">
        <v>0</v>
      </c>
      <c r="H11" s="19">
        <v>0</v>
      </c>
      <c r="I11" s="22">
        <f t="shared" si="0"/>
        <v>45548</v>
      </c>
      <c r="J11" s="30"/>
      <c r="K11" s="30">
        <v>0</v>
      </c>
      <c r="L11" s="10">
        <v>0</v>
      </c>
    </row>
    <row r="12" spans="2:13" ht="41.25" hidden="1" customHeight="1" thickBot="1" x14ac:dyDescent="0.3">
      <c r="B12" s="12" t="s">
        <v>13</v>
      </c>
      <c r="C12" s="13">
        <v>0</v>
      </c>
      <c r="D12" s="13">
        <v>5983</v>
      </c>
      <c r="E12" s="14">
        <v>0</v>
      </c>
      <c r="F12" s="13">
        <v>0</v>
      </c>
      <c r="G12" s="13">
        <v>0</v>
      </c>
      <c r="H12" s="20">
        <v>0</v>
      </c>
      <c r="I12" s="23">
        <f t="shared" si="0"/>
        <v>5983</v>
      </c>
      <c r="J12" s="31"/>
      <c r="K12" s="31">
        <v>0</v>
      </c>
      <c r="L12" s="15">
        <v>0</v>
      </c>
    </row>
    <row r="13" spans="2:13" ht="41.25" hidden="1" customHeight="1" x14ac:dyDescent="0.25">
      <c r="B13" s="45"/>
      <c r="C13" s="46"/>
      <c r="D13" s="46"/>
      <c r="E13" s="46"/>
      <c r="F13" s="46">
        <f>C7*1000</f>
        <v>219691497</v>
      </c>
      <c r="G13" s="46">
        <f>F13/C15</f>
        <v>185639.62127037509</v>
      </c>
      <c r="H13" s="46"/>
      <c r="I13" s="46"/>
      <c r="J13" s="46"/>
      <c r="K13" s="46"/>
      <c r="L13" s="46"/>
    </row>
    <row r="14" spans="2:13" hidden="1" x14ac:dyDescent="0.25">
      <c r="B14" s="48" t="s">
        <v>37</v>
      </c>
      <c r="C14" s="50" t="s">
        <v>36</v>
      </c>
      <c r="D14" s="50" t="s">
        <v>38</v>
      </c>
      <c r="E14" s="50" t="s">
        <v>39</v>
      </c>
      <c r="F14" s="46"/>
      <c r="G14" s="46"/>
      <c r="H14" s="46"/>
      <c r="I14" s="46"/>
      <c r="J14" s="46"/>
      <c r="K14" s="46"/>
      <c r="L14" s="46"/>
    </row>
    <row r="15" spans="2:13" hidden="1" x14ac:dyDescent="0.25">
      <c r="B15" s="48">
        <v>1342.28</v>
      </c>
      <c r="C15" s="49">
        <v>1183.43</v>
      </c>
      <c r="D15" s="49">
        <v>1240.5999999999999</v>
      </c>
      <c r="E15" s="49">
        <v>1000</v>
      </c>
      <c r="F15" s="46"/>
      <c r="G15" s="46"/>
      <c r="H15" s="46"/>
      <c r="I15" s="46"/>
      <c r="J15" s="46"/>
      <c r="K15" s="46"/>
      <c r="L15" s="46"/>
    </row>
    <row r="16" spans="2:13" x14ac:dyDescent="0.25">
      <c r="B16" s="45"/>
      <c r="C16" s="47"/>
      <c r="D16" s="47"/>
      <c r="E16" s="47"/>
      <c r="F16" s="46"/>
      <c r="G16" s="46"/>
      <c r="H16" s="46">
        <f>C10/1000*D15</f>
        <v>30761.917599999997</v>
      </c>
      <c r="I16" s="46"/>
      <c r="J16" s="46"/>
      <c r="K16" s="46"/>
      <c r="L16" s="46"/>
    </row>
    <row r="17" spans="2:12" ht="15.75" thickBot="1" x14ac:dyDescent="0.3">
      <c r="B17" s="45"/>
      <c r="C17" s="47"/>
      <c r="D17" s="47"/>
      <c r="E17" s="47"/>
      <c r="F17" s="46"/>
      <c r="G17" s="46"/>
      <c r="H17" s="46"/>
      <c r="I17" s="46"/>
      <c r="J17" s="46"/>
      <c r="K17" s="46"/>
      <c r="L17" s="46"/>
    </row>
    <row r="18" spans="2:12" ht="21" thickBot="1" x14ac:dyDescent="0.35">
      <c r="B18" s="363" t="s">
        <v>1</v>
      </c>
      <c r="C18" s="356" t="s">
        <v>42</v>
      </c>
      <c r="D18" s="357"/>
      <c r="E18" s="358" t="s">
        <v>43</v>
      </c>
      <c r="F18" s="359"/>
      <c r="G18" s="359"/>
      <c r="H18" s="359"/>
      <c r="I18" s="359"/>
      <c r="J18" s="359"/>
      <c r="K18" s="360"/>
      <c r="L18" s="361" t="s">
        <v>40</v>
      </c>
    </row>
    <row r="19" spans="2:12" ht="60" customHeight="1" thickBot="1" x14ac:dyDescent="0.3">
      <c r="B19" s="364"/>
      <c r="C19" s="75" t="s">
        <v>19</v>
      </c>
      <c r="D19" s="76" t="s">
        <v>14</v>
      </c>
      <c r="E19" s="75" t="s">
        <v>17</v>
      </c>
      <c r="F19" s="73" t="s">
        <v>4</v>
      </c>
      <c r="G19" s="51" t="s">
        <v>18</v>
      </c>
      <c r="H19" s="51" t="s">
        <v>15</v>
      </c>
      <c r="I19" s="52" t="s">
        <v>16</v>
      </c>
      <c r="J19" s="52" t="s">
        <v>51</v>
      </c>
      <c r="K19" s="88" t="s">
        <v>20</v>
      </c>
      <c r="L19" s="362"/>
    </row>
    <row r="20" spans="2:12" ht="15.75" x14ac:dyDescent="0.25">
      <c r="B20" s="57" t="s">
        <v>7</v>
      </c>
      <c r="C20" s="87">
        <v>0</v>
      </c>
      <c r="D20" s="86">
        <v>300051</v>
      </c>
      <c r="E20" s="87">
        <v>0</v>
      </c>
      <c r="F20" s="35">
        <f t="shared" ref="F20:F26" si="1">K6</f>
        <v>0</v>
      </c>
      <c r="G20" s="34">
        <v>0</v>
      </c>
      <c r="H20" s="34">
        <v>0</v>
      </c>
      <c r="I20" s="34">
        <v>0</v>
      </c>
      <c r="J20" s="36"/>
      <c r="K20" s="86">
        <f t="shared" ref="K20:K26" si="2">L6</f>
        <v>0</v>
      </c>
      <c r="L20" s="63">
        <f t="shared" ref="L20:L26" si="3">SUM(C20:K20)</f>
        <v>300051</v>
      </c>
    </row>
    <row r="21" spans="2:12" ht="15.75" x14ac:dyDescent="0.25">
      <c r="B21" s="58" t="s">
        <v>8</v>
      </c>
      <c r="C21" s="77">
        <v>202166.58</v>
      </c>
      <c r="D21" s="78">
        <f t="shared" ref="D21:E21" si="4">(D7*1000)/$C$15</f>
        <v>156008.8040695267</v>
      </c>
      <c r="E21" s="77">
        <f t="shared" si="4"/>
        <v>18481.432784364093</v>
      </c>
      <c r="F21" s="53">
        <f t="shared" si="1"/>
        <v>0</v>
      </c>
      <c r="G21" s="55">
        <f t="shared" ref="G21:I22" si="5">(F7*1000)/$C$15</f>
        <v>40287.131473766931</v>
      </c>
      <c r="H21" s="55">
        <f t="shared" si="5"/>
        <v>46475.076683876527</v>
      </c>
      <c r="I21" s="90">
        <v>54178.075931825297</v>
      </c>
      <c r="J21" s="108"/>
      <c r="K21" s="83">
        <f t="shared" si="2"/>
        <v>0</v>
      </c>
      <c r="L21" s="64">
        <f t="shared" si="3"/>
        <v>517597.10094335955</v>
      </c>
    </row>
    <row r="22" spans="2:12" ht="15.75" x14ac:dyDescent="0.25">
      <c r="B22" s="59" t="s">
        <v>9</v>
      </c>
      <c r="C22" s="77">
        <v>121062.7</v>
      </c>
      <c r="D22" s="78">
        <v>26857.83</v>
      </c>
      <c r="E22" s="77">
        <f t="shared" ref="E22" si="6">(E8*1000)/$C$15</f>
        <v>6548.7608054553284</v>
      </c>
      <c r="F22" s="53">
        <f t="shared" si="1"/>
        <v>0</v>
      </c>
      <c r="G22" s="55">
        <f t="shared" si="5"/>
        <v>14365.023702289109</v>
      </c>
      <c r="H22" s="55">
        <f t="shared" si="5"/>
        <v>21125.034856307513</v>
      </c>
      <c r="I22" s="55">
        <f t="shared" si="5"/>
        <v>33800.055770092018</v>
      </c>
      <c r="J22" s="28"/>
      <c r="K22" s="83">
        <f t="shared" si="2"/>
        <v>0</v>
      </c>
      <c r="L22" s="64">
        <f t="shared" si="3"/>
        <v>223759.40513414401</v>
      </c>
    </row>
    <row r="23" spans="2:12" ht="15.75" x14ac:dyDescent="0.25">
      <c r="B23" s="59" t="s">
        <v>10</v>
      </c>
      <c r="C23" s="79">
        <f>C9*1000/$E$15</f>
        <v>0</v>
      </c>
      <c r="D23" s="80">
        <f t="shared" ref="D23:E23" si="7">D9*1000/$E$15</f>
        <v>8451</v>
      </c>
      <c r="E23" s="79">
        <f t="shared" si="7"/>
        <v>0</v>
      </c>
      <c r="F23" s="53">
        <f t="shared" si="1"/>
        <v>4000</v>
      </c>
      <c r="G23" s="56">
        <f>F9*1000/$E$15</f>
        <v>0</v>
      </c>
      <c r="H23" s="56">
        <f>G9*1000/$E$15</f>
        <v>0</v>
      </c>
      <c r="I23" s="56">
        <f>H9*1000/$E$15</f>
        <v>4000</v>
      </c>
      <c r="J23" s="30"/>
      <c r="K23" s="83">
        <v>750</v>
      </c>
      <c r="L23" s="64">
        <f t="shared" si="3"/>
        <v>17201</v>
      </c>
    </row>
    <row r="24" spans="2:12" ht="15.75" x14ac:dyDescent="0.25">
      <c r="B24" s="59" t="s">
        <v>11</v>
      </c>
      <c r="C24" s="79">
        <v>8060</v>
      </c>
      <c r="D24" s="80">
        <f t="shared" ref="D24:E24" si="8">D10*1000/$D$15</f>
        <v>12942.124778333065</v>
      </c>
      <c r="E24" s="79">
        <f t="shared" si="8"/>
        <v>0</v>
      </c>
      <c r="F24" s="53">
        <f t="shared" si="1"/>
        <v>0</v>
      </c>
      <c r="G24" s="56">
        <f t="shared" ref="G24:I25" si="9">F10*1000/$D$15</f>
        <v>0</v>
      </c>
      <c r="H24" s="56">
        <f t="shared" si="9"/>
        <v>0</v>
      </c>
      <c r="I24" s="56">
        <f t="shared" si="9"/>
        <v>0</v>
      </c>
      <c r="J24" s="30"/>
      <c r="K24" s="83">
        <f t="shared" si="2"/>
        <v>0</v>
      </c>
      <c r="L24" s="64">
        <f t="shared" si="3"/>
        <v>21002.124778333065</v>
      </c>
    </row>
    <row r="25" spans="2:12" ht="15.75" x14ac:dyDescent="0.25">
      <c r="B25" s="59" t="s">
        <v>12</v>
      </c>
      <c r="C25" s="79">
        <f>C11*1000/$D$15</f>
        <v>0</v>
      </c>
      <c r="D25" s="80">
        <f t="shared" ref="D25:E25" si="10">D11*1000/$D$15</f>
        <v>33893.277446396911</v>
      </c>
      <c r="E25" s="79">
        <f t="shared" si="10"/>
        <v>0</v>
      </c>
      <c r="F25" s="53">
        <f t="shared" si="1"/>
        <v>0</v>
      </c>
      <c r="G25" s="56">
        <f t="shared" si="9"/>
        <v>2821.2155408673225</v>
      </c>
      <c r="H25" s="56">
        <f t="shared" si="9"/>
        <v>0</v>
      </c>
      <c r="I25" s="56">
        <f t="shared" si="9"/>
        <v>0</v>
      </c>
      <c r="J25" s="30">
        <v>8000</v>
      </c>
      <c r="K25" s="83">
        <f t="shared" si="2"/>
        <v>0</v>
      </c>
      <c r="L25" s="64">
        <f t="shared" si="3"/>
        <v>44714.492987264231</v>
      </c>
    </row>
    <row r="26" spans="2:12" ht="16.5" thickBot="1" x14ac:dyDescent="0.3">
      <c r="B26" s="60" t="s">
        <v>13</v>
      </c>
      <c r="C26" s="81">
        <f>C12*1000/$B$15</f>
        <v>0</v>
      </c>
      <c r="D26" s="82">
        <f t="shared" ref="D26:E26" si="11">D12*1000/$B$15</f>
        <v>4457.3412402777367</v>
      </c>
      <c r="E26" s="81">
        <f t="shared" si="11"/>
        <v>0</v>
      </c>
      <c r="F26" s="54">
        <f t="shared" si="1"/>
        <v>0</v>
      </c>
      <c r="G26" s="84">
        <f>F12*1000/$B$15</f>
        <v>0</v>
      </c>
      <c r="H26" s="84">
        <f>G12*1000/$B$15</f>
        <v>0</v>
      </c>
      <c r="I26" s="84">
        <f>H12*1000/$B$15</f>
        <v>0</v>
      </c>
      <c r="J26" s="126"/>
      <c r="K26" s="85">
        <f t="shared" si="2"/>
        <v>0</v>
      </c>
      <c r="L26" s="64">
        <f t="shared" si="3"/>
        <v>4457.3412402777367</v>
      </c>
    </row>
    <row r="27" spans="2:12" ht="15.75" thickBot="1" x14ac:dyDescent="0.3">
      <c r="B27" s="62" t="s">
        <v>40</v>
      </c>
      <c r="C27" s="61">
        <f t="shared" ref="C27:K27" si="12">SUM(C20:C26)</f>
        <v>331289.27999999997</v>
      </c>
      <c r="D27" s="61">
        <f t="shared" si="12"/>
        <v>542661.37753453443</v>
      </c>
      <c r="E27" s="61">
        <f t="shared" si="12"/>
        <v>25030.193589819421</v>
      </c>
      <c r="F27" s="61">
        <f>SUM(F20:F26)</f>
        <v>4000</v>
      </c>
      <c r="G27" s="61">
        <f>SUM(G20:G26)</f>
        <v>57473.37071692336</v>
      </c>
      <c r="H27" s="61">
        <f t="shared" si="12"/>
        <v>67600.111540184036</v>
      </c>
      <c r="I27" s="61">
        <f>SUM(I20:I26)</f>
        <v>91978.131701917315</v>
      </c>
      <c r="J27" s="61">
        <f>SUM(J20:J26)</f>
        <v>8000</v>
      </c>
      <c r="K27" s="61">
        <f t="shared" si="12"/>
        <v>750</v>
      </c>
      <c r="L27" s="65">
        <f>SUM(L20:L26)</f>
        <v>1128782.4650833786</v>
      </c>
    </row>
    <row r="29" spans="2:12" x14ac:dyDescent="0.25">
      <c r="C29" s="89">
        <f>C27+D27</f>
        <v>873950.65753453434</v>
      </c>
      <c r="E29" s="89">
        <f>E27+F27+G27+H27+I27+K27</f>
        <v>246831.80754884414</v>
      </c>
    </row>
    <row r="30" spans="2:12" x14ac:dyDescent="0.25">
      <c r="E30" s="89">
        <f>F23+I23+K23</f>
        <v>8750</v>
      </c>
      <c r="I30" s="55">
        <f>(H7*1000)/$C$15</f>
        <v>33898.075931825282</v>
      </c>
      <c r="J30" s="127"/>
      <c r="K30" s="74"/>
    </row>
    <row r="31" spans="2:12" x14ac:dyDescent="0.25">
      <c r="C31" s="91">
        <f>E29/C29</f>
        <v>0.28243220074365644</v>
      </c>
      <c r="E31" s="89">
        <f>E29-E30</f>
        <v>238081.80754884414</v>
      </c>
      <c r="I31" s="89">
        <f>I30+20280</f>
        <v>54178.075931825282</v>
      </c>
      <c r="J31" s="89"/>
    </row>
    <row r="32" spans="2:12" x14ac:dyDescent="0.25">
      <c r="F32">
        <v>24000000</v>
      </c>
      <c r="L32" s="89">
        <f>L27-17201</f>
        <v>1111581.4650833786</v>
      </c>
    </row>
    <row r="34" spans="2:13" x14ac:dyDescent="0.25">
      <c r="C34">
        <v>10000000</v>
      </c>
      <c r="F34">
        <f>F32/1183.43</f>
        <v>20280.033462055213</v>
      </c>
    </row>
    <row r="36" spans="2:13" x14ac:dyDescent="0.25">
      <c r="C36">
        <f>C34/1240.6</f>
        <v>8060.615831049493</v>
      </c>
    </row>
    <row r="38" spans="2:13" ht="15.75" thickBot="1" x14ac:dyDescent="0.3"/>
    <row r="39" spans="2:13" ht="30" customHeight="1" thickBot="1" x14ac:dyDescent="0.35">
      <c r="B39" s="346" t="s">
        <v>46</v>
      </c>
      <c r="C39" s="343" t="s">
        <v>42</v>
      </c>
      <c r="D39" s="344"/>
      <c r="E39" s="345" t="s">
        <v>43</v>
      </c>
      <c r="F39" s="305"/>
      <c r="G39" s="305"/>
      <c r="H39" s="305"/>
      <c r="I39" s="305"/>
      <c r="J39" s="305"/>
      <c r="K39" s="305"/>
      <c r="L39" s="305"/>
      <c r="M39" s="348" t="s">
        <v>40</v>
      </c>
    </row>
    <row r="40" spans="2:13" ht="44.25" thickBot="1" x14ac:dyDescent="0.3">
      <c r="B40" s="347"/>
      <c r="C40" s="96" t="s">
        <v>19</v>
      </c>
      <c r="D40" s="93" t="s">
        <v>14</v>
      </c>
      <c r="E40" s="94" t="s">
        <v>17</v>
      </c>
      <c r="F40" s="93" t="s">
        <v>45</v>
      </c>
      <c r="G40" s="93" t="s">
        <v>4</v>
      </c>
      <c r="H40" s="94" t="s">
        <v>18</v>
      </c>
      <c r="I40" s="94" t="s">
        <v>15</v>
      </c>
      <c r="J40" s="94"/>
      <c r="K40" s="94" t="s">
        <v>16</v>
      </c>
      <c r="L40" s="95" t="s">
        <v>20</v>
      </c>
      <c r="M40" s="349"/>
    </row>
    <row r="41" spans="2:13" x14ac:dyDescent="0.25">
      <c r="B41" s="99" t="s">
        <v>7</v>
      </c>
      <c r="C41" s="97">
        <v>0</v>
      </c>
      <c r="D41" s="92">
        <v>300051</v>
      </c>
      <c r="E41" s="92">
        <v>0</v>
      </c>
      <c r="F41" s="92"/>
      <c r="G41" s="92">
        <v>0</v>
      </c>
      <c r="H41" s="92">
        <v>0</v>
      </c>
      <c r="I41" s="92">
        <v>0</v>
      </c>
      <c r="J41" s="92"/>
      <c r="K41" s="92">
        <v>0</v>
      </c>
      <c r="L41" s="107">
        <v>0</v>
      </c>
      <c r="M41" s="112">
        <f t="shared" ref="M41:M48" si="13">SUM(C41:L41)</f>
        <v>300051</v>
      </c>
    </row>
    <row r="42" spans="2:13" x14ac:dyDescent="0.25">
      <c r="B42" s="100" t="s">
        <v>8</v>
      </c>
      <c r="C42" s="98">
        <v>202166.58</v>
      </c>
      <c r="D42" s="90">
        <v>156008.8040695267</v>
      </c>
      <c r="E42" s="90">
        <v>18481.432784364093</v>
      </c>
      <c r="F42" s="90"/>
      <c r="G42" s="90">
        <v>0</v>
      </c>
      <c r="H42" s="90">
        <v>40287.131473766931</v>
      </c>
      <c r="I42" s="90">
        <v>46475.076683876527</v>
      </c>
      <c r="J42" s="90"/>
      <c r="K42" s="90">
        <v>54178.075931825282</v>
      </c>
      <c r="L42" s="108">
        <v>0</v>
      </c>
      <c r="M42" s="113">
        <f t="shared" si="13"/>
        <v>517597.10094335949</v>
      </c>
    </row>
    <row r="43" spans="2:13" x14ac:dyDescent="0.25">
      <c r="B43" s="100" t="s">
        <v>9</v>
      </c>
      <c r="C43" s="98">
        <v>121062.7</v>
      </c>
      <c r="D43" s="90">
        <v>26857.83</v>
      </c>
      <c r="E43" s="90">
        <v>6548.7608054553284</v>
      </c>
      <c r="F43" s="90"/>
      <c r="G43" s="90">
        <v>0</v>
      </c>
      <c r="H43" s="90">
        <v>14365.023702289109</v>
      </c>
      <c r="I43" s="90">
        <v>21125.034856307513</v>
      </c>
      <c r="J43" s="90"/>
      <c r="K43" s="90">
        <v>33800.055770092018</v>
      </c>
      <c r="L43" s="108">
        <v>0</v>
      </c>
      <c r="M43" s="113">
        <f t="shared" si="13"/>
        <v>223759.40513414401</v>
      </c>
    </row>
    <row r="44" spans="2:13" x14ac:dyDescent="0.25">
      <c r="B44" s="100" t="s">
        <v>10</v>
      </c>
      <c r="C44" s="98">
        <v>0</v>
      </c>
      <c r="D44" s="90">
        <v>8451</v>
      </c>
      <c r="E44" s="90">
        <v>0</v>
      </c>
      <c r="F44" s="90"/>
      <c r="G44" s="90">
        <v>4000</v>
      </c>
      <c r="H44" s="90">
        <v>0</v>
      </c>
      <c r="I44" s="90">
        <v>0</v>
      </c>
      <c r="J44" s="90"/>
      <c r="K44" s="90">
        <v>4000</v>
      </c>
      <c r="L44" s="108">
        <v>750</v>
      </c>
      <c r="M44" s="113">
        <f t="shared" si="13"/>
        <v>17201</v>
      </c>
    </row>
    <row r="45" spans="2:13" x14ac:dyDescent="0.25">
      <c r="B45" s="100" t="s">
        <v>11</v>
      </c>
      <c r="C45" s="98">
        <v>8060</v>
      </c>
      <c r="D45" s="90">
        <v>12942.124778333065</v>
      </c>
      <c r="E45" s="90">
        <v>0</v>
      </c>
      <c r="F45" s="90"/>
      <c r="G45" s="90">
        <v>0</v>
      </c>
      <c r="H45" s="90">
        <v>0</v>
      </c>
      <c r="I45" s="90">
        <v>0</v>
      </c>
      <c r="J45" s="90"/>
      <c r="K45" s="90">
        <v>0</v>
      </c>
      <c r="L45" s="108">
        <v>0</v>
      </c>
      <c r="M45" s="113">
        <f t="shared" si="13"/>
        <v>21002.124778333065</v>
      </c>
    </row>
    <row r="46" spans="2:13" x14ac:dyDescent="0.25">
      <c r="B46" s="100" t="s">
        <v>12</v>
      </c>
      <c r="C46" s="98">
        <v>0</v>
      </c>
      <c r="D46" s="90">
        <v>33893.277446396911</v>
      </c>
      <c r="E46" s="90">
        <v>0</v>
      </c>
      <c r="F46" s="90">
        <v>8060</v>
      </c>
      <c r="G46" s="90">
        <v>0</v>
      </c>
      <c r="H46" s="90">
        <v>2821.2155408673225</v>
      </c>
      <c r="I46" s="90">
        <v>0</v>
      </c>
      <c r="J46" s="90"/>
      <c r="K46" s="90">
        <v>0</v>
      </c>
      <c r="L46" s="108">
        <v>0</v>
      </c>
      <c r="M46" s="113">
        <f t="shared" si="13"/>
        <v>44774.492987264231</v>
      </c>
    </row>
    <row r="47" spans="2:13" ht="15.75" thickBot="1" x14ac:dyDescent="0.3">
      <c r="B47" s="101" t="s">
        <v>13</v>
      </c>
      <c r="C47" s="102">
        <v>0</v>
      </c>
      <c r="D47" s="103">
        <v>4457.3412402777367</v>
      </c>
      <c r="E47" s="103">
        <v>0</v>
      </c>
      <c r="F47" s="103"/>
      <c r="G47" s="103">
        <v>0</v>
      </c>
      <c r="H47" s="103">
        <v>0</v>
      </c>
      <c r="I47" s="103">
        <v>0</v>
      </c>
      <c r="J47" s="103"/>
      <c r="K47" s="103">
        <v>0</v>
      </c>
      <c r="L47" s="109">
        <v>0</v>
      </c>
      <c r="M47" s="114">
        <f t="shared" si="13"/>
        <v>4457.3412402777367</v>
      </c>
    </row>
    <row r="48" spans="2:13" ht="15.75" thickBot="1" x14ac:dyDescent="0.3">
      <c r="B48" s="104" t="s">
        <v>40</v>
      </c>
      <c r="C48" s="105">
        <f>SUM(C41:C47)</f>
        <v>331289.27999999997</v>
      </c>
      <c r="D48" s="106">
        <f t="shared" ref="D48:L48" si="14">SUM(D41:D47)</f>
        <v>542661.37753453443</v>
      </c>
      <c r="E48" s="106">
        <f t="shared" si="14"/>
        <v>25030.193589819421</v>
      </c>
      <c r="F48" s="106">
        <f t="shared" si="14"/>
        <v>8060</v>
      </c>
      <c r="G48" s="106">
        <f t="shared" si="14"/>
        <v>4000</v>
      </c>
      <c r="H48" s="106">
        <f t="shared" si="14"/>
        <v>57473.37071692336</v>
      </c>
      <c r="I48" s="106">
        <f t="shared" si="14"/>
        <v>67600.111540184036</v>
      </c>
      <c r="J48" s="106"/>
      <c r="K48" s="106">
        <f t="shared" si="14"/>
        <v>91978.1317019173</v>
      </c>
      <c r="L48" s="110">
        <f t="shared" si="14"/>
        <v>750</v>
      </c>
      <c r="M48" s="111">
        <f t="shared" si="13"/>
        <v>1128842.4650833784</v>
      </c>
    </row>
    <row r="50" spans="3:5" x14ac:dyDescent="0.25">
      <c r="C50" s="89">
        <f>C48+D48</f>
        <v>873950.65753453434</v>
      </c>
      <c r="E50" s="89">
        <f>E48+F48+G48+I48+H48+K48+L48</f>
        <v>254891.80754884411</v>
      </c>
    </row>
    <row r="52" spans="3:5" x14ac:dyDescent="0.25">
      <c r="D52" s="91">
        <f>E50/C50</f>
        <v>0.29165468937103239</v>
      </c>
    </row>
    <row r="53" spans="3:5" ht="15.75" thickBot="1" x14ac:dyDescent="0.3"/>
    <row r="54" spans="3:5" ht="15.75" thickBot="1" x14ac:dyDescent="0.3">
      <c r="C54" s="121" t="s">
        <v>33</v>
      </c>
      <c r="D54" s="122" t="s">
        <v>47</v>
      </c>
    </row>
    <row r="55" spans="3:5" x14ac:dyDescent="0.25">
      <c r="C55" s="40" t="s">
        <v>49</v>
      </c>
      <c r="D55" s="116">
        <v>8451</v>
      </c>
    </row>
    <row r="56" spans="3:5" x14ac:dyDescent="0.25">
      <c r="C56" s="41" t="s">
        <v>4</v>
      </c>
      <c r="D56" s="117">
        <v>4000</v>
      </c>
    </row>
    <row r="57" spans="3:5" x14ac:dyDescent="0.25">
      <c r="C57" s="41" t="s">
        <v>50</v>
      </c>
      <c r="D57" s="117">
        <v>4000</v>
      </c>
    </row>
    <row r="58" spans="3:5" ht="15.75" thickBot="1" x14ac:dyDescent="0.3">
      <c r="C58" s="42" t="s">
        <v>48</v>
      </c>
      <c r="D58" s="118">
        <v>750</v>
      </c>
    </row>
    <row r="59" spans="3:5" ht="15.75" thickBot="1" x14ac:dyDescent="0.3">
      <c r="C59" s="120" t="s">
        <v>40</v>
      </c>
      <c r="D59" s="119">
        <f>SUM(D55:D58)</f>
        <v>17201</v>
      </c>
    </row>
  </sheetData>
  <mergeCells count="11">
    <mergeCell ref="B2:M3"/>
    <mergeCell ref="C18:D18"/>
    <mergeCell ref="E18:K18"/>
    <mergeCell ref="L18:L19"/>
    <mergeCell ref="B18:B19"/>
    <mergeCell ref="C39:D39"/>
    <mergeCell ref="E39:L39"/>
    <mergeCell ref="B39:B40"/>
    <mergeCell ref="M39:M40"/>
    <mergeCell ref="B5:I5"/>
    <mergeCell ref="K5:L5"/>
  </mergeCells>
  <pageMargins left="0.17" right="0.17" top="0.75" bottom="0.75" header="0.3" footer="0.3"/>
  <pageSetup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59"/>
  <sheetViews>
    <sheetView showGridLines="0" view="pageBreakPreview" topLeftCell="A16" zoomScale="60" zoomScaleNormal="100" workbookViewId="0">
      <selection activeCell="K25" sqref="K25"/>
    </sheetView>
  </sheetViews>
  <sheetFormatPr defaultRowHeight="15" x14ac:dyDescent="0.25"/>
  <cols>
    <col min="1" max="1" width="4.5703125" customWidth="1"/>
    <col min="2" max="2" width="23.7109375" customWidth="1"/>
    <col min="3" max="3" width="32.7109375" customWidth="1"/>
    <col min="4" max="4" width="19.28515625" customWidth="1"/>
    <col min="5" max="5" width="24" customWidth="1"/>
    <col min="6" max="6" width="18.7109375" customWidth="1"/>
    <col min="7" max="7" width="18.7109375" bestFit="1" customWidth="1"/>
    <col min="8" max="8" width="16.7109375" customWidth="1"/>
    <col min="9" max="10" width="18.5703125" customWidth="1"/>
    <col min="11" max="11" width="21.85546875" bestFit="1" customWidth="1"/>
    <col min="12" max="12" width="15.42578125" customWidth="1"/>
    <col min="13" max="13" width="15.7109375" bestFit="1" customWidth="1"/>
    <col min="14" max="14" width="16" bestFit="1" customWidth="1"/>
    <col min="16" max="18" width="13.28515625" customWidth="1"/>
  </cols>
  <sheetData>
    <row r="1" spans="2:14" hidden="1" x14ac:dyDescent="0.25"/>
    <row r="2" spans="2:14" ht="19.5" hidden="1" customHeight="1" x14ac:dyDescent="0.25">
      <c r="B2" s="350" t="s">
        <v>41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2"/>
    </row>
    <row r="3" spans="2:14" ht="23.25" hidden="1" customHeight="1" thickBot="1" x14ac:dyDescent="0.3">
      <c r="B3" s="353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5"/>
    </row>
    <row r="4" spans="2:14" ht="48.75" hidden="1" customHeight="1" thickBot="1" x14ac:dyDescent="0.3">
      <c r="B4" s="66" t="s">
        <v>1</v>
      </c>
      <c r="C4" s="67" t="s">
        <v>19</v>
      </c>
      <c r="D4" s="68" t="s">
        <v>14</v>
      </c>
      <c r="E4" s="67" t="s">
        <v>17</v>
      </c>
      <c r="F4" s="67" t="s">
        <v>18</v>
      </c>
      <c r="G4" s="67" t="s">
        <v>15</v>
      </c>
      <c r="H4" s="69" t="s">
        <v>16</v>
      </c>
      <c r="I4" s="70" t="s">
        <v>3</v>
      </c>
      <c r="J4" s="123"/>
      <c r="K4" s="123"/>
      <c r="L4" s="71" t="s">
        <v>4</v>
      </c>
      <c r="M4" s="72" t="s">
        <v>20</v>
      </c>
    </row>
    <row r="5" spans="2:14" ht="15.75" hidden="1" thickBot="1" x14ac:dyDescent="0.3">
      <c r="B5" s="297" t="s">
        <v>5</v>
      </c>
      <c r="C5" s="298"/>
      <c r="D5" s="298"/>
      <c r="E5" s="298"/>
      <c r="F5" s="298"/>
      <c r="G5" s="298"/>
      <c r="H5" s="298"/>
      <c r="I5" s="299"/>
      <c r="J5" s="128"/>
      <c r="K5" s="128"/>
      <c r="L5" s="298" t="s">
        <v>6</v>
      </c>
      <c r="M5" s="299"/>
    </row>
    <row r="6" spans="2:14" ht="41.25" hidden="1" customHeight="1" x14ac:dyDescent="0.25">
      <c r="B6" s="33" t="s">
        <v>7</v>
      </c>
      <c r="C6" s="34">
        <v>0</v>
      </c>
      <c r="D6" s="35">
        <v>300051</v>
      </c>
      <c r="E6" s="34">
        <v>0</v>
      </c>
      <c r="F6" s="34">
        <v>0</v>
      </c>
      <c r="G6" s="34">
        <v>0</v>
      </c>
      <c r="H6" s="36">
        <v>0</v>
      </c>
      <c r="I6" s="26">
        <f t="shared" ref="I6:I12" si="0">SUM(C6:H6)</f>
        <v>300051</v>
      </c>
      <c r="J6" s="124"/>
      <c r="K6" s="124"/>
      <c r="L6" s="27">
        <v>0</v>
      </c>
      <c r="M6" s="4">
        <v>0</v>
      </c>
    </row>
    <row r="7" spans="2:14" ht="41.25" hidden="1" customHeight="1" x14ac:dyDescent="0.25">
      <c r="B7" s="5" t="s">
        <v>8</v>
      </c>
      <c r="C7" s="6">
        <v>219691.497</v>
      </c>
      <c r="D7" s="6">
        <v>184625.49900000001</v>
      </c>
      <c r="E7" s="6">
        <v>21871.482</v>
      </c>
      <c r="F7" s="6">
        <v>47677</v>
      </c>
      <c r="G7" s="6">
        <v>55000</v>
      </c>
      <c r="H7" s="17">
        <v>40116</v>
      </c>
      <c r="I7" s="21">
        <f t="shared" si="0"/>
        <v>568981.47800000012</v>
      </c>
      <c r="J7" s="125"/>
      <c r="K7" s="125"/>
      <c r="L7" s="28">
        <v>0</v>
      </c>
      <c r="M7" s="7">
        <v>0</v>
      </c>
    </row>
    <row r="8" spans="2:14" ht="41.25" hidden="1" customHeight="1" x14ac:dyDescent="0.25">
      <c r="B8" s="8" t="s">
        <v>9</v>
      </c>
      <c r="C8" s="9">
        <v>169375.49900000001</v>
      </c>
      <c r="D8" s="9">
        <v>17288</v>
      </c>
      <c r="E8" s="9">
        <v>7750</v>
      </c>
      <c r="F8" s="9">
        <v>17000</v>
      </c>
      <c r="G8" s="9">
        <v>25000</v>
      </c>
      <c r="H8" s="18">
        <v>40000</v>
      </c>
      <c r="I8" s="22">
        <f t="shared" si="0"/>
        <v>276413.49900000001</v>
      </c>
      <c r="J8" s="30"/>
      <c r="K8" s="30"/>
      <c r="L8" s="29">
        <v>0</v>
      </c>
      <c r="M8" s="11">
        <v>0</v>
      </c>
    </row>
    <row r="9" spans="2:14" ht="41.25" hidden="1" customHeight="1" x14ac:dyDescent="0.25">
      <c r="B9" s="8" t="s">
        <v>10</v>
      </c>
      <c r="C9" s="9">
        <v>0</v>
      </c>
      <c r="D9" s="9">
        <v>8451</v>
      </c>
      <c r="E9" s="9">
        <v>0</v>
      </c>
      <c r="F9" s="9">
        <v>0</v>
      </c>
      <c r="G9" s="9">
        <v>0</v>
      </c>
      <c r="H9" s="19">
        <v>4000</v>
      </c>
      <c r="I9" s="22">
        <f t="shared" si="0"/>
        <v>12451</v>
      </c>
      <c r="J9" s="30"/>
      <c r="K9" s="30"/>
      <c r="L9" s="30">
        <v>4000</v>
      </c>
      <c r="M9" s="10">
        <v>1500</v>
      </c>
    </row>
    <row r="10" spans="2:14" ht="41.25" hidden="1" customHeight="1" x14ac:dyDescent="0.25">
      <c r="B10" s="8" t="s">
        <v>11</v>
      </c>
      <c r="C10" s="9">
        <v>24796</v>
      </c>
      <c r="D10" s="9">
        <v>16056</v>
      </c>
      <c r="E10" s="9">
        <v>0</v>
      </c>
      <c r="F10" s="9">
        <v>0</v>
      </c>
      <c r="G10" s="9">
        <v>0</v>
      </c>
      <c r="H10" s="19">
        <v>0</v>
      </c>
      <c r="I10" s="22">
        <f t="shared" si="0"/>
        <v>40852</v>
      </c>
      <c r="J10" s="30"/>
      <c r="K10" s="30"/>
      <c r="L10" s="30">
        <v>0</v>
      </c>
      <c r="M10" s="10">
        <v>0</v>
      </c>
    </row>
    <row r="11" spans="2:14" ht="41.25" hidden="1" customHeight="1" x14ac:dyDescent="0.25">
      <c r="B11" s="8" t="s">
        <v>12</v>
      </c>
      <c r="C11" s="9">
        <v>0</v>
      </c>
      <c r="D11" s="9">
        <v>42048</v>
      </c>
      <c r="E11" s="9">
        <v>0</v>
      </c>
      <c r="F11" s="9">
        <v>3500</v>
      </c>
      <c r="G11" s="9">
        <v>0</v>
      </c>
      <c r="H11" s="19">
        <v>0</v>
      </c>
      <c r="I11" s="22">
        <f t="shared" si="0"/>
        <v>45548</v>
      </c>
      <c r="J11" s="30"/>
      <c r="K11" s="30"/>
      <c r="L11" s="30">
        <v>0</v>
      </c>
      <c r="M11" s="10">
        <v>0</v>
      </c>
    </row>
    <row r="12" spans="2:14" ht="41.25" hidden="1" customHeight="1" thickBot="1" x14ac:dyDescent="0.3">
      <c r="B12" s="12" t="s">
        <v>13</v>
      </c>
      <c r="C12" s="13">
        <v>0</v>
      </c>
      <c r="D12" s="13">
        <v>5983</v>
      </c>
      <c r="E12" s="14">
        <v>0</v>
      </c>
      <c r="F12" s="13">
        <v>0</v>
      </c>
      <c r="G12" s="13">
        <v>0</v>
      </c>
      <c r="H12" s="20">
        <v>0</v>
      </c>
      <c r="I12" s="23">
        <f t="shared" si="0"/>
        <v>5983</v>
      </c>
      <c r="J12" s="31"/>
      <c r="K12" s="31"/>
      <c r="L12" s="31">
        <v>0</v>
      </c>
      <c r="M12" s="15">
        <v>0</v>
      </c>
    </row>
    <row r="13" spans="2:14" ht="41.25" hidden="1" customHeight="1" x14ac:dyDescent="0.25">
      <c r="B13" s="45"/>
      <c r="C13" s="46"/>
      <c r="D13" s="46"/>
      <c r="E13" s="46"/>
      <c r="F13" s="46">
        <f>C7*1000</f>
        <v>219691497</v>
      </c>
      <c r="G13" s="46">
        <f>F13/C15</f>
        <v>185639.62127037509</v>
      </c>
      <c r="H13" s="46"/>
      <c r="I13" s="46"/>
      <c r="J13" s="46"/>
      <c r="K13" s="46"/>
      <c r="L13" s="46"/>
      <c r="M13" s="46"/>
    </row>
    <row r="14" spans="2:14" hidden="1" x14ac:dyDescent="0.25">
      <c r="B14" s="48" t="s">
        <v>37</v>
      </c>
      <c r="C14" s="50" t="s">
        <v>36</v>
      </c>
      <c r="D14" s="50" t="s">
        <v>38</v>
      </c>
      <c r="E14" s="50" t="s">
        <v>39</v>
      </c>
      <c r="F14" s="46"/>
      <c r="G14" s="46"/>
      <c r="H14" s="46"/>
      <c r="I14" s="46"/>
      <c r="J14" s="46"/>
      <c r="K14" s="46"/>
      <c r="L14" s="46"/>
      <c r="M14" s="46"/>
    </row>
    <row r="15" spans="2:14" hidden="1" x14ac:dyDescent="0.25">
      <c r="B15" s="48">
        <v>1342.28</v>
      </c>
      <c r="C15" s="49">
        <v>1183.43</v>
      </c>
      <c r="D15" s="49">
        <v>1240.5999999999999</v>
      </c>
      <c r="E15" s="49">
        <v>1000</v>
      </c>
      <c r="F15" s="46"/>
      <c r="G15" s="46"/>
      <c r="H15" s="46"/>
      <c r="I15" s="46"/>
      <c r="J15" s="46"/>
      <c r="K15" s="46"/>
      <c r="L15" s="46"/>
      <c r="M15" s="46"/>
    </row>
    <row r="16" spans="2:14" x14ac:dyDescent="0.25">
      <c r="B16" s="45"/>
      <c r="C16" s="47"/>
      <c r="D16" s="47"/>
      <c r="E16" s="47"/>
      <c r="F16" s="46"/>
      <c r="G16" s="46"/>
      <c r="H16" s="46">
        <f>C10/1000*D15</f>
        <v>30761.917599999997</v>
      </c>
      <c r="I16" s="46"/>
      <c r="J16" s="46"/>
      <c r="K16" s="46"/>
      <c r="L16" s="46"/>
      <c r="M16" s="46"/>
    </row>
    <row r="17" spans="2:13" ht="15.75" thickBot="1" x14ac:dyDescent="0.3">
      <c r="B17" s="45"/>
      <c r="C17" s="47"/>
      <c r="D17" s="47"/>
      <c r="E17" s="47"/>
      <c r="F17" s="46"/>
      <c r="G17" s="46"/>
      <c r="H17" s="46"/>
      <c r="I17" s="46"/>
      <c r="J17" s="46"/>
      <c r="K17" s="46"/>
      <c r="L17" s="46"/>
      <c r="M17" s="46"/>
    </row>
    <row r="18" spans="2:13" ht="21" thickBot="1" x14ac:dyDescent="0.35">
      <c r="B18" s="363" t="s">
        <v>1</v>
      </c>
      <c r="C18" s="356" t="s">
        <v>42</v>
      </c>
      <c r="D18" s="357"/>
      <c r="E18" s="358" t="s">
        <v>43</v>
      </c>
      <c r="F18" s="359"/>
      <c r="G18" s="359"/>
      <c r="H18" s="359"/>
      <c r="I18" s="359"/>
      <c r="J18" s="359"/>
      <c r="K18" s="359"/>
      <c r="L18" s="360"/>
      <c r="M18" s="361" t="s">
        <v>40</v>
      </c>
    </row>
    <row r="19" spans="2:13" ht="60" customHeight="1" thickBot="1" x14ac:dyDescent="0.3">
      <c r="B19" s="364"/>
      <c r="C19" s="75" t="s">
        <v>19</v>
      </c>
      <c r="D19" s="76" t="s">
        <v>14</v>
      </c>
      <c r="E19" s="75" t="s">
        <v>17</v>
      </c>
      <c r="F19" s="73" t="s">
        <v>4</v>
      </c>
      <c r="G19" s="51" t="s">
        <v>18</v>
      </c>
      <c r="H19" s="51" t="s">
        <v>15</v>
      </c>
      <c r="I19" s="52" t="s">
        <v>16</v>
      </c>
      <c r="J19" s="129" t="s">
        <v>52</v>
      </c>
      <c r="K19" s="129" t="s">
        <v>51</v>
      </c>
      <c r="L19" s="88" t="s">
        <v>20</v>
      </c>
      <c r="M19" s="362"/>
    </row>
    <row r="20" spans="2:13" ht="15.75" x14ac:dyDescent="0.25">
      <c r="B20" s="57" t="s">
        <v>7</v>
      </c>
      <c r="C20" s="87">
        <v>0</v>
      </c>
      <c r="D20" s="86">
        <v>300051</v>
      </c>
      <c r="E20" s="87">
        <v>0</v>
      </c>
      <c r="F20" s="35">
        <f t="shared" ref="F20:F26" si="1">L6</f>
        <v>0</v>
      </c>
      <c r="G20" s="34">
        <v>0</v>
      </c>
      <c r="H20" s="34">
        <v>0</v>
      </c>
      <c r="I20" s="34">
        <v>0</v>
      </c>
      <c r="J20" s="131"/>
      <c r="K20" s="131"/>
      <c r="L20" s="86">
        <f t="shared" ref="L20:L26" si="2">M6</f>
        <v>0</v>
      </c>
      <c r="M20" s="63">
        <f t="shared" ref="M20:M26" si="3">SUM(C20:L20)</f>
        <v>300051</v>
      </c>
    </row>
    <row r="21" spans="2:13" ht="15.75" x14ac:dyDescent="0.25">
      <c r="B21" s="58" t="s">
        <v>8</v>
      </c>
      <c r="C21" s="77">
        <v>202166.58</v>
      </c>
      <c r="D21" s="78">
        <f t="shared" ref="D21:E22" si="4">(D7*1000)/$C$15</f>
        <v>156008.8040695267</v>
      </c>
      <c r="E21" s="77">
        <f t="shared" si="4"/>
        <v>18481.432784364093</v>
      </c>
      <c r="F21" s="53">
        <f t="shared" si="1"/>
        <v>0</v>
      </c>
      <c r="G21" s="55">
        <f t="shared" ref="G21:H22" si="5">(F7*1000)/$C$15</f>
        <v>40287.131473766931</v>
      </c>
      <c r="H21" s="55">
        <f t="shared" si="5"/>
        <v>46475.076683876527</v>
      </c>
      <c r="I21" s="90">
        <v>54178.075931825297</v>
      </c>
      <c r="J21" s="90">
        <v>20280</v>
      </c>
      <c r="K21" s="90"/>
      <c r="L21" s="83">
        <f t="shared" si="2"/>
        <v>0</v>
      </c>
      <c r="M21" s="64">
        <f t="shared" si="3"/>
        <v>537877.10094335955</v>
      </c>
    </row>
    <row r="22" spans="2:13" ht="15.75" x14ac:dyDescent="0.25">
      <c r="B22" s="59" t="s">
        <v>9</v>
      </c>
      <c r="C22" s="77">
        <v>121062.7</v>
      </c>
      <c r="D22" s="78">
        <v>26857.83</v>
      </c>
      <c r="E22" s="77">
        <f t="shared" si="4"/>
        <v>6548.7608054553284</v>
      </c>
      <c r="F22" s="53">
        <f t="shared" si="1"/>
        <v>0</v>
      </c>
      <c r="G22" s="55">
        <f t="shared" si="5"/>
        <v>14365.023702289109</v>
      </c>
      <c r="H22" s="55">
        <f t="shared" si="5"/>
        <v>21125.034856307513</v>
      </c>
      <c r="I22" s="55">
        <f>(H8*1000)/$C$15</f>
        <v>33800.055770092018</v>
      </c>
      <c r="J22" s="132"/>
      <c r="K22" s="132"/>
      <c r="L22" s="83">
        <f t="shared" si="2"/>
        <v>0</v>
      </c>
      <c r="M22" s="64">
        <f t="shared" si="3"/>
        <v>223759.40513414401</v>
      </c>
    </row>
    <row r="23" spans="2:13" ht="15.75" x14ac:dyDescent="0.25">
      <c r="B23" s="59" t="s">
        <v>10</v>
      </c>
      <c r="C23" s="79">
        <f>C9*1000/$E$15</f>
        <v>0</v>
      </c>
      <c r="D23" s="80">
        <f t="shared" ref="D23:E23" si="6">D9*1000/$E$15</f>
        <v>8451</v>
      </c>
      <c r="E23" s="79">
        <f t="shared" si="6"/>
        <v>0</v>
      </c>
      <c r="F23" s="53">
        <f t="shared" si="1"/>
        <v>4000</v>
      </c>
      <c r="G23" s="56">
        <f>F9*1000/$E$15</f>
        <v>0</v>
      </c>
      <c r="H23" s="56">
        <f>G9*1000/$E$15</f>
        <v>0</v>
      </c>
      <c r="I23" s="56">
        <f>H9*1000/$E$15</f>
        <v>4000</v>
      </c>
      <c r="J23" s="9"/>
      <c r="K23" s="9"/>
      <c r="L23" s="83">
        <v>750</v>
      </c>
      <c r="M23" s="64">
        <f t="shared" si="3"/>
        <v>17201</v>
      </c>
    </row>
    <row r="24" spans="2:13" ht="15.75" x14ac:dyDescent="0.25">
      <c r="B24" s="59" t="s">
        <v>11</v>
      </c>
      <c r="C24" s="79">
        <v>8060</v>
      </c>
      <c r="D24" s="80">
        <f t="shared" ref="D24:E25" si="7">D10*1000/$D$15</f>
        <v>12942.124778333065</v>
      </c>
      <c r="E24" s="79">
        <f t="shared" si="7"/>
        <v>0</v>
      </c>
      <c r="F24" s="53">
        <f t="shared" si="1"/>
        <v>0</v>
      </c>
      <c r="G24" s="56">
        <f t="shared" ref="G24:I25" si="8">F10*1000/$D$15</f>
        <v>0</v>
      </c>
      <c r="H24" s="56">
        <f t="shared" si="8"/>
        <v>0</v>
      </c>
      <c r="I24" s="56">
        <f t="shared" si="8"/>
        <v>0</v>
      </c>
      <c r="J24" s="9"/>
      <c r="K24" s="9"/>
      <c r="L24" s="83">
        <f t="shared" si="2"/>
        <v>0</v>
      </c>
      <c r="M24" s="64">
        <f t="shared" si="3"/>
        <v>21002.124778333065</v>
      </c>
    </row>
    <row r="25" spans="2:13" ht="15.75" x14ac:dyDescent="0.25">
      <c r="B25" s="59" t="s">
        <v>12</v>
      </c>
      <c r="C25" s="79">
        <f>C11*1000/$D$15</f>
        <v>0</v>
      </c>
      <c r="D25" s="80">
        <f t="shared" si="7"/>
        <v>33893.277446396911</v>
      </c>
      <c r="E25" s="79">
        <f t="shared" si="7"/>
        <v>0</v>
      </c>
      <c r="F25" s="53">
        <f t="shared" si="1"/>
        <v>0</v>
      </c>
      <c r="G25" s="56">
        <f t="shared" si="8"/>
        <v>2821.2155408673225</v>
      </c>
      <c r="H25" s="56">
        <f t="shared" si="8"/>
        <v>0</v>
      </c>
      <c r="I25" s="56">
        <f t="shared" si="8"/>
        <v>0</v>
      </c>
      <c r="J25" s="9"/>
      <c r="K25" s="9">
        <v>20151.54</v>
      </c>
      <c r="L25" s="83">
        <f t="shared" si="2"/>
        <v>0</v>
      </c>
      <c r="M25" s="64">
        <f t="shared" si="3"/>
        <v>56866.032987264232</v>
      </c>
    </row>
    <row r="26" spans="2:13" ht="16.5" thickBot="1" x14ac:dyDescent="0.3">
      <c r="B26" s="60" t="s">
        <v>13</v>
      </c>
      <c r="C26" s="81">
        <f>C12*1000/$B$15</f>
        <v>0</v>
      </c>
      <c r="D26" s="82">
        <f t="shared" ref="D26:E26" si="9">D12*1000/$B$15</f>
        <v>4457.3412402777367</v>
      </c>
      <c r="E26" s="81">
        <f t="shared" si="9"/>
        <v>0</v>
      </c>
      <c r="F26" s="54">
        <f t="shared" si="1"/>
        <v>0</v>
      </c>
      <c r="G26" s="84">
        <f>F12*1000/$B$15</f>
        <v>0</v>
      </c>
      <c r="H26" s="84">
        <f>G12*1000/$B$15</f>
        <v>0</v>
      </c>
      <c r="I26" s="84">
        <f>H12*1000/$B$15</f>
        <v>0</v>
      </c>
      <c r="J26" s="9"/>
      <c r="K26" s="9"/>
      <c r="L26" s="85">
        <f t="shared" si="2"/>
        <v>0</v>
      </c>
      <c r="M26" s="64">
        <f t="shared" si="3"/>
        <v>4457.3412402777367</v>
      </c>
    </row>
    <row r="27" spans="2:13" ht="15.75" thickBot="1" x14ac:dyDescent="0.3">
      <c r="B27" s="62" t="s">
        <v>40</v>
      </c>
      <c r="C27" s="61">
        <f t="shared" ref="C27:L27" si="10">SUM(C20:C26)</f>
        <v>331289.27999999997</v>
      </c>
      <c r="D27" s="61">
        <f t="shared" si="10"/>
        <v>542661.37753453443</v>
      </c>
      <c r="E27" s="61">
        <f t="shared" si="10"/>
        <v>25030.193589819421</v>
      </c>
      <c r="F27" s="61">
        <f>SUM(F20:F26)</f>
        <v>4000</v>
      </c>
      <c r="G27" s="61">
        <f>SUM(G20:G26)</f>
        <v>57473.37071692336</v>
      </c>
      <c r="H27" s="61">
        <f t="shared" si="10"/>
        <v>67600.111540184036</v>
      </c>
      <c r="I27" s="61">
        <f>SUM(I20:I26)</f>
        <v>91978.131701917315</v>
      </c>
      <c r="J27" s="61">
        <f>SUM(J20:J26)</f>
        <v>20280</v>
      </c>
      <c r="K27" s="130">
        <f>SUM(K20:K26)</f>
        <v>20151.54</v>
      </c>
      <c r="L27" s="61">
        <f t="shared" si="10"/>
        <v>750</v>
      </c>
      <c r="M27" s="65">
        <f>SUM(M20:M26)</f>
        <v>1161214.0050833786</v>
      </c>
    </row>
    <row r="29" spans="2:13" x14ac:dyDescent="0.25">
      <c r="C29" s="89">
        <f>C27+D27</f>
        <v>873950.65753453434</v>
      </c>
      <c r="E29" s="89">
        <f>E27+F27+G27+H27+I27+L27</f>
        <v>246831.80754884414</v>
      </c>
    </row>
    <row r="30" spans="2:13" x14ac:dyDescent="0.25">
      <c r="E30" s="89">
        <f>F23+I23+L23</f>
        <v>8750</v>
      </c>
      <c r="I30" s="55">
        <f>(H7*1000)/$C$15</f>
        <v>33898.075931825282</v>
      </c>
      <c r="J30" s="127"/>
      <c r="K30" s="127"/>
      <c r="L30" s="74"/>
    </row>
    <row r="31" spans="2:13" x14ac:dyDescent="0.25">
      <c r="C31" s="91">
        <f>E29/C29</f>
        <v>0.28243220074365644</v>
      </c>
      <c r="E31" s="89">
        <f>E29-E30</f>
        <v>238081.80754884414</v>
      </c>
      <c r="I31" s="89">
        <f>I30+20280</f>
        <v>54178.075931825282</v>
      </c>
      <c r="J31" s="89"/>
      <c r="K31" s="89"/>
    </row>
    <row r="32" spans="2:13" x14ac:dyDescent="0.25">
      <c r="F32">
        <v>24000000</v>
      </c>
      <c r="M32" s="89">
        <f>M27-17201</f>
        <v>1144013.0050833786</v>
      </c>
    </row>
    <row r="34" spans="2:14" x14ac:dyDescent="0.25">
      <c r="C34">
        <v>10000000</v>
      </c>
      <c r="F34">
        <f>F32/1183.43</f>
        <v>20280.033462055213</v>
      </c>
    </row>
    <row r="36" spans="2:14" x14ac:dyDescent="0.25">
      <c r="C36">
        <f>C34/1240.6</f>
        <v>8060.615831049493</v>
      </c>
    </row>
    <row r="38" spans="2:14" ht="15.75" thickBot="1" x14ac:dyDescent="0.3"/>
    <row r="39" spans="2:14" ht="30" customHeight="1" thickBot="1" x14ac:dyDescent="0.35">
      <c r="B39" s="346" t="s">
        <v>46</v>
      </c>
      <c r="C39" s="343" t="s">
        <v>42</v>
      </c>
      <c r="D39" s="344"/>
      <c r="E39" s="345" t="s">
        <v>43</v>
      </c>
      <c r="F39" s="305"/>
      <c r="G39" s="305"/>
      <c r="H39" s="305"/>
      <c r="I39" s="305"/>
      <c r="J39" s="305"/>
      <c r="K39" s="305"/>
      <c r="L39" s="305"/>
      <c r="M39" s="305"/>
      <c r="N39" s="348" t="s">
        <v>40</v>
      </c>
    </row>
    <row r="40" spans="2:14" ht="44.25" thickBot="1" x14ac:dyDescent="0.3">
      <c r="B40" s="347"/>
      <c r="C40" s="96" t="s">
        <v>19</v>
      </c>
      <c r="D40" s="93" t="s">
        <v>14</v>
      </c>
      <c r="E40" s="94" t="s">
        <v>17</v>
      </c>
      <c r="F40" s="93" t="s">
        <v>45</v>
      </c>
      <c r="G40" s="93" t="s">
        <v>4</v>
      </c>
      <c r="H40" s="94" t="s">
        <v>18</v>
      </c>
      <c r="I40" s="94" t="s">
        <v>15</v>
      </c>
      <c r="J40" s="94"/>
      <c r="K40" s="94"/>
      <c r="L40" s="94" t="s">
        <v>16</v>
      </c>
      <c r="M40" s="95" t="s">
        <v>20</v>
      </c>
      <c r="N40" s="349"/>
    </row>
    <row r="41" spans="2:14" x14ac:dyDescent="0.25">
      <c r="B41" s="99" t="s">
        <v>7</v>
      </c>
      <c r="C41" s="97">
        <v>0</v>
      </c>
      <c r="D41" s="92">
        <v>300051</v>
      </c>
      <c r="E41" s="92">
        <v>0</v>
      </c>
      <c r="F41" s="92"/>
      <c r="G41" s="92">
        <v>0</v>
      </c>
      <c r="H41" s="92">
        <v>0</v>
      </c>
      <c r="I41" s="92">
        <v>0</v>
      </c>
      <c r="J41" s="92"/>
      <c r="K41" s="92"/>
      <c r="L41" s="92">
        <v>0</v>
      </c>
      <c r="M41" s="107">
        <v>0</v>
      </c>
      <c r="N41" s="112">
        <f t="shared" ref="N41:N48" si="11">SUM(C41:M41)</f>
        <v>300051</v>
      </c>
    </row>
    <row r="42" spans="2:14" x14ac:dyDescent="0.25">
      <c r="B42" s="100" t="s">
        <v>8</v>
      </c>
      <c r="C42" s="98">
        <v>202166.58</v>
      </c>
      <c r="D42" s="90">
        <v>156008.8040695267</v>
      </c>
      <c r="E42" s="90">
        <v>18481.432784364093</v>
      </c>
      <c r="F42" s="90"/>
      <c r="G42" s="90">
        <v>0</v>
      </c>
      <c r="H42" s="90">
        <v>40287.131473766931</v>
      </c>
      <c r="I42" s="90">
        <v>46475.076683876527</v>
      </c>
      <c r="J42" s="90"/>
      <c r="K42" s="90"/>
      <c r="L42" s="90">
        <v>54178.075931825282</v>
      </c>
      <c r="M42" s="108">
        <v>0</v>
      </c>
      <c r="N42" s="113">
        <f t="shared" si="11"/>
        <v>517597.10094335949</v>
      </c>
    </row>
    <row r="43" spans="2:14" x14ac:dyDescent="0.25">
      <c r="B43" s="100" t="s">
        <v>9</v>
      </c>
      <c r="C43" s="98">
        <v>121062.7</v>
      </c>
      <c r="D43" s="90">
        <v>26857.83</v>
      </c>
      <c r="E43" s="90">
        <v>6548.7608054553284</v>
      </c>
      <c r="F43" s="90"/>
      <c r="G43" s="90">
        <v>0</v>
      </c>
      <c r="H43" s="90">
        <v>14365.023702289109</v>
      </c>
      <c r="I43" s="90">
        <v>21125.034856307513</v>
      </c>
      <c r="J43" s="90"/>
      <c r="K43" s="90"/>
      <c r="L43" s="90">
        <v>33800.055770092018</v>
      </c>
      <c r="M43" s="108">
        <v>0</v>
      </c>
      <c r="N43" s="113">
        <f t="shared" si="11"/>
        <v>223759.40513414401</v>
      </c>
    </row>
    <row r="44" spans="2:14" x14ac:dyDescent="0.25">
      <c r="B44" s="100" t="s">
        <v>10</v>
      </c>
      <c r="C44" s="98">
        <v>0</v>
      </c>
      <c r="D44" s="90">
        <v>8451</v>
      </c>
      <c r="E44" s="90">
        <v>0</v>
      </c>
      <c r="F44" s="90"/>
      <c r="G44" s="90">
        <v>4000</v>
      </c>
      <c r="H44" s="90">
        <v>0</v>
      </c>
      <c r="I44" s="90">
        <v>0</v>
      </c>
      <c r="J44" s="90"/>
      <c r="K44" s="90"/>
      <c r="L44" s="90">
        <v>4000</v>
      </c>
      <c r="M44" s="108">
        <v>750</v>
      </c>
      <c r="N44" s="113">
        <f t="shared" si="11"/>
        <v>17201</v>
      </c>
    </row>
    <row r="45" spans="2:14" x14ac:dyDescent="0.25">
      <c r="B45" s="100" t="s">
        <v>11</v>
      </c>
      <c r="C45" s="98">
        <v>8060</v>
      </c>
      <c r="D45" s="90">
        <v>12942.124778333065</v>
      </c>
      <c r="E45" s="90">
        <v>0</v>
      </c>
      <c r="F45" s="90"/>
      <c r="G45" s="90">
        <v>0</v>
      </c>
      <c r="H45" s="90">
        <v>0</v>
      </c>
      <c r="I45" s="90">
        <v>0</v>
      </c>
      <c r="J45" s="90"/>
      <c r="K45" s="90"/>
      <c r="L45" s="90">
        <v>0</v>
      </c>
      <c r="M45" s="108">
        <v>0</v>
      </c>
      <c r="N45" s="113">
        <f t="shared" si="11"/>
        <v>21002.124778333065</v>
      </c>
    </row>
    <row r="46" spans="2:14" x14ac:dyDescent="0.25">
      <c r="B46" s="100" t="s">
        <v>12</v>
      </c>
      <c r="C46" s="98">
        <v>0</v>
      </c>
      <c r="D46" s="90">
        <v>33893.277446396911</v>
      </c>
      <c r="E46" s="90">
        <v>0</v>
      </c>
      <c r="F46" s="90">
        <v>8060</v>
      </c>
      <c r="G46" s="90">
        <v>0</v>
      </c>
      <c r="H46" s="90">
        <v>2821.2155408673225</v>
      </c>
      <c r="I46" s="90">
        <v>0</v>
      </c>
      <c r="J46" s="90"/>
      <c r="K46" s="90"/>
      <c r="L46" s="90">
        <v>0</v>
      </c>
      <c r="M46" s="108">
        <v>0</v>
      </c>
      <c r="N46" s="113">
        <f t="shared" si="11"/>
        <v>44774.492987264231</v>
      </c>
    </row>
    <row r="47" spans="2:14" ht="15.75" thickBot="1" x14ac:dyDescent="0.3">
      <c r="B47" s="101" t="s">
        <v>13</v>
      </c>
      <c r="C47" s="102">
        <v>0</v>
      </c>
      <c r="D47" s="103">
        <v>4457.3412402777367</v>
      </c>
      <c r="E47" s="103">
        <v>0</v>
      </c>
      <c r="F47" s="103"/>
      <c r="G47" s="103">
        <v>0</v>
      </c>
      <c r="H47" s="103">
        <v>0</v>
      </c>
      <c r="I47" s="103">
        <v>0</v>
      </c>
      <c r="J47" s="103"/>
      <c r="K47" s="103"/>
      <c r="L47" s="103">
        <v>0</v>
      </c>
      <c r="M47" s="109">
        <v>0</v>
      </c>
      <c r="N47" s="114">
        <f t="shared" si="11"/>
        <v>4457.3412402777367</v>
      </c>
    </row>
    <row r="48" spans="2:14" ht="15.75" thickBot="1" x14ac:dyDescent="0.3">
      <c r="B48" s="104" t="s">
        <v>40</v>
      </c>
      <c r="C48" s="105">
        <f>SUM(C41:C47)</f>
        <v>331289.27999999997</v>
      </c>
      <c r="D48" s="106">
        <f t="shared" ref="D48:M48" si="12">SUM(D41:D47)</f>
        <v>542661.37753453443</v>
      </c>
      <c r="E48" s="106">
        <f t="shared" si="12"/>
        <v>25030.193589819421</v>
      </c>
      <c r="F48" s="106">
        <f t="shared" si="12"/>
        <v>8060</v>
      </c>
      <c r="G48" s="106">
        <f t="shared" si="12"/>
        <v>4000</v>
      </c>
      <c r="H48" s="106">
        <f t="shared" si="12"/>
        <v>57473.37071692336</v>
      </c>
      <c r="I48" s="106">
        <f t="shared" si="12"/>
        <v>67600.111540184036</v>
      </c>
      <c r="J48" s="106"/>
      <c r="K48" s="106"/>
      <c r="L48" s="106">
        <f t="shared" si="12"/>
        <v>91978.1317019173</v>
      </c>
      <c r="M48" s="110">
        <f t="shared" si="12"/>
        <v>750</v>
      </c>
      <c r="N48" s="111">
        <f t="shared" si="11"/>
        <v>1128842.4650833784</v>
      </c>
    </row>
    <row r="50" spans="3:5" x14ac:dyDescent="0.25">
      <c r="C50" s="89">
        <f>C48+D48</f>
        <v>873950.65753453434</v>
      </c>
      <c r="E50" s="89">
        <f>E48+F48+G48+I48+H48+L48+M48</f>
        <v>254891.80754884411</v>
      </c>
    </row>
    <row r="52" spans="3:5" x14ac:dyDescent="0.25">
      <c r="D52" s="91">
        <f>E50/C50</f>
        <v>0.29165468937103239</v>
      </c>
    </row>
    <row r="53" spans="3:5" ht="15.75" thickBot="1" x14ac:dyDescent="0.3"/>
    <row r="54" spans="3:5" ht="15.75" thickBot="1" x14ac:dyDescent="0.3">
      <c r="C54" s="121" t="s">
        <v>33</v>
      </c>
      <c r="D54" s="122" t="s">
        <v>47</v>
      </c>
    </row>
    <row r="55" spans="3:5" x14ac:dyDescent="0.25">
      <c r="C55" s="40" t="s">
        <v>49</v>
      </c>
      <c r="D55" s="116">
        <v>8451</v>
      </c>
    </row>
    <row r="56" spans="3:5" x14ac:dyDescent="0.25">
      <c r="C56" s="41" t="s">
        <v>4</v>
      </c>
      <c r="D56" s="117">
        <v>4000</v>
      </c>
    </row>
    <row r="57" spans="3:5" x14ac:dyDescent="0.25">
      <c r="C57" s="41" t="s">
        <v>50</v>
      </c>
      <c r="D57" s="117">
        <v>4000</v>
      </c>
    </row>
    <row r="58" spans="3:5" ht="15.75" thickBot="1" x14ac:dyDescent="0.3">
      <c r="C58" s="42" t="s">
        <v>48</v>
      </c>
      <c r="D58" s="118">
        <v>750</v>
      </c>
    </row>
    <row r="59" spans="3:5" ht="15.75" thickBot="1" x14ac:dyDescent="0.3">
      <c r="C59" s="120" t="s">
        <v>40</v>
      </c>
      <c r="D59" s="119">
        <f>SUM(D55:D58)</f>
        <v>17201</v>
      </c>
    </row>
  </sheetData>
  <mergeCells count="11">
    <mergeCell ref="B39:B40"/>
    <mergeCell ref="C39:D39"/>
    <mergeCell ref="E39:M39"/>
    <mergeCell ref="N39:N40"/>
    <mergeCell ref="B2:N3"/>
    <mergeCell ref="B5:I5"/>
    <mergeCell ref="L5:M5"/>
    <mergeCell ref="B18:B19"/>
    <mergeCell ref="C18:D18"/>
    <mergeCell ref="E18:L18"/>
    <mergeCell ref="M18:M19"/>
  </mergeCells>
  <pageMargins left="0.17" right="0.1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storage space</vt:lpstr>
      <vt:lpstr>Sheet1</vt:lpstr>
      <vt:lpstr>storage space (Sept 2016)</vt:lpstr>
      <vt:lpstr>BOST</vt:lpstr>
      <vt:lpstr>storage space (Sept 2016) (2)</vt:lpstr>
      <vt:lpstr>June 2022</vt:lpstr>
      <vt:lpstr>storage space (2)</vt:lpstr>
      <vt:lpstr>storage space (3)</vt:lpstr>
      <vt:lpstr>'June 2022'!Print_Area</vt:lpstr>
      <vt:lpstr>'storage space'!Print_Area</vt:lpstr>
      <vt:lpstr>'storage space (2)'!Print_Area</vt:lpstr>
      <vt:lpstr>'storage space (3)'!Print_Area</vt:lpstr>
      <vt:lpstr>'storage space (Sept 2016)'!Print_Area</vt:lpstr>
      <vt:lpstr>'storage space (Sept 2016)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 Hooper</dc:creator>
  <cp:lastModifiedBy>Tijani Shaibu</cp:lastModifiedBy>
  <cp:lastPrinted>2021-05-26T10:14:06Z</cp:lastPrinted>
  <dcterms:created xsi:type="dcterms:W3CDTF">2015-02-20T17:34:28Z</dcterms:created>
  <dcterms:modified xsi:type="dcterms:W3CDTF">2022-07-07T19:27:14Z</dcterms:modified>
</cp:coreProperties>
</file>